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843B9144-7531-46C1-9191-03742C71AF9F}" xr6:coauthVersionLast="45" xr6:coauthVersionMax="45" xr10:uidLastSave="{00000000-0000-0000-0000-000000000000}"/>
  <bookViews>
    <workbookView xWindow="1650" yWindow="0" windowWidth="9720" windowHeight="10920" tabRatio="899" firstSheet="2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Sheet5" sheetId="100" r:id="rId22"/>
    <sheet name="面积汇总" sheetId="85" state="hidden" r:id="rId23"/>
    <sheet name="比较法-住宅" sheetId="21" r:id="rId24"/>
    <sheet name="成本法" sheetId="68" state="hidden" r:id="rId25"/>
    <sheet name="共产房案例" sheetId="81" r:id="rId26"/>
    <sheet name="成本法 (元)" sheetId="69" r:id="rId27"/>
    <sheet name="假设开发法" sheetId="12" state="hidden" r:id="rId28"/>
    <sheet name="收益法" sheetId="15"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拆迁"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土地比较法" sheetId="80" r:id="rId44"/>
    <sheet name="Sheet4" sheetId="9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招拍挂案例" sheetId="97" r:id="rId53"/>
    <sheet name="土地案例及位置图" sheetId="83" state="hidden" r:id="rId54"/>
    <sheet name="土地案例" sheetId="79" state="hidden" r:id="rId55"/>
    <sheet name="土地案例剥离" sheetId="82" state="hidden" r:id="rId56"/>
    <sheet name="土地级别" sheetId="86" state="hidden" r:id="rId57"/>
    <sheet name="大兴F81绿隔产业用地" sheetId="87" state="hidden" r:id="rId58"/>
    <sheet name="大兴2017-2020住宅土地案例" sheetId="88" state="hidden" r:id="rId59"/>
    <sheet name="大兴17-20招拍挂土地增值收益（纯住宅）" sheetId="89" state="hidden" r:id="rId60"/>
    <sheet name="大兴17-20招拍挂土地增值收益（综合）" sheetId="90" state="hidden" r:id="rId61"/>
    <sheet name="系统读取表" sheetId="74" r:id="rId62"/>
    <sheet name="Sheet1" sheetId="91" state="hidden" r:id="rId63"/>
    <sheet name="Sheet2" sheetId="95" state="hidden" r:id="rId64"/>
  </sheets>
  <externalReferences>
    <externalReference r:id="rId65"/>
    <externalReference r:id="rId6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3" hidden="1">'比较法-住宅'!$A$1:$L$49</definedName>
    <definedName name="_xlnm._FilterDatabase" localSheetId="58" hidden="1">'大兴2017-2020住宅土地案例'!$A$1:$N$38</definedName>
    <definedName name="_xlnm._FilterDatabase" localSheetId="14" hidden="1">'数据-基础表'!$A$12:$AT$587</definedName>
    <definedName name="_xlnm._FilterDatabase" localSheetId="43" hidden="1">土地比较法!$A$1:$L$48</definedName>
    <definedName name="_xlnm._FilterDatabase" localSheetId="37" hidden="1">'土地比较法-拆迁'!$A$1:$L$48</definedName>
    <definedName name="_xlnm._FilterDatabase" localSheetId="38" hidden="1">'土地比较法-工业'!$A$1:$L$43</definedName>
    <definedName name="_xlnm._FilterDatabase" localSheetId="13" hidden="1">项目基本情况!$A$42:$N$42</definedName>
    <definedName name="_xlnm.Print_Area" localSheetId="26">'成本法 (元)'!$A$4:$G$52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 localSheetId="43">土地比较法!$A$73:$M$73</definedName>
    <definedName name="套工交易情况">'土地比较法-拆迁'!$A$73:$M$73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 localSheetId="43">土地比较法!$B$106:$M$106</definedName>
    <definedName name="套综道路等级">'土地比较法-拆迁'!$B$106:$M$106</definedName>
    <definedName name="套综工程地质条件" localSheetId="22">'[1]土地比较法-住宅、综合'!$B$125:$M$125</definedName>
    <definedName name="套综工程地质条件" localSheetId="43">土地比较法!$B$125:$M$125</definedName>
    <definedName name="套综工程地质条件">'土地比较法-拆迁'!$B$125:$M$125</definedName>
    <definedName name="套综交易情况" localSheetId="22">'[1]土地比较法-住宅、综合'!$A$73:$M$73</definedName>
    <definedName name="套综交易情况" localSheetId="43">土地比较法!$A$73:$M$73</definedName>
    <definedName name="套综交易情况">'土地比较法-拆迁'!$A$73:$M$73</definedName>
    <definedName name="套综临街宽度及深度" localSheetId="22">'[1]土地比较法-住宅、综合'!$B$121:$M$121</definedName>
    <definedName name="套综临街宽度及深度" localSheetId="43">土地比较法!$B$121:$M$121</definedName>
    <definedName name="套综临街宽度及深度">'土地比较法-拆迁'!$B$121:$M$121</definedName>
    <definedName name="套综土地级别" localSheetId="22">'[1]土地比较法-住宅、综合'!$B$108:$M$108</definedName>
    <definedName name="套综土地级别" localSheetId="43">土地比较法!$B$108:$M$108</definedName>
    <definedName name="套综土地级别">'土地比较法-拆迁'!$B$108:$M$108</definedName>
    <definedName name="套综用途" localSheetId="22">'[1]土地比较法-住宅、综合'!$B$75:$M$75</definedName>
    <definedName name="套综用途" localSheetId="43">土地比较法!$B$75:$M$75</definedName>
    <definedName name="套综用途">'土地比较法-拆迁'!$B$75:$M$75</definedName>
    <definedName name="套综宗地内开发程度" localSheetId="22">'[1]土地比较法-住宅、综合'!$B$123:$M$123</definedName>
    <definedName name="套综宗地内开发程度" localSheetId="43">土地比较法!$B$123:$M$123</definedName>
    <definedName name="套综宗地内开发程度">'土地比较法-拆迁'!$B$123:$M$123</definedName>
    <definedName name="套综宗地形状" localSheetId="22">'[1]土地比较法-住宅、综合'!$B$119:$M$119</definedName>
    <definedName name="套综宗地形状" localSheetId="43">土地比较法!$B$119:$M$119</definedName>
    <definedName name="套综宗地形状">'土地比较法-拆迁'!$B$119:$M$119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 i="21" l="1"/>
  <c r="G50" i="21"/>
  <c r="E50" i="21"/>
  <c r="I49" i="80"/>
  <c r="G49" i="80"/>
  <c r="E49" i="80"/>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R11" i="99"/>
  <c r="AD11" i="99" s="1"/>
  <c r="Q11" i="99"/>
  <c r="AC11" i="99" s="1"/>
  <c r="P11" i="99"/>
  <c r="Z11" i="99" s="1"/>
  <c r="AA11" i="99" s="1"/>
  <c r="O11" i="99"/>
  <c r="Y11" i="99" s="1"/>
  <c r="AB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R9" i="99"/>
  <c r="AD9" i="99" s="1"/>
  <c r="Q9" i="99"/>
  <c r="AC9" i="99" s="1"/>
  <c r="P9" i="99"/>
  <c r="Z9" i="99" s="1"/>
  <c r="AA9" i="99" s="1"/>
  <c r="O9" i="99"/>
  <c r="Y9" i="99" s="1"/>
  <c r="AB9" i="99" s="1"/>
  <c r="AK8" i="99"/>
  <c r="AJ8" i="99"/>
  <c r="AG8" i="99"/>
  <c r="AH8" i="99" s="1"/>
  <c r="AI8" i="99" s="1"/>
  <c r="AF8" i="99"/>
  <c r="AD8" i="99"/>
  <c r="Z8" i="99"/>
  <c r="AA8" i="99" s="1"/>
  <c r="R8" i="99"/>
  <c r="Q8" i="99"/>
  <c r="AC8" i="99" s="1"/>
  <c r="P8" i="99"/>
  <c r="O8" i="99"/>
  <c r="Y8" i="99" s="1"/>
  <c r="AB8" i="99" s="1"/>
  <c r="AK7" i="99"/>
  <c r="AJ7" i="99"/>
  <c r="AI7" i="99"/>
  <c r="AG7" i="99"/>
  <c r="AH7" i="99" s="1"/>
  <c r="AF7" i="99"/>
  <c r="R7" i="99"/>
  <c r="AD7" i="99" s="1"/>
  <c r="Q7" i="99"/>
  <c r="AC7" i="99" s="1"/>
  <c r="P7" i="99"/>
  <c r="Z7" i="99" s="1"/>
  <c r="AA7" i="99" s="1"/>
  <c r="O7" i="99"/>
  <c r="Y7" i="99" s="1"/>
  <c r="AB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J15" i="80"/>
  <c r="AC15" i="80" s="1"/>
  <c r="H15" i="80"/>
  <c r="AB15" i="80" s="1"/>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W15" i="80"/>
  <c r="S17" i="80"/>
  <c r="W17" i="80"/>
  <c r="S19" i="80"/>
  <c r="W19" i="80"/>
  <c r="S21" i="80"/>
  <c r="S23" i="80"/>
  <c r="W23" i="80"/>
  <c r="AA27" i="80"/>
  <c r="S27" i="80"/>
  <c r="AC27" i="80"/>
  <c r="W27" i="80"/>
  <c r="W31" i="80"/>
  <c r="U35" i="80"/>
  <c r="W36" i="80"/>
  <c r="W40" i="80"/>
  <c r="AA42" i="80"/>
  <c r="U9" i="80"/>
  <c r="U12" i="80"/>
  <c r="S13" i="80"/>
  <c r="W13" i="80"/>
  <c r="U14" i="80"/>
  <c r="U17" i="80"/>
  <c r="U19" i="80"/>
  <c r="U21"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H30" i="21"/>
  <c r="U30" i="21" s="1"/>
  <c r="F30" i="21"/>
  <c r="S30" i="21" s="1"/>
  <c r="J30" i="21"/>
  <c r="AC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43" i="21"/>
  <c r="W36" i="21"/>
  <c r="W41"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J33" i="21"/>
  <c r="W33" i="21" s="1"/>
  <c r="H33" i="21"/>
  <c r="AB33" i="21" s="1"/>
  <c r="F37" i="21"/>
  <c r="AA37" i="21" s="1"/>
  <c r="U40" i="21"/>
  <c r="W8" i="21"/>
  <c r="AB37"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AA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AA29" i="21"/>
  <c r="C30" i="11"/>
  <c r="F99" i="39"/>
  <c r="G99" i="39"/>
  <c r="AB21" i="39"/>
  <c r="B56" i="43"/>
  <c r="C25" i="39"/>
  <c r="C15" i="39"/>
  <c r="B54" i="43"/>
  <c r="C27" i="39"/>
  <c r="B49" i="43"/>
  <c r="U43" i="21"/>
  <c r="S40" i="21"/>
  <c r="AB9" i="21"/>
  <c r="U12" i="21"/>
  <c r="U35" i="21"/>
  <c r="AC37"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B7" i="76"/>
  <c r="AO8" i="1"/>
  <c r="F20" i="31"/>
  <c r="F35" i="15"/>
  <c r="F3" i="73"/>
  <c r="M24" i="67"/>
  <c r="F40" i="67"/>
  <c r="B9" i="76"/>
  <c r="M9" i="15"/>
  <c r="B10" i="76"/>
  <c r="M28" i="15"/>
  <c r="D4" i="73"/>
  <c r="F36" i="15"/>
  <c r="F42" i="67"/>
  <c r="AO9" i="1"/>
  <c r="M22" i="67"/>
  <c r="F37" i="15"/>
  <c r="L48" i="15"/>
  <c r="M22" i="15"/>
  <c r="C76" i="67"/>
  <c r="F38" i="67"/>
  <c r="D2" i="21"/>
  <c r="B8" i="76"/>
  <c r="F13" i="67"/>
  <c r="M26" i="15"/>
  <c r="M21" i="15"/>
  <c r="E13" i="76"/>
  <c r="F7" i="67"/>
  <c r="E7" i="76"/>
  <c r="E10" i="76"/>
  <c r="E9" i="76"/>
  <c r="E11" i="76"/>
  <c r="M28" i="67"/>
  <c r="F43" i="15"/>
  <c r="F7" i="15"/>
  <c r="E8" i="76"/>
  <c r="F41" i="67"/>
  <c r="M6" i="15"/>
  <c r="M23" i="15"/>
  <c r="L47" i="67"/>
  <c r="F8" i="15"/>
  <c r="M9" i="67"/>
  <c r="M8" i="67"/>
  <c r="D5" i="73"/>
  <c r="M21" i="67"/>
  <c r="F37" i="67"/>
  <c r="D3" i="73"/>
  <c r="D6" i="73"/>
  <c r="F38" i="15"/>
  <c r="F35" i="67"/>
  <c r="M24" i="15"/>
  <c r="AO7" i="1"/>
  <c r="M27" i="67"/>
  <c r="F16" i="15"/>
  <c r="M23" i="67"/>
  <c r="AO11" i="1"/>
  <c r="F40" i="15"/>
  <c r="D2" i="35"/>
  <c r="E2" i="69"/>
  <c r="F5" i="73"/>
  <c r="M26" i="67"/>
  <c r="B13" i="76"/>
  <c r="F6" i="73"/>
  <c r="D7" i="73"/>
  <c r="F41" i="15"/>
  <c r="F26" i="67"/>
  <c r="E2" i="68"/>
  <c r="M27" i="15"/>
  <c r="D2" i="37"/>
  <c r="F27" i="68"/>
  <c r="F26" i="15"/>
  <c r="C14" i="15"/>
  <c r="F16" i="67"/>
  <c r="F9" i="15"/>
  <c r="D35" i="9"/>
  <c r="F36" i="67"/>
  <c r="F4" i="73"/>
  <c r="D9" i="68"/>
  <c r="F42" i="15"/>
  <c r="AO10" i="1"/>
  <c r="M6" i="67"/>
  <c r="D34" i="9"/>
  <c r="D2" i="36"/>
  <c r="F9" i="67"/>
  <c r="AO13" i="1"/>
  <c r="E12" i="76"/>
  <c r="F6" i="15"/>
  <c r="D2" i="33"/>
  <c r="C76" i="15"/>
  <c r="L48" i="67"/>
  <c r="J15" i="67"/>
  <c r="L47" i="15"/>
  <c r="D2" i="34"/>
  <c r="AO12" i="1"/>
  <c r="M29" i="15"/>
  <c r="B11" i="76"/>
  <c r="F43" i="67"/>
  <c r="B12" i="76"/>
  <c r="F6" i="67"/>
  <c r="F13" i="15"/>
  <c r="J15" i="15"/>
  <c r="F8" i="67"/>
  <c r="M8" i="15"/>
  <c r="F7" i="73"/>
  <c r="F23" i="21" l="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17" i="21"/>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J6" i="67"/>
  <c r="C27" i="15"/>
  <c r="B23" i="49"/>
  <c r="E22" i="49"/>
  <c r="E9" i="49"/>
  <c r="B5" i="49"/>
  <c r="B22" i="49"/>
  <c r="B8" i="49"/>
  <c r="E5" i="49"/>
  <c r="E8" i="49"/>
  <c r="B9" i="49"/>
  <c r="E7" i="49"/>
  <c r="B10" i="49"/>
  <c r="E4" i="4" s="1"/>
  <c r="C36" i="68"/>
  <c r="C17" i="67"/>
  <c r="C14" i="67"/>
  <c r="AE6" i="1"/>
  <c r="C16" i="67"/>
  <c r="C17" i="15"/>
  <c r="C16" i="15"/>
  <c r="G1" i="73"/>
  <c r="W23" i="21" l="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R48" i="21"/>
  <c r="R47" i="80"/>
  <c r="E47" i="80" s="1"/>
  <c r="V47" i="80"/>
  <c r="I47"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Q6" i="82"/>
  <c r="T48" i="21"/>
  <c r="G48" i="21" s="1"/>
  <c r="G52" i="21" s="1"/>
  <c r="H52"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3" i="21" l="1"/>
  <c r="H53" i="21" s="1"/>
  <c r="R49" i="21"/>
  <c r="C48" i="21" s="1"/>
  <c r="N16" i="82" s="1"/>
  <c r="E48" i="21"/>
  <c r="I53" i="21" s="1"/>
  <c r="J53" i="21" s="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E52" i="21" l="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D19" i="9"/>
  <c r="B6" i="76"/>
  <c r="L51" i="15"/>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AO6" i="1"/>
  <c r="C19" i="9"/>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<sst xmlns="http://schemas.openxmlformats.org/spreadsheetml/2006/main" count="8832" uniqueCount="3682">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</sst>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14" fontId="281" fillId="21" borderId="0" xfId="0" applyNumberFormat="1" applyFont="1" applyFill="1" applyAlignment="1"/>
    <xf numFmtId="0" fontId="113" fillId="7" borderId="0" xfId="0" applyFont="1" applyFill="1" applyAlignment="1"/>
    <xf numFmtId="14" fontId="113" fillId="7" borderId="0" xfId="0" applyNumberFormat="1"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13" fillId="22" borderId="0" xfId="0" applyFont="1" applyFill="1" applyAlignment="1"/>
    <xf numFmtId="14" fontId="113" fillId="22" borderId="0" xfId="0" applyNumberFormat="1" applyFont="1" applyFill="1" applyAlignment="1"/>
    <xf numFmtId="0" fontId="281" fillId="22" borderId="0" xfId="0" applyFont="1" applyFill="1" applyAlignment="1"/>
    <xf numFmtId="14" fontId="281" fillId="22" borderId="0" xfId="0" applyNumberFormat="1"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49" fontId="106" fillId="0" borderId="11" xfId="0" applyNumberFormat="1" applyFont="1" applyFill="1" applyBorder="1" applyAlignment="1" applyProtection="1">
      <alignment horizontal="center" vertical="center" wrapText="1"/>
      <protection locked="0"/>
    </xf>
    <xf numFmtId="49" fontId="106" fillId="0" borderId="22"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20.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17</xdr:col>
      <xdr:colOff>40954</xdr:colOff>
      <xdr:row>58</xdr:row>
      <xdr:rowOff>6858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687917" y="5418667"/>
          <a:ext cx="11047620" cy="4409524"/>
        </a:xfrm>
        <a:prstGeom prst="rect">
          <a:avLst/>
        </a:prstGeom>
      </xdr:spPr>
    </xdr:pic>
    <xdr:clientData/>
  </xdr:twoCellAnchor>
  <xdr:twoCellAnchor editAs="oneCell">
    <xdr:from>
      <xdr:col>0</xdr:col>
      <xdr:colOff>116416</xdr:colOff>
      <xdr:row>12</xdr:row>
      <xdr:rowOff>52916</xdr:rowOff>
    </xdr:from>
    <xdr:to>
      <xdr:col>10</xdr:col>
      <xdr:colOff>201083</xdr:colOff>
      <xdr:row>18</xdr:row>
      <xdr:rowOff>97888</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2"/>
        <a:stretch>
          <a:fillRect/>
        </a:stretch>
      </xdr:blipFill>
      <xdr:spPr>
        <a:xfrm>
          <a:off x="116416" y="2084916"/>
          <a:ext cx="6963834" cy="1060972"/>
        </a:xfrm>
        <a:prstGeom prst="rect">
          <a:avLst/>
        </a:prstGeom>
      </xdr:spPr>
    </xdr:pic>
    <xdr:clientData/>
  </xdr:twoCellAnchor>
  <xdr:twoCellAnchor editAs="oneCell">
    <xdr:from>
      <xdr:col>0</xdr:col>
      <xdr:colOff>253999</xdr:colOff>
      <xdr:row>0</xdr:row>
      <xdr:rowOff>158749</xdr:rowOff>
    </xdr:from>
    <xdr:to>
      <xdr:col>10</xdr:col>
      <xdr:colOff>251022</xdr:colOff>
      <xdr:row>5</xdr:row>
      <xdr:rowOff>159701</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3"/>
        <a:stretch>
          <a:fillRect/>
        </a:stretch>
      </xdr:blipFill>
      <xdr:spPr>
        <a:xfrm>
          <a:off x="253999" y="158749"/>
          <a:ext cx="6876190" cy="847619"/>
        </a:xfrm>
        <a:prstGeom prst="rect">
          <a:avLst/>
        </a:prstGeom>
      </xdr:spPr>
    </xdr:pic>
    <xdr:clientData/>
  </xdr:twoCellAnchor>
  <xdr:twoCellAnchor editAs="oneCell">
    <xdr:from>
      <xdr:col>0</xdr:col>
      <xdr:colOff>169333</xdr:colOff>
      <xdr:row>6</xdr:row>
      <xdr:rowOff>74083</xdr:rowOff>
    </xdr:from>
    <xdr:to>
      <xdr:col>10</xdr:col>
      <xdr:colOff>394928</xdr:colOff>
      <xdr:row>11</xdr:row>
      <xdr:rowOff>103606</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4"/>
        <a:stretch>
          <a:fillRect/>
        </a:stretch>
      </xdr:blipFill>
      <xdr:spPr>
        <a:xfrm>
          <a:off x="169333" y="1090083"/>
          <a:ext cx="7104762" cy="876190"/>
        </a:xfrm>
        <a:prstGeom prst="rect">
          <a:avLst/>
        </a:prstGeom>
      </xdr:spPr>
    </xdr:pic>
    <xdr:clientData/>
  </xdr:twoCellAnchor>
  <xdr:twoCellAnchor editAs="oneCell">
    <xdr:from>
      <xdr:col>0</xdr:col>
      <xdr:colOff>285750</xdr:colOff>
      <xdr:row>18</xdr:row>
      <xdr:rowOff>158750</xdr:rowOff>
    </xdr:from>
    <xdr:to>
      <xdr:col>8</xdr:col>
      <xdr:colOff>439560</xdr:colOff>
      <xdr:row>24</xdr:row>
      <xdr:rowOff>9417</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5"/>
        <a:stretch>
          <a:fillRect/>
        </a:stretch>
      </xdr:blipFill>
      <xdr:spPr>
        <a:xfrm>
          <a:off x="285750" y="3206750"/>
          <a:ext cx="5657143" cy="866667"/>
        </a:xfrm>
        <a:prstGeom prst="rect">
          <a:avLst/>
        </a:prstGeom>
      </xdr:spPr>
    </xdr:pic>
    <xdr:clientData/>
  </xdr:twoCellAnchor>
  <xdr:twoCellAnchor editAs="oneCell">
    <xdr:from>
      <xdr:col>0</xdr:col>
      <xdr:colOff>338667</xdr:colOff>
      <xdr:row>25</xdr:row>
      <xdr:rowOff>52917</xdr:rowOff>
    </xdr:from>
    <xdr:to>
      <xdr:col>10</xdr:col>
      <xdr:colOff>526167</xdr:colOff>
      <xdr:row>35</xdr:row>
      <xdr:rowOff>54821</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6"/>
        <a:stretch>
          <a:fillRect/>
        </a:stretch>
      </xdr:blipFill>
      <xdr:spPr>
        <a:xfrm>
          <a:off x="338667" y="4286250"/>
          <a:ext cx="7066667" cy="1695238"/>
        </a:xfrm>
        <a:prstGeom prst="rect">
          <a:avLst/>
        </a:prstGeom>
      </xdr:spPr>
    </xdr:pic>
    <xdr:clientData/>
  </xdr:twoCellAnchor>
  <xdr:twoCellAnchor editAs="oneCell">
    <xdr:from>
      <xdr:col>10</xdr:col>
      <xdr:colOff>254000</xdr:colOff>
      <xdr:row>1</xdr:row>
      <xdr:rowOff>137584</xdr:rowOff>
    </xdr:from>
    <xdr:to>
      <xdr:col>20</xdr:col>
      <xdr:colOff>317691</xdr:colOff>
      <xdr:row>27</xdr:row>
      <xdr:rowOff>68250</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7"/>
        <a:stretch>
          <a:fillRect/>
        </a:stretch>
      </xdr:blipFill>
      <xdr:spPr>
        <a:xfrm>
          <a:off x="7133167" y="306917"/>
          <a:ext cx="6942857" cy="43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107155</xdr:colOff>
      <xdr:row>14</xdr:row>
      <xdr:rowOff>511968</xdr:rowOff>
    </xdr:from>
    <xdr:to>
      <xdr:col>20</xdr:col>
      <xdr:colOff>96762</xdr:colOff>
      <xdr:row>30</xdr:row>
      <xdr:rowOff>37565</xdr:rowOff>
    </xdr:to>
    <xdr:pic>
      <xdr:nvPicPr>
        <xdr:cNvPr id="3" name="图片 2">
          <a:extLst>
            <a:ext uri="{FF2B5EF4-FFF2-40B4-BE49-F238E27FC236}">
              <a16:creationId xmlns:a16="http://schemas.microsoft.com/office/drawing/2014/main" id="{EFC3EC65-7C18-4309-B461-3B8CC8FBD7CD}"/>
            </a:ext>
          </a:extLst>
        </xdr:cNvPr>
        <xdr:cNvPicPr>
          <a:picLocks noChangeAspect="1"/>
        </xdr:cNvPicPr>
      </xdr:nvPicPr>
      <xdr:blipFill>
        <a:blip xmlns:r="http://schemas.openxmlformats.org/officeDocument/2006/relationships" r:embed="rId1"/>
        <a:stretch>
          <a:fillRect/>
        </a:stretch>
      </xdr:blipFill>
      <xdr:spPr>
        <a:xfrm>
          <a:off x="12275343" y="4202906"/>
          <a:ext cx="6942857" cy="4276190"/>
        </a:xfrm>
        <a:prstGeom prst="rect">
          <a:avLst/>
        </a:prstGeom>
      </xdr:spPr>
    </xdr:pic>
    <xdr:clientData/>
  </xdr:twoCellAnchor>
  <xdr:twoCellAnchor editAs="oneCell">
    <xdr:from>
      <xdr:col>11</xdr:col>
      <xdr:colOff>95250</xdr:colOff>
      <xdr:row>31</xdr:row>
      <xdr:rowOff>261938</xdr:rowOff>
    </xdr:from>
    <xdr:to>
      <xdr:col>21</xdr:col>
      <xdr:colOff>287181</xdr:colOff>
      <xdr:row>60</xdr:row>
      <xdr:rowOff>92320</xdr:rowOff>
    </xdr:to>
    <xdr:pic>
      <xdr:nvPicPr>
        <xdr:cNvPr id="4" name="图片 3">
          <a:extLst>
            <a:ext uri="{FF2B5EF4-FFF2-40B4-BE49-F238E27FC236}">
              <a16:creationId xmlns:a16="http://schemas.microsoft.com/office/drawing/2014/main" id="{E1643281-8597-4045-BA2D-49017C191CB5}"/>
            </a:ext>
          </a:extLst>
        </xdr:cNvPr>
        <xdr:cNvPicPr>
          <a:picLocks noChangeAspect="1"/>
        </xdr:cNvPicPr>
      </xdr:nvPicPr>
      <xdr:blipFill>
        <a:blip xmlns:r="http://schemas.openxmlformats.org/officeDocument/2006/relationships" r:embed="rId2"/>
        <a:stretch>
          <a:fillRect/>
        </a:stretch>
      </xdr:blipFill>
      <xdr:spPr>
        <a:xfrm>
          <a:off x="12263438" y="8893969"/>
          <a:ext cx="7609524" cy="4390476"/>
        </a:xfrm>
        <a:prstGeom prst="rect">
          <a:avLst/>
        </a:prstGeom>
      </xdr:spPr>
    </xdr:pic>
    <xdr:clientData/>
  </xdr:twoCellAnchor>
  <xdr:twoCellAnchor editAs="oneCell">
    <xdr:from>
      <xdr:col>14</xdr:col>
      <xdr:colOff>357188</xdr:colOff>
      <xdr:row>1</xdr:row>
      <xdr:rowOff>71435</xdr:rowOff>
    </xdr:from>
    <xdr:to>
      <xdr:col>20</xdr:col>
      <xdr:colOff>399524</xdr:colOff>
      <xdr:row>14</xdr:row>
      <xdr:rowOff>137685</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3"/>
        <a:stretch>
          <a:fillRect/>
        </a:stretch>
      </xdr:blipFill>
      <xdr:spPr>
        <a:xfrm>
          <a:off x="15311438" y="428623"/>
          <a:ext cx="4209524" cy="3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15</xdr:row>
      <xdr:rowOff>0</xdr:rowOff>
    </xdr:from>
    <xdr:to>
      <xdr:col>2</xdr:col>
      <xdr:colOff>2485615</xdr:colOff>
      <xdr:row>43</xdr:row>
      <xdr:rowOff>37420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104775" y="1362075"/>
          <a:ext cx="4809715" cy="4304620"/>
        </a:xfrm>
        <a:prstGeom prst="rect">
          <a:avLst/>
        </a:prstGeom>
      </xdr:spPr>
    </xdr:pic>
    <xdr:clientData/>
  </xdr:twoCellAnchor>
  <xdr:twoCellAnchor editAs="oneCell">
    <xdr:from>
      <xdr:col>2</xdr:col>
      <xdr:colOff>2533650</xdr:colOff>
      <xdr:row>15</xdr:row>
      <xdr:rowOff>9525</xdr:rowOff>
    </xdr:from>
    <xdr:to>
      <xdr:col>8</xdr:col>
      <xdr:colOff>170582</xdr:colOff>
      <xdr:row>43</xdr:row>
      <xdr:rowOff>18515</xdr:rowOff>
    </xdr:to>
    <xdr:pic>
      <xdr:nvPicPr>
        <xdr:cNvPr id="3" name="图片 2">
          <a:extLst>
            <a:ext uri="{FF2B5EF4-FFF2-40B4-BE49-F238E27FC236}">
              <a16:creationId xmlns:a16="http://schemas.microsoft.com/office/drawing/2014/main" id="{6C069B97-8912-41B2-8958-7C6B40BCC5F3}"/>
            </a:ext>
          </a:extLst>
        </xdr:cNvPr>
        <xdr:cNvPicPr>
          <a:picLocks noChangeAspect="1"/>
        </xdr:cNvPicPr>
      </xdr:nvPicPr>
      <xdr:blipFill>
        <a:blip xmlns:r="http://schemas.openxmlformats.org/officeDocument/2006/relationships" r:embed="rId2"/>
        <a:stretch>
          <a:fillRect/>
        </a:stretch>
      </xdr:blipFill>
      <xdr:spPr>
        <a:xfrm>
          <a:off x="4962525" y="1524000"/>
          <a:ext cx="6942857" cy="4276190"/>
        </a:xfrm>
        <a:prstGeom prst="rect">
          <a:avLst/>
        </a:prstGeom>
      </xdr:spPr>
    </xdr:pic>
    <xdr:clientData/>
  </xdr:twoCellAnchor>
  <xdr:twoCellAnchor editAs="oneCell">
    <xdr:from>
      <xdr:col>0</xdr:col>
      <xdr:colOff>152400</xdr:colOff>
      <xdr:row>14</xdr:row>
      <xdr:rowOff>85726</xdr:rowOff>
    </xdr:from>
    <xdr:to>
      <xdr:col>5</xdr:col>
      <xdr:colOff>712826</xdr:colOff>
      <xdr:row>24</xdr:row>
      <xdr:rowOff>142876</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3"/>
        <a:stretch>
          <a:fillRect/>
        </a:stretch>
      </xdr:blipFill>
      <xdr:spPr>
        <a:xfrm>
          <a:off x="152400" y="1447801"/>
          <a:ext cx="9266276" cy="1581150"/>
        </a:xfrm>
        <a:prstGeom prst="rect">
          <a:avLst/>
        </a:prstGeom>
      </xdr:spPr>
    </xdr:pic>
    <xdr:clientData/>
  </xdr:twoCellAnchor>
  <xdr:twoCellAnchor editAs="oneCell">
    <xdr:from>
      <xdr:col>2</xdr:col>
      <xdr:colOff>4781550</xdr:colOff>
      <xdr:row>47</xdr:row>
      <xdr:rowOff>0</xdr:rowOff>
    </xdr:from>
    <xdr:to>
      <xdr:col>7</xdr:col>
      <xdr:colOff>570990</xdr:colOff>
      <xdr:row>72</xdr:row>
      <xdr:rowOff>132857</xdr:rowOff>
    </xdr:to>
    <xdr:pic>
      <xdr:nvPicPr>
        <xdr:cNvPr id="7" name="图片 6">
          <a:extLst>
            <a:ext uri="{FF2B5EF4-FFF2-40B4-BE49-F238E27FC236}">
              <a16:creationId xmlns:a16="http://schemas.microsoft.com/office/drawing/2014/main" id="{31BAB180-C2F8-4D0C-BBA7-BCE883BEE10E}"/>
            </a:ext>
          </a:extLst>
        </xdr:cNvPr>
        <xdr:cNvPicPr>
          <a:picLocks noChangeAspect="1"/>
        </xdr:cNvPicPr>
      </xdr:nvPicPr>
      <xdr:blipFill>
        <a:blip xmlns:r="http://schemas.openxmlformats.org/officeDocument/2006/relationships" r:embed="rId4"/>
        <a:stretch>
          <a:fillRect/>
        </a:stretch>
      </xdr:blipFill>
      <xdr:spPr>
        <a:xfrm>
          <a:off x="7210425" y="6696075"/>
          <a:ext cx="4076190" cy="3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43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2017" t="s">
        <v>864</v>
      </c>
      <c r="C54" s="2014" t="s">
        <v>1281</v>
      </c>
    </row>
    <row r="55" spans="1:4">
      <c r="A55" s="3437"/>
      <c r="B55" s="2017" t="s">
        <v>865</v>
      </c>
      <c r="C55" s="2014" t="s">
        <v>1282</v>
      </c>
    </row>
    <row r="56" spans="1:4">
      <c r="A56" s="3437"/>
      <c r="B56" s="2017" t="s">
        <v>866</v>
      </c>
      <c r="C56" s="2014" t="s">
        <v>1286</v>
      </c>
    </row>
    <row r="57" spans="1:4">
      <c r="A57" s="343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2" customWidth="1"/>
    <col min="2" max="4" width="9" style="3182"/>
    <col min="5" max="5" width="19.5" style="3182" customWidth="1"/>
    <col min="6" max="16384" width="9" style="3182"/>
  </cols>
  <sheetData>
    <row r="1" spans="1:6">
      <c r="A1" s="3077" t="s">
        <v>1369</v>
      </c>
      <c r="B1" s="3077" t="s">
        <v>3619</v>
      </c>
      <c r="C1" s="3077" t="s">
        <v>3620</v>
      </c>
      <c r="D1" s="3077" t="s">
        <v>3621</v>
      </c>
      <c r="E1" s="3077" t="s">
        <v>3622</v>
      </c>
    </row>
    <row r="2" spans="1:6" s="3223" customFormat="1">
      <c r="A2" s="3225" t="s">
        <v>3623</v>
      </c>
      <c r="B2" s="3225">
        <v>999</v>
      </c>
      <c r="C2" s="3225">
        <v>29000</v>
      </c>
      <c r="D2" s="3226">
        <v>0.57899999999999996</v>
      </c>
      <c r="E2" s="3227">
        <v>0.6</v>
      </c>
    </row>
    <row r="3" spans="1:6">
      <c r="A3" s="3077" t="s">
        <v>3624</v>
      </c>
      <c r="B3" s="3077">
        <v>171</v>
      </c>
      <c r="C3" s="3077">
        <v>17500</v>
      </c>
      <c r="D3" s="3228">
        <v>0.376</v>
      </c>
      <c r="E3" s="3229">
        <v>0.4</v>
      </c>
    </row>
    <row r="4" spans="1:6" s="3223" customFormat="1">
      <c r="A4" s="3225" t="s">
        <v>3625</v>
      </c>
      <c r="B4" s="3225">
        <v>584</v>
      </c>
      <c r="C4" s="3225">
        <v>29000</v>
      </c>
      <c r="D4" s="3226">
        <v>0.56000000000000005</v>
      </c>
      <c r="E4" s="3227">
        <v>0.6</v>
      </c>
    </row>
    <row r="5" spans="1:6" s="3223" customFormat="1">
      <c r="A5" s="3230" t="s">
        <v>3626</v>
      </c>
      <c r="B5" s="3230">
        <v>2224</v>
      </c>
      <c r="C5" s="3230">
        <v>29000</v>
      </c>
      <c r="D5" s="3231">
        <v>0.76</v>
      </c>
      <c r="E5" s="3232">
        <v>0.8</v>
      </c>
    </row>
    <row r="6" spans="1:6">
      <c r="A6" s="3077" t="s">
        <v>3627</v>
      </c>
      <c r="B6" s="3077">
        <v>360</v>
      </c>
      <c r="C6" s="3077">
        <v>30000</v>
      </c>
      <c r="D6" s="3228">
        <v>0.66700000000000004</v>
      </c>
      <c r="E6" s="3229">
        <v>0.7</v>
      </c>
    </row>
    <row r="7" spans="1:6">
      <c r="A7" s="3233" t="s">
        <v>3635</v>
      </c>
      <c r="B7" s="3233">
        <v>1508</v>
      </c>
      <c r="C7" s="3233">
        <v>29000</v>
      </c>
      <c r="D7" s="3234">
        <v>0.66800000000000004</v>
      </c>
      <c r="E7" s="3235">
        <v>0.7</v>
      </c>
      <c r="F7" s="3224"/>
    </row>
    <row r="8" spans="1:6">
      <c r="A8" s="3233" t="s">
        <v>3634</v>
      </c>
      <c r="B8" s="3233">
        <v>1101</v>
      </c>
      <c r="C8" s="3233">
        <v>29000</v>
      </c>
      <c r="D8" s="3234">
        <v>0.66800000000000004</v>
      </c>
      <c r="E8" s="3235">
        <v>0.7</v>
      </c>
      <c r="F8" s="3224"/>
    </row>
    <row r="9" spans="1:6">
      <c r="A9" s="3236" t="s">
        <v>3638</v>
      </c>
      <c r="B9" s="3236">
        <v>1130</v>
      </c>
      <c r="C9" s="3236">
        <v>29000</v>
      </c>
      <c r="D9" s="3236"/>
      <c r="E9" s="3237">
        <v>0.7</v>
      </c>
    </row>
    <row r="10" spans="1:6">
      <c r="A10" s="3077" t="s">
        <v>3628</v>
      </c>
      <c r="B10" s="3077">
        <v>348</v>
      </c>
      <c r="C10" s="3077"/>
      <c r="D10" s="3077"/>
      <c r="E10" s="3229">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F9" sqref="F9"/>
    </sheetView>
  </sheetViews>
  <sheetFormatPr defaultRowHeight="23.25" customHeight="1"/>
  <cols>
    <col min="1" max="1" width="5.75" style="3107" customWidth="1"/>
    <col min="2" max="2" width="14" style="3107" customWidth="1"/>
    <col min="3" max="3" width="12.375" style="3107" customWidth="1"/>
    <col min="4" max="4" width="22.125" style="3107" customWidth="1"/>
    <col min="5" max="5" width="13.25" style="3107" customWidth="1"/>
    <col min="6" max="9" width="9" style="3107"/>
    <col min="10" max="10" width="26.875" style="3107" customWidth="1"/>
    <col min="11" max="11" width="18.125" style="3107" customWidth="1"/>
    <col min="12" max="16384" width="9" style="3107"/>
  </cols>
  <sheetData>
    <row r="1" spans="1:74" ht="23.25" customHeight="1">
      <c r="A1" s="3438" t="s">
        <v>3644</v>
      </c>
      <c r="B1" s="3438"/>
      <c r="C1" s="3438"/>
      <c r="D1" s="3438"/>
      <c r="E1" s="3438"/>
      <c r="F1" s="3438"/>
      <c r="G1" s="3438"/>
      <c r="H1" s="3438"/>
      <c r="I1" s="3438"/>
      <c r="J1" s="3438"/>
      <c r="K1" s="3438"/>
      <c r="L1" s="3438"/>
    </row>
    <row r="2" spans="1:74" ht="23.25" customHeight="1">
      <c r="A2" s="3108" t="s">
        <v>3237</v>
      </c>
      <c r="B2" s="3108" t="s">
        <v>3518</v>
      </c>
      <c r="C2" s="3108" t="s">
        <v>3519</v>
      </c>
      <c r="D2" s="3108" t="s">
        <v>3540</v>
      </c>
      <c r="E2" s="3108" t="s">
        <v>3520</v>
      </c>
      <c r="F2" s="3108" t="s">
        <v>3521</v>
      </c>
      <c r="G2" s="3108" t="s">
        <v>3522</v>
      </c>
      <c r="H2" s="3108" t="s">
        <v>3311</v>
      </c>
      <c r="I2" s="3108" t="s">
        <v>3523</v>
      </c>
      <c r="J2" s="3108"/>
      <c r="K2" s="3108"/>
      <c r="L2" s="3108"/>
    </row>
    <row r="3" spans="1:74" s="3181" customFormat="1" ht="23.25" customHeight="1">
      <c r="A3" s="3108">
        <v>1</v>
      </c>
      <c r="B3" s="3108" t="s">
        <v>3537</v>
      </c>
      <c r="C3" s="3108" t="s">
        <v>3539</v>
      </c>
      <c r="D3" s="3108">
        <v>47124.014000000003</v>
      </c>
      <c r="E3" s="3108">
        <v>103672.83100000001</v>
      </c>
      <c r="F3" s="3108">
        <f>ROUND(E3/D3,2)</f>
        <v>2.2000000000000002</v>
      </c>
      <c r="G3" s="3108">
        <v>45</v>
      </c>
      <c r="H3" s="3108">
        <v>40</v>
      </c>
      <c r="I3" s="3108">
        <v>30</v>
      </c>
      <c r="J3" s="3438" t="s">
        <v>3527</v>
      </c>
      <c r="K3" s="3438"/>
      <c r="L3" s="3438"/>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row>
    <row r="4" spans="1:74" s="3181" customFormat="1" ht="23.25" customHeight="1">
      <c r="A4" s="3108">
        <v>2</v>
      </c>
      <c r="B4" s="3108" t="s">
        <v>3538</v>
      </c>
      <c r="C4" s="3108" t="s">
        <v>3517</v>
      </c>
      <c r="D4" s="3108">
        <v>52499.519999999997</v>
      </c>
      <c r="E4" s="3108">
        <v>115498.944</v>
      </c>
      <c r="F4" s="3108">
        <f>ROUND(E4/D4,2)</f>
        <v>2.2000000000000002</v>
      </c>
      <c r="G4" s="3108">
        <v>45</v>
      </c>
      <c r="H4" s="3108">
        <v>40</v>
      </c>
      <c r="I4" s="3108">
        <v>30</v>
      </c>
      <c r="J4" s="3438"/>
      <c r="K4" s="3438"/>
      <c r="L4" s="3438"/>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row>
    <row r="5" spans="1:74" ht="23.25" customHeight="1">
      <c r="A5" s="3108" t="s">
        <v>3516</v>
      </c>
      <c r="B5" s="3108"/>
      <c r="C5" s="3108"/>
      <c r="D5" s="3108">
        <f>D3+D4</f>
        <v>99623.534</v>
      </c>
      <c r="E5" s="3108">
        <f>E3+E4</f>
        <v>219171.77500000002</v>
      </c>
      <c r="F5" s="3108"/>
      <c r="G5" s="3108"/>
      <c r="H5" s="3108"/>
      <c r="I5" s="3108"/>
      <c r="J5" s="3108"/>
      <c r="K5" s="3108"/>
      <c r="L5" s="3108"/>
    </row>
    <row r="6" spans="1:74" ht="23.25" customHeight="1">
      <c r="E6" s="3107">
        <v>4080</v>
      </c>
    </row>
    <row r="7" spans="1:74" ht="23.25" customHeight="1">
      <c r="E7" s="3107">
        <f>E5+E6</f>
        <v>223251.77500000002</v>
      </c>
    </row>
    <row r="8" spans="1:74" ht="23.25" customHeight="1">
      <c r="B8" s="3439" t="s">
        <v>3526</v>
      </c>
      <c r="C8" s="3439"/>
      <c r="D8" s="3439"/>
      <c r="E8" s="3439"/>
      <c r="F8" s="3439"/>
      <c r="G8" s="3439"/>
      <c r="H8" s="3439"/>
      <c r="I8" s="3439"/>
      <c r="J8" s="3439"/>
    </row>
    <row r="10" spans="1:74" ht="23.25" customHeight="1">
      <c r="D10" s="3182" t="s">
        <v>3528</v>
      </c>
      <c r="E10" s="3107">
        <v>350</v>
      </c>
    </row>
    <row r="11" spans="1:74" ht="23.25" customHeight="1">
      <c r="D11" s="3182" t="s">
        <v>3529</v>
      </c>
      <c r="E11" s="3107">
        <v>460</v>
      </c>
    </row>
    <row r="12" spans="1:74" ht="23.25" customHeight="1">
      <c r="D12" s="3182" t="s">
        <v>3530</v>
      </c>
      <c r="E12" s="3183">
        <v>250</v>
      </c>
    </row>
    <row r="13" spans="1:74" ht="23.25" customHeight="1">
      <c r="D13" s="3184" t="s">
        <v>3535</v>
      </c>
      <c r="E13" s="3183">
        <v>250</v>
      </c>
    </row>
    <row r="14" spans="1:74" ht="23.25" customHeight="1">
      <c r="D14" s="3182" t="s">
        <v>3531</v>
      </c>
      <c r="E14" s="3107">
        <v>50</v>
      </c>
    </row>
    <row r="15" spans="1:74" ht="23.25" customHeight="1">
      <c r="D15" s="3182" t="s">
        <v>3532</v>
      </c>
      <c r="E15" s="3107">
        <v>30</v>
      </c>
    </row>
    <row r="16" spans="1:74" ht="23.25" customHeight="1">
      <c r="D16" s="3182" t="s">
        <v>3533</v>
      </c>
      <c r="E16" s="3107">
        <v>50</v>
      </c>
    </row>
    <row r="17" spans="3:5" ht="23.25" customHeight="1">
      <c r="D17" s="3182" t="s">
        <v>3534</v>
      </c>
      <c r="E17" s="3107">
        <v>25</v>
      </c>
    </row>
    <row r="18" spans="3:5" ht="23.25" customHeight="1">
      <c r="D18" s="3185" t="s">
        <v>3617</v>
      </c>
    </row>
    <row r="19" spans="3:5" ht="23.25" customHeight="1">
      <c r="E19" s="3107">
        <f>SUM(E10:E18)</f>
        <v>1465</v>
      </c>
    </row>
    <row r="20" spans="3:5" ht="23.25" customHeight="1">
      <c r="C20" s="3107" t="s">
        <v>3618</v>
      </c>
      <c r="D20" s="3107">
        <f>E3-E19</f>
        <v>102207.83100000001</v>
      </c>
    </row>
    <row r="22" spans="3:5" ht="23.25" customHeight="1">
      <c r="C22" s="3107" t="s">
        <v>3536</v>
      </c>
      <c r="D22" s="3107">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440" t="str">
        <f>IF(B10="北京市","北京市",C10)&amp;F10&amp;IF(结果表!G1="在建","出让国有建设用地使用权及在建建筑物",IF(结果表!G1="土地","出让国有建设用地使用权",))&amp;B9&amp;"预评估"</f>
        <v>北京市房地产市场价值预评估</v>
      </c>
      <c r="C1" s="3441"/>
      <c r="D1" s="3441"/>
      <c r="E1" s="3441"/>
      <c r="F1" s="3441"/>
      <c r="G1" s="3441"/>
      <c r="H1" s="3441"/>
      <c r="I1" s="3442"/>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443"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444"/>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450"/>
      <c r="C16" s="3451"/>
      <c r="D16" s="3452"/>
      <c r="E16" s="2081" t="s">
        <v>1802</v>
      </c>
      <c r="F16" s="3453"/>
      <c r="G16" s="3454"/>
      <c r="H16" s="3454"/>
      <c r="I16" s="3455"/>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456" t="s">
        <v>1806</v>
      </c>
      <c r="F17" s="3457"/>
      <c r="G17" s="3457"/>
      <c r="H17" s="3457"/>
      <c r="I17" s="3458"/>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459" t="s">
        <v>1809</v>
      </c>
      <c r="F18" s="3460"/>
      <c r="G18" s="3460"/>
      <c r="H18" s="3460"/>
      <c r="I18" s="3461"/>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446" t="s">
        <v>1814</v>
      </c>
      <c r="C20" s="3447"/>
      <c r="D20" s="3448" t="s">
        <v>1815</v>
      </c>
      <c r="E20" s="3449"/>
      <c r="F20" s="2093" t="s">
        <v>1816</v>
      </c>
      <c r="G20" s="2037"/>
      <c r="H20" s="2037"/>
      <c r="I20" s="2037"/>
      <c r="J20" s="2037"/>
      <c r="K20" s="3445"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445"/>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445"/>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463"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463"/>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463"/>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464"/>
      <c r="B30" s="2030" t="s">
        <v>1833</v>
      </c>
      <c r="C30" s="3465"/>
      <c r="D30" s="3466"/>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467"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468"/>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468"/>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462" t="s">
        <v>1843</v>
      </c>
      <c r="T34" s="2130" t="str">
        <f>NUMBERSTRING(7-K34,1)&amp;"通"</f>
        <v>七通</v>
      </c>
      <c r="U34" s="2024"/>
      <c r="V34" s="2024"/>
    </row>
    <row r="35" spans="1:22" ht="18" customHeight="1">
      <c r="A35" s="2131"/>
      <c r="B35" s="3469" t="s">
        <v>1844</v>
      </c>
      <c r="C35" s="3469"/>
      <c r="D35" s="3469"/>
      <c r="E35" s="3469"/>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62"/>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70" t="s">
        <v>0</v>
      </c>
      <c r="B1" s="3470" t="s">
        <v>4</v>
      </c>
      <c r="C1" s="3470" t="s">
        <v>5</v>
      </c>
      <c r="D1" s="3471" t="s">
        <v>53</v>
      </c>
      <c r="E1" s="3471" t="s">
        <v>54</v>
      </c>
      <c r="F1" s="3471"/>
      <c r="G1" s="3471"/>
      <c r="H1" s="3471"/>
      <c r="I1" s="3471"/>
      <c r="J1" s="3471"/>
      <c r="K1" s="3471"/>
      <c r="L1" s="3471"/>
      <c r="M1" s="3471"/>
    </row>
    <row r="2" spans="1:13" ht="27" customHeight="1">
      <c r="A2" s="3470"/>
      <c r="B2" s="3470"/>
      <c r="C2" s="3470"/>
      <c r="D2" s="3471"/>
      <c r="E2" s="3471" t="s">
        <v>37</v>
      </c>
      <c r="F2" s="3471" t="s">
        <v>38</v>
      </c>
      <c r="G2" s="3471"/>
      <c r="H2" s="3471"/>
      <c r="I2" s="3471"/>
      <c r="J2" s="3471" t="s">
        <v>39</v>
      </c>
      <c r="K2" s="3471"/>
      <c r="L2" s="3471"/>
      <c r="M2" s="3471"/>
    </row>
    <row r="3" spans="1:13" ht="28.5">
      <c r="A3" s="3470"/>
      <c r="B3" s="3470"/>
      <c r="C3" s="3470"/>
      <c r="D3" s="3471"/>
      <c r="E3" s="34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71" t="s">
        <v>55</v>
      </c>
      <c r="B9" s="3471"/>
      <c r="C9" s="34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481" t="s">
        <v>1940</v>
      </c>
      <c r="B2" s="3481"/>
      <c r="C2" s="3481"/>
      <c r="D2" s="963" t="s">
        <v>1916</v>
      </c>
      <c r="E2" s="2223" t="s">
        <v>1917</v>
      </c>
      <c r="F2" s="1387"/>
      <c r="G2" s="2224"/>
      <c r="H2" s="2225"/>
      <c r="I2" s="2226" t="s">
        <v>1941</v>
      </c>
      <c r="J2" s="1387"/>
      <c r="K2" s="1387"/>
      <c r="L2" s="1387"/>
      <c r="M2" s="1387"/>
      <c r="N2" s="1422"/>
      <c r="O2" s="1387"/>
      <c r="P2" s="1387"/>
    </row>
    <row r="3" spans="1:16" ht="15.75" thickBot="1">
      <c r="A3" s="3482" t="s">
        <v>1914</v>
      </c>
      <c r="B3" s="3482"/>
      <c r="C3" s="3482"/>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483"/>
      <c r="B4" s="3484"/>
      <c r="C4" s="3485"/>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486" t="s">
        <v>1919</v>
      </c>
      <c r="C5" s="3486"/>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486" t="s">
        <v>1920</v>
      </c>
      <c r="C6" s="3486"/>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478"/>
      <c r="B7" s="3479"/>
      <c r="C7" s="3480"/>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475" t="s">
        <v>1944</v>
      </c>
      <c r="L16" s="3476"/>
      <c r="M16" s="3476"/>
      <c r="N16" s="3476"/>
      <c r="O16" s="3476"/>
      <c r="P16" s="3477"/>
    </row>
    <row r="17" spans="1:19" ht="15">
      <c r="A17" s="2238" t="s">
        <v>1945</v>
      </c>
      <c r="B17" s="2239" t="s">
        <v>1946</v>
      </c>
      <c r="C17" s="2240" t="s">
        <v>1947</v>
      </c>
      <c r="D17" s="2241" t="s">
        <v>1935</v>
      </c>
      <c r="E17" s="2242" t="s">
        <v>1936</v>
      </c>
      <c r="F17" s="2243"/>
      <c r="G17" s="2244"/>
      <c r="H17" s="2245" t="s">
        <v>1948</v>
      </c>
      <c r="I17" s="2246" t="s">
        <v>1933</v>
      </c>
      <c r="J17" s="1387"/>
      <c r="K17" s="3472" t="s">
        <v>1949</v>
      </c>
      <c r="L17" s="3473"/>
      <c r="M17" s="3474"/>
      <c r="N17" s="3472" t="s">
        <v>1950</v>
      </c>
      <c r="O17" s="3473"/>
      <c r="P17" s="3474"/>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2">
        <v>5000</v>
      </c>
      <c r="M6" s="75">
        <f>ROUND(K6*L6,0)</f>
        <v>5000</v>
      </c>
      <c r="N6" s="794">
        <v>1</v>
      </c>
      <c r="O6" s="75" t="str">
        <f>IF($N$5="成新度","——",ROUND(M6*N6,0))</f>
        <v>——</v>
      </c>
      <c r="P6" s="76" t="str">
        <f>IF($N$5="成新度","——",M6-O6)</f>
        <v>——</v>
      </c>
      <c r="Q6" s="3209">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2">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2">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50"/>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1">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6">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7">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5">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487" t="s">
        <v>2085</v>
      </c>
      <c r="B1" s="3488"/>
      <c r="C1" s="3488"/>
      <c r="D1" s="3488"/>
      <c r="E1" s="3488"/>
      <c r="F1" s="3488"/>
      <c r="G1" s="34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394" t="str">
        <f>项目基本情况!B1</f>
        <v>北京市房地产市场价值预评估</v>
      </c>
      <c r="C37" s="3394"/>
      <c r="D37" s="3394"/>
      <c r="E37" s="3394"/>
      <c r="F37" s="3394"/>
      <c r="G37" s="3394"/>
      <c r="H37" s="3394"/>
      <c r="I37" s="3394"/>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497" t="s">
        <v>3179</v>
      </c>
      <c r="B1" s="3497" t="s">
        <v>3541</v>
      </c>
      <c r="C1" s="3497" t="s">
        <v>3469</v>
      </c>
      <c r="D1" s="3497" t="s">
        <v>3542</v>
      </c>
      <c r="E1" s="3495" t="s">
        <v>3543</v>
      </c>
      <c r="F1" s="3499"/>
      <c r="G1" s="3499"/>
      <c r="H1" s="3496"/>
      <c r="I1" s="3497" t="s">
        <v>3544</v>
      </c>
      <c r="J1" s="3495" t="s">
        <v>3545</v>
      </c>
      <c r="K1" s="3496"/>
    </row>
    <row r="2" spans="1:11" ht="29.25" customHeight="1" thickBot="1">
      <c r="A2" s="3498"/>
      <c r="B2" s="3498"/>
      <c r="C2" s="3498"/>
      <c r="D2" s="3498"/>
      <c r="E2" s="3155" t="s">
        <v>3049</v>
      </c>
      <c r="F2" s="3155" t="s">
        <v>3546</v>
      </c>
      <c r="G2" s="3155" t="s">
        <v>3547</v>
      </c>
      <c r="H2" s="3155" t="s">
        <v>40</v>
      </c>
      <c r="I2" s="3498"/>
      <c r="J2" s="3155" t="s">
        <v>3548</v>
      </c>
      <c r="K2" s="3155" t="s">
        <v>3549</v>
      </c>
    </row>
    <row r="3" spans="1:11" ht="29.25" customHeight="1">
      <c r="A3" s="3489">
        <v>1</v>
      </c>
      <c r="B3" s="3156" t="s">
        <v>3550</v>
      </c>
      <c r="C3" s="3491">
        <v>42941</v>
      </c>
      <c r="D3" s="3493">
        <v>31048.687999999998</v>
      </c>
      <c r="E3" s="3493">
        <v>54335.4</v>
      </c>
      <c r="F3" s="3493">
        <v>23286.6</v>
      </c>
      <c r="G3" s="3493">
        <v>0</v>
      </c>
      <c r="H3" s="3489">
        <v>77622</v>
      </c>
      <c r="I3" s="3489">
        <v>36673.82</v>
      </c>
      <c r="J3" s="3489">
        <v>146500</v>
      </c>
      <c r="K3" s="3489">
        <v>18873.52</v>
      </c>
    </row>
    <row r="4" spans="1:11" ht="29.25" customHeight="1" thickBot="1">
      <c r="A4" s="3490"/>
      <c r="B4" s="3157" t="s">
        <v>3551</v>
      </c>
      <c r="C4" s="3492"/>
      <c r="D4" s="3494"/>
      <c r="E4" s="3494"/>
      <c r="F4" s="3494"/>
      <c r="G4" s="3494"/>
      <c r="H4" s="3490"/>
      <c r="I4" s="3490"/>
      <c r="J4" s="3490"/>
      <c r="K4" s="3490"/>
    </row>
    <row r="5" spans="1:11" ht="29.25" customHeight="1" thickBot="1">
      <c r="A5" s="3158">
        <v>2</v>
      </c>
      <c r="B5" s="3159" t="s">
        <v>3552</v>
      </c>
      <c r="C5" s="3160">
        <v>43045</v>
      </c>
      <c r="D5" s="3161">
        <v>95947</v>
      </c>
      <c r="E5" s="3161">
        <v>211083</v>
      </c>
      <c r="F5" s="3161">
        <v>0</v>
      </c>
      <c r="G5" s="3161">
        <v>0</v>
      </c>
      <c r="H5" s="3162">
        <v>211083</v>
      </c>
      <c r="I5" s="3162">
        <v>168440.53</v>
      </c>
      <c r="J5" s="3162">
        <v>370000</v>
      </c>
      <c r="K5" s="3162">
        <v>17528.650000000001</v>
      </c>
    </row>
    <row r="6" spans="1:11" ht="29.25" customHeight="1">
      <c r="A6" s="3489">
        <v>3</v>
      </c>
      <c r="B6" s="3156" t="s">
        <v>3553</v>
      </c>
      <c r="C6" s="3491">
        <v>42850</v>
      </c>
      <c r="D6" s="3493">
        <v>63029.618999999999</v>
      </c>
      <c r="E6" s="3493">
        <v>100847.2</v>
      </c>
      <c r="F6" s="3493">
        <v>24911.8</v>
      </c>
      <c r="G6" s="3493">
        <v>300</v>
      </c>
      <c r="H6" s="3489">
        <v>126059</v>
      </c>
      <c r="I6" s="3489">
        <v>110919.93</v>
      </c>
      <c r="J6" s="3489">
        <v>252000</v>
      </c>
      <c r="K6" s="3489">
        <v>19990.64</v>
      </c>
    </row>
    <row r="7" spans="1:11" ht="29.25" customHeight="1" thickBot="1">
      <c r="A7" s="3490"/>
      <c r="B7" s="3157" t="s">
        <v>3554</v>
      </c>
      <c r="C7" s="3492"/>
      <c r="D7" s="3494"/>
      <c r="E7" s="3494"/>
      <c r="F7" s="3494"/>
      <c r="G7" s="3494"/>
      <c r="H7" s="3490"/>
      <c r="I7" s="3490"/>
      <c r="J7" s="3490"/>
      <c r="K7" s="3490"/>
    </row>
    <row r="8" spans="1:11" ht="29.25" customHeight="1">
      <c r="A8" s="3489">
        <v>4</v>
      </c>
      <c r="B8" s="3156" t="s">
        <v>3555</v>
      </c>
      <c r="C8" s="3491">
        <v>43118</v>
      </c>
      <c r="D8" s="3493">
        <v>20291.366999999998</v>
      </c>
      <c r="E8" s="3493">
        <v>35324</v>
      </c>
      <c r="F8" s="3493">
        <v>1200</v>
      </c>
      <c r="G8" s="3493">
        <v>0</v>
      </c>
      <c r="H8" s="3489">
        <v>36524</v>
      </c>
      <c r="I8" s="3489">
        <v>27683.53</v>
      </c>
      <c r="J8" s="3489">
        <v>62800</v>
      </c>
      <c r="K8" s="3489">
        <v>17194.169999999998</v>
      </c>
    </row>
    <row r="9" spans="1:11" ht="29.25" customHeight="1" thickBot="1">
      <c r="A9" s="3490"/>
      <c r="B9" s="3157" t="s">
        <v>3556</v>
      </c>
      <c r="C9" s="3492"/>
      <c r="D9" s="3494"/>
      <c r="E9" s="3494"/>
      <c r="F9" s="3494"/>
      <c r="G9" s="3494"/>
      <c r="H9" s="3490"/>
      <c r="I9" s="3490"/>
      <c r="J9" s="3490"/>
      <c r="K9" s="3490"/>
    </row>
    <row r="10" spans="1:11" ht="29.25" customHeight="1" thickBot="1">
      <c r="A10" s="3158">
        <v>5</v>
      </c>
      <c r="B10" s="3159" t="s">
        <v>3557</v>
      </c>
      <c r="C10" s="3160">
        <v>43430</v>
      </c>
      <c r="D10" s="3161">
        <v>54637.78</v>
      </c>
      <c r="E10" s="3161">
        <v>57370</v>
      </c>
      <c r="F10" s="3161">
        <v>0</v>
      </c>
      <c r="G10" s="3161">
        <v>0</v>
      </c>
      <c r="H10" s="3162">
        <v>57370</v>
      </c>
      <c r="I10" s="3162">
        <v>60347.16</v>
      </c>
      <c r="J10" s="3162">
        <v>94000</v>
      </c>
      <c r="K10" s="3162">
        <v>16384.87</v>
      </c>
    </row>
    <row r="11" spans="1:11" ht="29.25" customHeight="1">
      <c r="A11" s="3489">
        <v>6</v>
      </c>
      <c r="B11" s="3156" t="s">
        <v>3558</v>
      </c>
      <c r="C11" s="3491">
        <v>43720</v>
      </c>
      <c r="D11" s="3493">
        <v>88404.400999999998</v>
      </c>
      <c r="E11" s="3493">
        <v>173209</v>
      </c>
      <c r="F11" s="3493">
        <v>0</v>
      </c>
      <c r="G11" s="3493">
        <v>0</v>
      </c>
      <c r="H11" s="3489">
        <v>173209</v>
      </c>
      <c r="I11" s="3489">
        <v>248940.24</v>
      </c>
      <c r="J11" s="3489">
        <v>330000</v>
      </c>
      <c r="K11" s="3489">
        <v>19052.13</v>
      </c>
    </row>
    <row r="12" spans="1:11" ht="29.25" customHeight="1" thickBot="1">
      <c r="A12" s="3490"/>
      <c r="B12" s="3157" t="s">
        <v>3559</v>
      </c>
      <c r="C12" s="3492"/>
      <c r="D12" s="3494"/>
      <c r="E12" s="3494"/>
      <c r="F12" s="3494"/>
      <c r="G12" s="3494"/>
      <c r="H12" s="3490"/>
      <c r="I12" s="3490"/>
      <c r="J12" s="3490"/>
      <c r="K12" s="3490"/>
    </row>
    <row r="13" spans="1:11" ht="29.25" customHeight="1" thickBot="1">
      <c r="A13" s="3158">
        <v>7</v>
      </c>
      <c r="B13" s="3159" t="s">
        <v>3560</v>
      </c>
      <c r="C13" s="3160">
        <v>43966</v>
      </c>
      <c r="D13" s="3161">
        <v>76997.051999999996</v>
      </c>
      <c r="E13" s="3161">
        <v>79371.899999999994</v>
      </c>
      <c r="F13" s="3161">
        <v>0</v>
      </c>
      <c r="G13" s="3161">
        <v>0</v>
      </c>
      <c r="H13" s="3162">
        <v>79371.899999999994</v>
      </c>
      <c r="I13" s="3162">
        <v>78824.39</v>
      </c>
      <c r="J13" s="3162">
        <v>130000</v>
      </c>
      <c r="K13" s="3162">
        <v>16378.59</v>
      </c>
    </row>
    <row r="14" spans="1:11" ht="29.25" customHeight="1">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D27" sqref="D27"/>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572" t="str">
        <f>项目基本情况!S2</f>
        <v>北京市房地产</v>
      </c>
      <c r="B2" s="3573"/>
      <c r="C2" s="3573"/>
      <c r="D2" s="3573"/>
      <c r="E2" s="3573"/>
      <c r="F2" s="3573"/>
      <c r="G2" s="3573"/>
      <c r="H2" s="3573"/>
      <c r="I2" s="3574"/>
    </row>
    <row r="3" spans="1:12" ht="12.75">
      <c r="A3" s="3575" t="s">
        <v>2122</v>
      </c>
      <c r="B3" s="3576"/>
      <c r="C3" s="3576"/>
      <c r="D3" s="3576"/>
      <c r="E3" s="3576"/>
      <c r="F3" s="3576"/>
      <c r="G3" s="3576"/>
      <c r="H3" s="3576"/>
      <c r="I3" s="3576"/>
    </row>
    <row r="4" spans="1:12" ht="14.25">
      <c r="A4" s="2421" t="s">
        <v>2123</v>
      </c>
      <c r="B4" s="2422" t="s">
        <v>2124</v>
      </c>
      <c r="C4" s="2423" t="s">
        <v>3060</v>
      </c>
      <c r="D4" s="2423" t="s">
        <v>3136</v>
      </c>
      <c r="E4" s="3556" t="s">
        <v>2125</v>
      </c>
      <c r="F4" s="3569"/>
      <c r="G4" s="3569"/>
      <c r="H4" s="3569"/>
      <c r="I4" s="3557"/>
      <c r="K4" s="2424"/>
      <c r="L4" s="2424"/>
    </row>
    <row r="5" spans="1:12" ht="12.75">
      <c r="A5" s="3547" t="s">
        <v>2126</v>
      </c>
      <c r="B5" s="3462">
        <v>25</v>
      </c>
      <c r="C5" s="3577">
        <v>5</v>
      </c>
      <c r="D5" s="3565">
        <f>10-C5</f>
        <v>5</v>
      </c>
      <c r="E5" s="136" t="s">
        <v>2127</v>
      </c>
      <c r="F5" s="2425"/>
      <c r="G5" s="2425"/>
      <c r="H5" s="2425"/>
      <c r="I5" s="1826"/>
    </row>
    <row r="6" spans="1:12" ht="3" customHeight="1">
      <c r="A6" s="3547"/>
      <c r="B6" s="3462"/>
      <c r="C6" s="3579"/>
      <c r="D6" s="3565"/>
      <c r="E6" s="136" t="s">
        <v>2128</v>
      </c>
      <c r="F6" s="2425"/>
      <c r="G6" s="2425"/>
      <c r="H6" s="2425"/>
      <c r="I6" s="1826"/>
    </row>
    <row r="7" spans="1:12" ht="12.75">
      <c r="A7" s="3547"/>
      <c r="B7" s="3462"/>
      <c r="C7" s="3578"/>
      <c r="D7" s="3565"/>
      <c r="E7" s="136" t="s">
        <v>2129</v>
      </c>
      <c r="F7" s="2425"/>
      <c r="G7" s="2425"/>
      <c r="H7" s="2425"/>
      <c r="I7" s="1826"/>
    </row>
    <row r="8" spans="1:12" ht="12.75" hidden="1">
      <c r="A8" s="3547" t="s">
        <v>2130</v>
      </c>
      <c r="B8" s="3462">
        <v>15</v>
      </c>
      <c r="C8" s="3577"/>
      <c r="D8" s="3565"/>
      <c r="E8" s="136" t="s">
        <v>2131</v>
      </c>
      <c r="F8" s="2425"/>
      <c r="G8" s="2425"/>
      <c r="H8" s="2425"/>
      <c r="I8" s="1826"/>
    </row>
    <row r="9" spans="1:12" ht="12.75" hidden="1">
      <c r="A9" s="3547"/>
      <c r="B9" s="3462"/>
      <c r="C9" s="3578"/>
      <c r="D9" s="3565"/>
      <c r="E9" s="136" t="s">
        <v>2132</v>
      </c>
      <c r="F9" s="2425"/>
      <c r="G9" s="2425"/>
      <c r="H9" s="2425"/>
      <c r="I9" s="1826"/>
    </row>
    <row r="10" spans="1:12" ht="12.75" hidden="1">
      <c r="A10" s="3547" t="s">
        <v>2133</v>
      </c>
      <c r="B10" s="3462">
        <v>15</v>
      </c>
      <c r="C10" s="3577"/>
      <c r="D10" s="3565"/>
      <c r="E10" s="136" t="s">
        <v>2134</v>
      </c>
      <c r="F10" s="2425"/>
      <c r="G10" s="2425"/>
      <c r="H10" s="2425"/>
      <c r="I10" s="1826"/>
    </row>
    <row r="11" spans="1:12" ht="12.75" hidden="1">
      <c r="A11" s="3547"/>
      <c r="B11" s="3462"/>
      <c r="C11" s="3578"/>
      <c r="D11" s="3565"/>
      <c r="E11" s="136" t="s">
        <v>2135</v>
      </c>
      <c r="F11" s="2425"/>
      <c r="G11" s="2425"/>
      <c r="H11" s="2425"/>
      <c r="I11" s="1826"/>
    </row>
    <row r="12" spans="1:12" ht="12.75" hidden="1">
      <c r="A12" s="3547" t="s">
        <v>2136</v>
      </c>
      <c r="B12" s="3462">
        <v>15</v>
      </c>
      <c r="C12" s="3577"/>
      <c r="D12" s="3565"/>
      <c r="E12" s="136" t="s">
        <v>2137</v>
      </c>
      <c r="F12" s="2425"/>
      <c r="G12" s="2425"/>
      <c r="H12" s="2425"/>
      <c r="I12" s="1826"/>
    </row>
    <row r="13" spans="1:12" ht="12.75" hidden="1">
      <c r="A13" s="3547"/>
      <c r="B13" s="3462"/>
      <c r="C13" s="3578"/>
      <c r="D13" s="3565"/>
      <c r="E13" s="136" t="s">
        <v>2138</v>
      </c>
      <c r="F13" s="2425"/>
      <c r="G13" s="2425"/>
      <c r="H13" s="2425"/>
      <c r="I13" s="1826"/>
    </row>
    <row r="14" spans="1:12" ht="12.75" hidden="1">
      <c r="A14" s="3547" t="s">
        <v>2139</v>
      </c>
      <c r="B14" s="3462">
        <v>30</v>
      </c>
      <c r="C14" s="3577"/>
      <c r="D14" s="3565"/>
      <c r="E14" s="136" t="s">
        <v>2140</v>
      </c>
      <c r="F14" s="2425"/>
      <c r="G14" s="2425"/>
      <c r="H14" s="2425"/>
      <c r="I14" s="1826"/>
    </row>
    <row r="15" spans="1:12" ht="12.75" hidden="1">
      <c r="A15" s="3547"/>
      <c r="B15" s="3462"/>
      <c r="C15" s="3579"/>
      <c r="D15" s="3565"/>
      <c r="E15" s="136" t="s">
        <v>2141</v>
      </c>
      <c r="F15" s="2425"/>
      <c r="G15" s="2425"/>
      <c r="H15" s="2425"/>
      <c r="I15" s="1826"/>
    </row>
    <row r="16" spans="1:12" ht="12.75" hidden="1">
      <c r="A16" s="3547"/>
      <c r="B16" s="3462"/>
      <c r="C16" s="3578"/>
      <c r="D16" s="3565"/>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15">
        <f ca="1">'成本法 (元)'!C52</f>
        <v>28502</v>
      </c>
      <c r="D20" s="3216">
        <f>'比较法-住宅'!B3</f>
        <v>28621</v>
      </c>
      <c r="E20" s="3217"/>
      <c r="F20" s="3218" t="s">
        <v>2153</v>
      </c>
      <c r="G20" s="3219">
        <f ca="1">ROUND(C20*$C$18+D20*$D$18,0)</f>
        <v>28562</v>
      </c>
      <c r="H20" s="3220"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8">
        <v>0.5</v>
      </c>
      <c r="G23" s="3238">
        <f>1-F23</f>
        <v>0.5</v>
      </c>
      <c r="H23" s="134"/>
      <c r="I23" s="134"/>
    </row>
    <row r="24" spans="1:35" ht="14.25">
      <c r="A24" s="3586" t="s">
        <v>2157</v>
      </c>
      <c r="B24" s="2431" t="s">
        <v>2149</v>
      </c>
      <c r="C24" s="141">
        <f>IF(B30=0,0,D30)</f>
        <v>0</v>
      </c>
      <c r="D24" s="2438"/>
      <c r="E24" s="134"/>
      <c r="F24" s="3239" t="s">
        <v>3298</v>
      </c>
      <c r="G24" s="3239" t="s">
        <v>3299</v>
      </c>
      <c r="H24" s="134"/>
      <c r="I24" s="134"/>
    </row>
    <row r="25" spans="1:35" ht="14.25">
      <c r="A25" s="3587"/>
      <c r="B25" s="1243" t="s">
        <v>2153</v>
      </c>
      <c r="C25" s="145">
        <f>IF(B30=0,0,C30)</f>
        <v>0</v>
      </c>
      <c r="D25" s="2439"/>
      <c r="E25" s="134"/>
      <c r="F25" s="3238">
        <f ca="1">C20</f>
        <v>28502</v>
      </c>
      <c r="G25" s="150">
        <f>ROUND('比较法-住宅'!C49-522.206/2.2-Sheet3!K14*0.25+Sheet3!K14*0.18,0)</f>
        <v>27130</v>
      </c>
      <c r="H25" s="134"/>
      <c r="I25" s="134"/>
    </row>
    <row r="26" spans="1:35" ht="13.5" customHeight="1">
      <c r="A26" s="2440" t="s">
        <v>2158</v>
      </c>
      <c r="B26" s="146" t="s">
        <v>2159</v>
      </c>
      <c r="C26" s="146" t="s">
        <v>2160</v>
      </c>
      <c r="D26" s="147" t="s">
        <v>2161</v>
      </c>
      <c r="E26" s="134"/>
      <c r="F26" s="3593">
        <f ca="1">ROUND(F25*F23+G25*G23,0)</f>
        <v>27816</v>
      </c>
      <c r="G26" s="3594"/>
      <c r="H26" s="134"/>
      <c r="I26" s="134"/>
      <c r="J26" s="788">
        <v>28507</v>
      </c>
    </row>
    <row r="27" spans="1:35" ht="14.25">
      <c r="A27" s="2440"/>
      <c r="B27" s="146">
        <v>0</v>
      </c>
      <c r="C27" s="146">
        <v>0</v>
      </c>
      <c r="D27" s="147">
        <f>ROUND(C27*B27/10000,0)</f>
        <v>0</v>
      </c>
      <c r="E27" s="134"/>
      <c r="F27" s="3595"/>
      <c r="G27" s="3596"/>
      <c r="H27" s="134"/>
      <c r="I27" s="134"/>
      <c r="J27" s="788">
        <f ca="1">J26-F26</f>
        <v>691</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1"/>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7"/>
    </row>
    <row r="33" spans="1:15" ht="15.75" thickBot="1">
      <c r="A33" s="953" t="s">
        <v>2165</v>
      </c>
      <c r="B33" s="2446"/>
      <c r="C33" s="2447"/>
      <c r="D33" s="2448"/>
      <c r="E33" s="2449" t="s">
        <v>2166</v>
      </c>
      <c r="F33" s="2450" t="str">
        <f>IF(D32="楼面单价","取值（单价）","取值（总价）")</f>
        <v>取值（总价）</v>
      </c>
      <c r="G33" s="134"/>
      <c r="H33" s="134"/>
      <c r="I33" s="134"/>
      <c r="L33" s="3087"/>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7"/>
    </row>
    <row r="36" spans="1:15" ht="15.75" thickBot="1">
      <c r="A36" s="3566" t="s">
        <v>2171</v>
      </c>
      <c r="B36" s="2457" t="s">
        <v>2172</v>
      </c>
      <c r="C36" s="149"/>
      <c r="D36" s="2458"/>
      <c r="E36" s="2459"/>
      <c r="F36" s="2460"/>
      <c r="G36" s="134"/>
      <c r="H36" s="134"/>
      <c r="I36" s="134"/>
    </row>
    <row r="37" spans="1:15" ht="15.75" thickBot="1">
      <c r="A37" s="3567"/>
      <c r="B37" s="2263" t="s">
        <v>2173</v>
      </c>
      <c r="C37" s="151"/>
      <c r="D37" s="1387"/>
      <c r="E37" s="1387"/>
      <c r="F37" s="2460"/>
      <c r="G37" s="134"/>
      <c r="H37" s="134"/>
      <c r="I37" s="134"/>
    </row>
    <row r="38" spans="1:15" ht="15.75" thickBot="1">
      <c r="A38" s="3568"/>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83" t="s">
        <v>2185</v>
      </c>
      <c r="B45" s="3584"/>
      <c r="C45" s="3585"/>
      <c r="D45" s="159">
        <f ca="1">ROUND(H101*F45,0)</f>
        <v>2</v>
      </c>
      <c r="E45" s="160" t="s">
        <v>2186</v>
      </c>
      <c r="F45" s="161">
        <v>1</v>
      </c>
      <c r="G45" s="162" t="s">
        <v>2187</v>
      </c>
      <c r="H45" s="134"/>
      <c r="I45" s="134"/>
      <c r="J45" s="3502" t="s">
        <v>2188</v>
      </c>
      <c r="K45" s="3502"/>
      <c r="L45" s="3502"/>
      <c r="M45" s="3502"/>
      <c r="N45" s="3502"/>
      <c r="O45" s="3502"/>
    </row>
    <row r="46" spans="1:15" ht="14.25" customHeight="1">
      <c r="A46" s="3580" t="s">
        <v>2189</v>
      </c>
      <c r="B46" s="3581"/>
      <c r="C46" s="3581"/>
      <c r="D46" s="3581"/>
      <c r="E46" s="3581"/>
      <c r="F46" s="3581"/>
      <c r="G46" s="3582"/>
      <c r="H46" s="2476"/>
      <c r="I46" s="163"/>
      <c r="J46" s="1804">
        <v>1</v>
      </c>
      <c r="K46" s="3502" t="s">
        <v>2190</v>
      </c>
      <c r="L46" s="3502"/>
      <c r="M46" s="3503"/>
      <c r="N46" s="3503"/>
      <c r="O46" s="3503"/>
    </row>
    <row r="47" spans="1:15" ht="12" customHeight="1">
      <c r="A47" s="164" t="s">
        <v>2191</v>
      </c>
      <c r="B47" s="165"/>
      <c r="C47" s="166"/>
      <c r="D47" s="167" t="s">
        <v>2192</v>
      </c>
      <c r="E47" s="24" t="s">
        <v>2193</v>
      </c>
      <c r="F47" s="168" t="s">
        <v>2194</v>
      </c>
      <c r="G47" s="169" t="s">
        <v>2195</v>
      </c>
      <c r="H47" s="2476"/>
      <c r="I47" s="163"/>
      <c r="J47" s="1804">
        <v>2</v>
      </c>
      <c r="K47" s="3502" t="s">
        <v>2196</v>
      </c>
      <c r="L47" s="3502"/>
      <c r="M47" s="3504">
        <f>'数据-取费表'!B2</f>
        <v>44832</v>
      </c>
      <c r="N47" s="3504"/>
      <c r="O47" s="3504"/>
    </row>
    <row r="48" spans="1:15" ht="25.5">
      <c r="A48" s="3570" t="s">
        <v>2197</v>
      </c>
      <c r="B48" s="3571"/>
      <c r="C48" s="3571"/>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502" t="s">
        <v>2200</v>
      </c>
      <c r="L48" s="3502"/>
      <c r="M48" s="3505">
        <f ca="1">H101</f>
        <v>2</v>
      </c>
      <c r="N48" s="3505"/>
      <c r="O48" s="3505"/>
    </row>
    <row r="49" spans="1:35" ht="25.5" customHeight="1">
      <c r="A49" s="171" t="s">
        <v>2201</v>
      </c>
      <c r="B49" s="3550" t="s">
        <v>2202</v>
      </c>
      <c r="C49" s="3550"/>
      <c r="D49" s="172">
        <v>0</v>
      </c>
      <c r="E49" s="23" t="s">
        <v>2203</v>
      </c>
      <c r="F49" s="28" t="s">
        <v>34</v>
      </c>
      <c r="G49" s="3531"/>
      <c r="H49" s="134"/>
      <c r="I49" s="2479"/>
      <c r="J49" s="1804">
        <v>4</v>
      </c>
      <c r="K49" s="3502" t="str">
        <f>IF(项目基本情况!E8="房地产抵押价值","房地产抵押价值","抵押担保权已注销时的房地产抵押价值")</f>
        <v>抵押担保权已注销时的房地产抵押价值</v>
      </c>
      <c r="L49" s="3502"/>
      <c r="M49" s="3505" t="str">
        <f>IF(项目基本情况!E8="房地产抵押价值",H107,H109)</f>
        <v>——</v>
      </c>
      <c r="N49" s="3505"/>
      <c r="O49" s="3505"/>
    </row>
    <row r="50" spans="1:35" ht="25.5" customHeight="1">
      <c r="A50" s="173"/>
      <c r="B50" s="3550" t="s">
        <v>2204</v>
      </c>
      <c r="C50" s="3550"/>
      <c r="D50" s="174"/>
      <c r="E50" s="31"/>
      <c r="F50" s="175"/>
      <c r="G50" s="3532"/>
      <c r="H50" s="134"/>
      <c r="I50" s="2479"/>
      <c r="J50" s="3502" t="s">
        <v>2205</v>
      </c>
      <c r="K50" s="3502"/>
      <c r="L50" s="3502"/>
      <c r="M50" s="3502"/>
      <c r="N50" s="3502"/>
      <c r="O50" s="3502"/>
    </row>
    <row r="51" spans="1:35" ht="12" customHeight="1">
      <c r="A51" s="176"/>
      <c r="B51" s="3550" t="s">
        <v>2206</v>
      </c>
      <c r="C51" s="3550"/>
      <c r="D51" s="177"/>
      <c r="E51" s="30"/>
      <c r="F51" s="175"/>
      <c r="G51" s="3533"/>
      <c r="H51" s="134"/>
      <c r="I51" s="2479"/>
      <c r="J51" s="2480" t="s">
        <v>2207</v>
      </c>
      <c r="K51" s="3502" t="s">
        <v>2208</v>
      </c>
      <c r="L51" s="3502"/>
      <c r="M51" s="2480" t="s">
        <v>2209</v>
      </c>
      <c r="N51" s="2480" t="s">
        <v>2210</v>
      </c>
      <c r="O51" s="2480" t="s">
        <v>2211</v>
      </c>
    </row>
    <row r="52" spans="1:35" ht="24" customHeight="1">
      <c r="A52" s="178" t="s">
        <v>2212</v>
      </c>
      <c r="B52" s="3550" t="s">
        <v>2213</v>
      </c>
      <c r="C52" s="3550"/>
      <c r="D52" s="177">
        <f ca="1">ROUND(D45*'数据-取费表'!B41/(1+'数据-取费表'!C42),0)</f>
        <v>0</v>
      </c>
      <c r="E52" s="11" t="s">
        <v>2214</v>
      </c>
      <c r="F52" s="179">
        <f>'数据-取费表'!B41</f>
        <v>5.5000000000000007E-2</v>
      </c>
      <c r="G52" s="2481"/>
      <c r="H52" s="134"/>
      <c r="I52" s="2479"/>
      <c r="J52" s="1804">
        <v>1</v>
      </c>
      <c r="K52" s="3525" t="s">
        <v>2215</v>
      </c>
      <c r="L52" s="3525"/>
      <c r="M52" s="1746">
        <f>D48</f>
        <v>0</v>
      </c>
      <c r="N52" s="1804" t="str">
        <f>E48</f>
        <v>销售额×税（费）率</v>
      </c>
      <c r="O52" s="1747" t="str">
        <f>F48</f>
        <v>免征</v>
      </c>
    </row>
    <row r="53" spans="1:35" ht="12" customHeight="1">
      <c r="A53" s="178" t="s">
        <v>2216</v>
      </c>
      <c r="B53" s="3551" t="s">
        <v>2217</v>
      </c>
      <c r="C53" s="3552"/>
      <c r="D53" s="177">
        <f ca="1">ROUND(D45*'数据-取费表'!B41/(1+'数据-取费表'!C42),0)</f>
        <v>0</v>
      </c>
      <c r="E53" s="11" t="s">
        <v>2214</v>
      </c>
      <c r="F53" s="179">
        <f>'数据-取费表'!B41</f>
        <v>5.5000000000000007E-2</v>
      </c>
      <c r="G53" s="2481"/>
      <c r="H53" s="134"/>
      <c r="I53" s="2479"/>
      <c r="J53" s="1804">
        <v>2</v>
      </c>
      <c r="K53" s="3525" t="s">
        <v>2218</v>
      </c>
      <c r="L53" s="3525"/>
      <c r="M53" s="1746">
        <f t="shared" ref="M53:O54" ca="1" si="0">D55</f>
        <v>0</v>
      </c>
      <c r="N53" s="1804" t="str">
        <f t="shared" si="0"/>
        <v>销售额×税（费）率</v>
      </c>
      <c r="O53" s="1747">
        <f t="shared" si="0"/>
        <v>0</v>
      </c>
    </row>
    <row r="54" spans="1:35" ht="12" customHeight="1">
      <c r="A54" s="178" t="s">
        <v>2219</v>
      </c>
      <c r="B54" s="3551" t="s">
        <v>2220</v>
      </c>
      <c r="C54" s="3552"/>
      <c r="D54" s="177">
        <f ca="1">C68</f>
        <v>0</v>
      </c>
      <c r="E54" s="30" t="s">
        <v>2221</v>
      </c>
      <c r="F54" s="179">
        <f>'数据-取费表'!B41</f>
        <v>5.5000000000000007E-2</v>
      </c>
      <c r="G54" s="2481"/>
      <c r="H54" s="2482"/>
      <c r="I54" s="2479"/>
      <c r="J54" s="1804">
        <v>3</v>
      </c>
      <c r="K54" s="3525" t="s">
        <v>2222</v>
      </c>
      <c r="L54" s="3525"/>
      <c r="M54" s="1746" t="e">
        <f t="shared" ca="1" si="0"/>
        <v>#DIV/0!</v>
      </c>
      <c r="N54" s="1804" t="str">
        <f t="shared" si="0"/>
        <v>增值额×税（费）率</v>
      </c>
      <c r="O54" s="1748" t="str">
        <f t="shared" si="0"/>
        <v>——</v>
      </c>
    </row>
    <row r="55" spans="1:35" ht="24" customHeight="1">
      <c r="A55" s="3589" t="s">
        <v>2223</v>
      </c>
      <c r="B55" s="3571"/>
      <c r="C55" s="3571"/>
      <c r="D55" s="180">
        <f ca="1">IF(H55="个人住宅",0,ROUND(D45*I55,0))</f>
        <v>0</v>
      </c>
      <c r="E55" s="11" t="s">
        <v>2224</v>
      </c>
      <c r="F55" s="179">
        <f>IF(H55="正常",I55,"免征")</f>
        <v>0</v>
      </c>
      <c r="G55" s="2481"/>
      <c r="H55" s="2478" t="s">
        <v>2225</v>
      </c>
      <c r="I55" s="181">
        <f>'数据-取费表'!B49</f>
        <v>0</v>
      </c>
      <c r="J55" s="1804" t="str">
        <f>IF(H59="非个人房产","",4)</f>
        <v/>
      </c>
      <c r="K55" s="3525" t="str">
        <f>IF(H59="非个人房产","——","个人所得税")</f>
        <v>——</v>
      </c>
      <c r="L55" s="3525"/>
      <c r="M55" s="1749" t="str">
        <f>D59</f>
        <v>——</v>
      </c>
      <c r="N55" s="1802" t="str">
        <f>E59</f>
        <v>——</v>
      </c>
      <c r="O55" s="1750" t="str">
        <f>F59</f>
        <v>——</v>
      </c>
    </row>
    <row r="56" spans="1:35" ht="24.75">
      <c r="A56" s="3589" t="s">
        <v>2226</v>
      </c>
      <c r="B56" s="3571"/>
      <c r="C56" s="3571"/>
      <c r="D56" s="180" t="e">
        <f ca="1">IF(H56="个人住宅",D57,D58)</f>
        <v>#DIV/0!</v>
      </c>
      <c r="E56" s="11" t="s">
        <v>2227</v>
      </c>
      <c r="F56" s="179" t="str">
        <f>IF(H56="正常",F58,"免征")</f>
        <v>——</v>
      </c>
      <c r="G56" s="2483" t="s">
        <v>2228</v>
      </c>
      <c r="H56" s="2484" t="s">
        <v>2225</v>
      </c>
      <c r="I56" s="2485"/>
      <c r="J56" s="1804" t="str">
        <f>IF(项目基本情况!K6="上海银行",IF(J55="",4,J55+1),"")</f>
        <v/>
      </c>
      <c r="K56" s="3508" t="str">
        <f>IF(项目基本情况!K6="上海银行","其他处置费用","")</f>
        <v/>
      </c>
      <c r="L56" s="3509"/>
      <c r="M56" s="1746" t="str">
        <f>IF(项目基本情况!K6="上海银行",M69,"")</f>
        <v/>
      </c>
      <c r="N56" s="3511" t="str">
        <f>IF(项目基本情况!K6="上海银行","包含处置中涉及的律师、诉讼、拍卖、评估等费用","")</f>
        <v/>
      </c>
      <c r="O56" s="3512"/>
    </row>
    <row r="57" spans="1:35" ht="12.75">
      <c r="A57" s="178" t="s">
        <v>2201</v>
      </c>
      <c r="B57" s="3556" t="s">
        <v>2229</v>
      </c>
      <c r="C57" s="3557"/>
      <c r="D57" s="182">
        <v>0</v>
      </c>
      <c r="E57" s="23" t="s">
        <v>2203</v>
      </c>
      <c r="F57" s="150"/>
      <c r="G57" s="2481"/>
      <c r="H57" s="2485"/>
      <c r="I57" s="2485"/>
      <c r="J57" s="3525">
        <f>IF(AND(J55="",J56=""),4,IF(项目基本情况!K6="上海银行",结果表!J56+1,结果表!J55+1))</f>
        <v>4</v>
      </c>
      <c r="K57" s="3525" t="s">
        <v>2230</v>
      </c>
      <c r="L57" s="2486" t="s">
        <v>2231</v>
      </c>
      <c r="M57" s="1751"/>
      <c r="N57" s="1752">
        <f ca="1">SUMIF(M52:M56,"&lt;9e307")</f>
        <v>0</v>
      </c>
      <c r="O57" s="2487"/>
      <c r="P57" s="1745" t="e">
        <f ca="1">N57/M49</f>
        <v>#VALUE!</v>
      </c>
    </row>
    <row r="58" spans="1:35" ht="24.75">
      <c r="A58" s="178" t="s">
        <v>2212</v>
      </c>
      <c r="B58" s="3556" t="s">
        <v>2232</v>
      </c>
      <c r="C58" s="3569"/>
      <c r="D58" s="180" t="e">
        <f ca="1">IF(H58="转让取得",C81,C97)</f>
        <v>#DIV/0!</v>
      </c>
      <c r="E58" s="11" t="s">
        <v>2227</v>
      </c>
      <c r="F58" s="24" t="s">
        <v>34</v>
      </c>
      <c r="G58" s="2481"/>
      <c r="H58" s="2484" t="s">
        <v>2233</v>
      </c>
      <c r="I58" s="2485"/>
      <c r="J58" s="3525"/>
      <c r="K58" s="3525"/>
      <c r="L58" s="2486" t="s">
        <v>2234</v>
      </c>
      <c r="M58" s="1753"/>
      <c r="N58" s="2488" t="str">
        <f ca="1">NUMBERSTRING(INT(N57*10000),2)&amp;"元整"</f>
        <v>零元整</v>
      </c>
      <c r="O58" s="2489"/>
    </row>
    <row r="59" spans="1:35" ht="24.75" thickBot="1">
      <c r="A59" s="3529" t="s">
        <v>2235</v>
      </c>
      <c r="B59" s="3530"/>
      <c r="C59" s="3530"/>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527">
        <f>J57+1</f>
        <v>5</v>
      </c>
      <c r="K59" s="3525" t="s">
        <v>2237</v>
      </c>
      <c r="L59" s="1804" t="s">
        <v>2231</v>
      </c>
      <c r="M59" s="1754"/>
      <c r="N59" s="1755" t="e">
        <f ca="1">M49-N57</f>
        <v>#VALUE!</v>
      </c>
      <c r="O59" s="2491"/>
    </row>
    <row r="60" spans="1:35" ht="12" customHeight="1">
      <c r="A60" s="2492"/>
      <c r="B60" s="2414"/>
      <c r="C60" s="2414"/>
      <c r="D60" s="2414"/>
      <c r="E60" s="2162"/>
      <c r="F60" s="2485"/>
      <c r="G60" s="2485"/>
      <c r="H60" s="2493"/>
      <c r="I60" s="134"/>
      <c r="J60" s="3528"/>
      <c r="K60" s="3525"/>
      <c r="L60" s="2486" t="s">
        <v>2234</v>
      </c>
      <c r="M60" s="1753"/>
      <c r="N60" s="2488" t="e">
        <f ca="1">NUMBERSTRING(INT(N59*10000),2)&amp;"元整"</f>
        <v>#VALUE!</v>
      </c>
      <c r="O60" s="2489"/>
    </row>
    <row r="61" spans="1:35" ht="13.5" thickBot="1">
      <c r="A61" s="3588" t="s">
        <v>2238</v>
      </c>
      <c r="B61" s="3588"/>
      <c r="C61" s="3588"/>
      <c r="D61" s="3588"/>
      <c r="E61" s="3588"/>
      <c r="F61" s="2485"/>
      <c r="G61" s="2485"/>
      <c r="H61" s="2493"/>
      <c r="I61" s="134"/>
      <c r="J61" s="1804">
        <f>J59+1</f>
        <v>6</v>
      </c>
      <c r="K61" s="3525" t="s">
        <v>2239</v>
      </c>
      <c r="L61" s="3525"/>
      <c r="M61" s="1756"/>
      <c r="N61" s="1757" t="e">
        <f ca="1">ROUND(N59*10000/'数据-汇总表'!E3,0)</f>
        <v>#VALUE!</v>
      </c>
      <c r="O61" s="2494"/>
    </row>
    <row r="62" spans="1:35" ht="12.75">
      <c r="A62" s="3545" t="s">
        <v>2240</v>
      </c>
      <c r="B62" s="3546"/>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510"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510"/>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510"/>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510"/>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510"/>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510"/>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510"/>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554" t="s">
        <v>2259</v>
      </c>
      <c r="B70" s="3555"/>
      <c r="C70" s="3555"/>
      <c r="D70" s="3555"/>
      <c r="E70" s="3555"/>
      <c r="F70" s="3555"/>
      <c r="G70" s="3555"/>
      <c r="H70" s="35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45" t="s">
        <v>2240</v>
      </c>
      <c r="B71" s="3546"/>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551" t="s">
        <v>2268</v>
      </c>
      <c r="F76" s="3550"/>
      <c r="G76" s="3550"/>
      <c r="H76" s="35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542" t="s">
        <v>2273</v>
      </c>
      <c r="F78" s="3543"/>
      <c r="G78" s="3543"/>
      <c r="H78" s="354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54" t="s">
        <v>2277</v>
      </c>
      <c r="B83" s="3555"/>
      <c r="C83" s="3555"/>
      <c r="D83" s="3555"/>
      <c r="E83" s="3555"/>
      <c r="F83" s="3555"/>
      <c r="G83" s="3555"/>
      <c r="H83" s="35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45" t="s">
        <v>2240</v>
      </c>
      <c r="B84" s="3546"/>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542" t="s">
        <v>2286</v>
      </c>
      <c r="F91" s="3543"/>
      <c r="G91" s="3543"/>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542" t="s">
        <v>2290</v>
      </c>
      <c r="F92" s="3543"/>
      <c r="G92" s="3543"/>
      <c r="H92" s="354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542" t="s">
        <v>2273</v>
      </c>
      <c r="F93" s="3543"/>
      <c r="G93" s="3543"/>
      <c r="H93" s="354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590" t="s">
        <v>2294</v>
      </c>
      <c r="F94" s="3591"/>
      <c r="G94" s="3591"/>
      <c r="H94" s="359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483" t="s">
        <v>2296</v>
      </c>
      <c r="B100" s="3484"/>
      <c r="C100" s="3484"/>
      <c r="D100" s="3526"/>
      <c r="E100" s="3484" t="s">
        <v>2297</v>
      </c>
      <c r="F100" s="3484"/>
      <c r="G100" s="3484"/>
      <c r="H100" s="3526"/>
      <c r="I100" s="134"/>
    </row>
    <row r="101" spans="1:35" ht="18.75" customHeight="1">
      <c r="A101" s="3534" t="s">
        <v>2298</v>
      </c>
      <c r="B101" s="3535"/>
      <c r="C101" s="729" t="str">
        <f>C4</f>
        <v>成本法 (元)</v>
      </c>
      <c r="D101" s="730" t="str">
        <f>D4</f>
        <v>比较法-住宅</v>
      </c>
      <c r="E101" s="3506" t="s">
        <v>2299</v>
      </c>
      <c r="F101" s="3507"/>
      <c r="G101" s="2516" t="s">
        <v>2300</v>
      </c>
      <c r="H101" s="1041">
        <f ca="1">H118</f>
        <v>2</v>
      </c>
      <c r="I101" s="134"/>
    </row>
    <row r="102" spans="1:35" ht="18.75" customHeight="1">
      <c r="A102" s="3536" t="s">
        <v>2301</v>
      </c>
      <c r="B102" s="2516" t="s">
        <v>2300</v>
      </c>
      <c r="C102" s="729">
        <f ca="1">C19</f>
        <v>3</v>
      </c>
      <c r="D102" s="730">
        <f ca="1">D19</f>
        <v>0</v>
      </c>
      <c r="E102" s="3506"/>
      <c r="F102" s="3507"/>
      <c r="G102" s="2516" t="s">
        <v>2302</v>
      </c>
      <c r="H102" s="366" t="e">
        <f ca="1">I118</f>
        <v>#DIV/0!</v>
      </c>
      <c r="I102" s="134"/>
    </row>
    <row r="103" spans="1:35" ht="42.75" customHeight="1">
      <c r="A103" s="3536"/>
      <c r="B103" s="2516" t="s">
        <v>2302</v>
      </c>
      <c r="C103" s="731">
        <f ca="1">C20</f>
        <v>28502</v>
      </c>
      <c r="D103" s="732">
        <f>D20</f>
        <v>28621</v>
      </c>
      <c r="E103" s="3500" t="s">
        <v>2303</v>
      </c>
      <c r="F103" s="3501"/>
      <c r="G103" s="2517" t="s">
        <v>2304</v>
      </c>
      <c r="H103" s="1041">
        <f>IF(D36="正常操作",H104+H105+H106,H105+H106)</f>
        <v>0</v>
      </c>
      <c r="I103" s="134"/>
    </row>
    <row r="104" spans="1:35" ht="18.75" customHeight="1">
      <c r="A104" s="3536"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548"/>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537" t="str">
        <f>IF(项目基本情况!E8="已注销","——","3.房地产抵押价值")</f>
        <v>3.房地产抵押价值</v>
      </c>
      <c r="F107" s="3507"/>
      <c r="G107" s="2516" t="s">
        <v>2300</v>
      </c>
      <c r="H107" s="1041">
        <f ca="1">IF(E107="——","——",H101-H103)</f>
        <v>2</v>
      </c>
      <c r="I107" s="134"/>
    </row>
    <row r="108" spans="1:35" ht="18.75" customHeight="1">
      <c r="A108" s="134"/>
      <c r="B108" s="134"/>
      <c r="C108" s="134"/>
      <c r="D108" s="134"/>
      <c r="E108" s="3537"/>
      <c r="F108" s="3507"/>
      <c r="G108" s="2516" t="s">
        <v>2302</v>
      </c>
      <c r="H108" s="366">
        <f ca="1">ROUND(H107*10000/'数据-汇总表'!E3,0)</f>
        <v>20000</v>
      </c>
      <c r="I108" s="134"/>
    </row>
    <row r="109" spans="1:35" ht="18.75" customHeight="1">
      <c r="A109" s="134"/>
      <c r="B109" s="134"/>
      <c r="C109" s="134"/>
      <c r="D109" s="134"/>
      <c r="E109" s="3537" t="str">
        <f>IF(项目基本情况!E8="已注销及未注销","4.抵押担保权已注销时的房地产抵押价值",IF(项目基本情况!E8="已注销","3.抵押担保权已注销时的房地产抵押价值","——"))</f>
        <v>——</v>
      </c>
      <c r="F109" s="3507"/>
      <c r="G109" s="2516" t="s">
        <v>2300</v>
      </c>
      <c r="H109" s="343" t="str">
        <f>IF(E109="——","——",H101-H105-H106)</f>
        <v>——</v>
      </c>
      <c r="I109" s="134"/>
    </row>
    <row r="110" spans="1:35" ht="18.75" customHeight="1">
      <c r="A110" s="134"/>
      <c r="B110" s="134"/>
      <c r="C110" s="134"/>
      <c r="D110" s="134"/>
      <c r="E110" s="3537"/>
      <c r="F110" s="3507"/>
      <c r="G110" s="2516" t="s">
        <v>2302</v>
      </c>
      <c r="H110" s="366" t="str">
        <f>IF(H109="——","——",ROUND(H109*10000/'数据-汇总表'!E3,0))</f>
        <v>——</v>
      </c>
      <c r="I110" s="134"/>
    </row>
    <row r="111" spans="1:35" ht="18.75" customHeight="1">
      <c r="A111" s="134"/>
      <c r="B111" s="134"/>
      <c r="C111" s="134"/>
      <c r="D111" s="134"/>
      <c r="E111" s="3538" t="str">
        <f>IF(项目基本情况!E9="抵押净值",IF(OR(项目基本情况!E8="已注销",项目基本情况!E8="房地产抵押价值"),"4.抵押净值","5.抵押净值"),"——")</f>
        <v>——</v>
      </c>
      <c r="F111" s="3539"/>
      <c r="G111" s="2516" t="s">
        <v>2300</v>
      </c>
      <c r="H111" s="1041" t="str">
        <f>IF(E111="——","——",N59)</f>
        <v>——</v>
      </c>
      <c r="I111" s="134"/>
    </row>
    <row r="112" spans="1:35" ht="18.75" customHeight="1" thickBot="1">
      <c r="A112" s="134"/>
      <c r="B112" s="134"/>
      <c r="C112" s="134"/>
      <c r="D112" s="134"/>
      <c r="E112" s="3540"/>
      <c r="F112" s="3541"/>
      <c r="G112" s="2521" t="s">
        <v>2302</v>
      </c>
      <c r="H112" s="783" t="str">
        <f>IF(E111="——","——",N61)</f>
        <v>——</v>
      </c>
      <c r="I112" s="134"/>
    </row>
    <row r="113" spans="1:11" ht="18.75" customHeight="1">
      <c r="A113" s="134"/>
      <c r="B113" s="134"/>
      <c r="C113" s="134"/>
      <c r="D113" s="134"/>
      <c r="E113" s="3549" t="s">
        <v>2308</v>
      </c>
      <c r="F113" s="3549"/>
      <c r="G113" s="3549"/>
      <c r="H113" s="3549"/>
      <c r="I113" s="134"/>
    </row>
    <row r="114" spans="1:11" ht="3.75" customHeight="1">
      <c r="A114" s="2414"/>
      <c r="B114" s="2414"/>
      <c r="C114" s="2414"/>
      <c r="D114" s="2414"/>
      <c r="E114" s="2492"/>
      <c r="F114" s="2492"/>
      <c r="G114" s="2492"/>
      <c r="H114" s="2492"/>
      <c r="I114" s="2414"/>
    </row>
    <row r="115" spans="1:11" ht="18.75" customHeight="1">
      <c r="A115" s="3562" t="s">
        <v>2310</v>
      </c>
      <c r="B115" s="3563"/>
      <c r="C115" s="3563"/>
      <c r="D115" s="3563"/>
      <c r="E115" s="3563"/>
      <c r="F115" s="3563"/>
      <c r="G115" s="3563"/>
      <c r="H115" s="3563"/>
      <c r="I115" s="3564"/>
    </row>
    <row r="116" spans="1:11" ht="27" customHeight="1">
      <c r="A116" s="3462" t="s">
        <v>2311</v>
      </c>
      <c r="B116" s="3516" t="s">
        <v>2312</v>
      </c>
      <c r="C116" s="3516" t="s">
        <v>2313</v>
      </c>
      <c r="D116" s="3522" t="s">
        <v>2314</v>
      </c>
      <c r="E116" s="3523"/>
      <c r="F116" s="3558" t="s">
        <v>2315</v>
      </c>
      <c r="G116" s="3558"/>
      <c r="H116" s="3462" t="s">
        <v>2316</v>
      </c>
      <c r="I116" s="3462"/>
    </row>
    <row r="117" spans="1:11" ht="18.75" customHeight="1">
      <c r="A117" s="3462"/>
      <c r="B117" s="3517"/>
      <c r="C117" s="3517"/>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462" t="s">
        <v>2320</v>
      </c>
      <c r="B119" s="3462"/>
      <c r="C119" s="3462"/>
      <c r="D119" s="3518" t="e">
        <f ca="1">NUMBERSTRING(INT(D118*10000),2)&amp;"元整"</f>
        <v>#REF!</v>
      </c>
      <c r="E119" s="3519"/>
      <c r="F119" s="3518" t="e">
        <f ca="1">NUMBERSTRING(INT(F118*10000),2)&amp;"元整"</f>
        <v>#REF!</v>
      </c>
      <c r="G119" s="3519"/>
      <c r="H119" s="3518" t="str">
        <f ca="1">NUMBERSTRING(INT(H118*10000),2)&amp;"元整"</f>
        <v>贰万元整</v>
      </c>
      <c r="I119" s="3519"/>
    </row>
    <row r="120" spans="1:11" ht="18.75" customHeight="1">
      <c r="A120" s="3513" t="str">
        <f>IF(项目基本情况!B9="房地产市场价值","",MID(E103,3,LEN(E103)-2))</f>
        <v/>
      </c>
      <c r="B120" s="3514"/>
      <c r="C120" s="3515"/>
      <c r="D120" s="3513">
        <f>H103</f>
        <v>0</v>
      </c>
      <c r="E120" s="3514"/>
      <c r="F120" s="3514"/>
      <c r="G120" s="3514"/>
      <c r="H120" s="3514"/>
      <c r="I120" s="3515"/>
      <c r="K120" s="2419" t="str">
        <f>IF(D120=0,"故，本次评估不存在"&amp;A120,"故，本次评估"&amp;A120&amp;"为人民币"&amp;D120&amp;"万元整。")</f>
        <v>故，本次评估不存在</v>
      </c>
    </row>
    <row r="121" spans="1:11" ht="18.75" customHeight="1">
      <c r="A121" s="3559" t="s">
        <v>2320</v>
      </c>
      <c r="B121" s="3560"/>
      <c r="C121" s="3561"/>
      <c r="D121" s="3518" t="str">
        <f>IF(D120=0,"零元整",NUMBERSTRING(INT(D120*10000),2)&amp;"元整")</f>
        <v>零元整</v>
      </c>
      <c r="E121" s="3520"/>
      <c r="F121" s="3520"/>
      <c r="G121" s="3520"/>
      <c r="H121" s="3520"/>
      <c r="I121" s="3519"/>
    </row>
    <row r="122" spans="1:11" ht="18.75" customHeight="1">
      <c r="A122" s="3524" t="str">
        <f>IF(项目基本情况!B9="房地产市场价值","",MID(E107,3,LEN(E107)-2))</f>
        <v/>
      </c>
      <c r="B122" s="3524"/>
      <c r="C122" s="3524"/>
      <c r="D122" s="3513">
        <f ca="1">H107</f>
        <v>2</v>
      </c>
      <c r="E122" s="3514"/>
      <c r="F122" s="3514"/>
      <c r="G122" s="3514"/>
      <c r="H122" s="3514"/>
      <c r="I122" s="3515"/>
    </row>
    <row r="123" spans="1:11" ht="18.75" customHeight="1">
      <c r="A123" s="3462" t="s">
        <v>2320</v>
      </c>
      <c r="B123" s="3462"/>
      <c r="C123" s="3462"/>
      <c r="D123" s="3518" t="str">
        <f ca="1">NUMBERSTRING(INT(D122*10000),2)&amp;"元整"</f>
        <v>贰万元整</v>
      </c>
      <c r="E123" s="3520"/>
      <c r="F123" s="3520"/>
      <c r="G123" s="3520"/>
      <c r="H123" s="3520"/>
      <c r="I123" s="3519"/>
    </row>
    <row r="124" spans="1:11" ht="18.75" customHeight="1">
      <c r="A124" s="3524" t="str">
        <f>IF(项目基本情况!B9="房地产市场价值","",MID(E109,3,LEN(E109)-2))</f>
        <v/>
      </c>
      <c r="B124" s="3524"/>
      <c r="C124" s="3524"/>
      <c r="D124" s="3513" t="str">
        <f>H109</f>
        <v>——</v>
      </c>
      <c r="E124" s="3514"/>
      <c r="F124" s="3514"/>
      <c r="G124" s="3514"/>
      <c r="H124" s="3514"/>
      <c r="I124" s="3515"/>
    </row>
    <row r="125" spans="1:11" ht="18.75" customHeight="1">
      <c r="A125" s="3462" t="s">
        <v>2320</v>
      </c>
      <c r="B125" s="3462"/>
      <c r="C125" s="3462"/>
      <c r="D125" s="3518" t="e">
        <f>NUMBERSTRING(INT(D124*10000),2)&amp;"元整"</f>
        <v>#VALUE!</v>
      </c>
      <c r="E125" s="3520"/>
      <c r="F125" s="3520"/>
      <c r="G125" s="3520"/>
      <c r="H125" s="3520"/>
      <c r="I125" s="3519"/>
    </row>
    <row r="126" spans="1:11" ht="18.75" customHeight="1">
      <c r="A126" s="3524" t="str">
        <f>IF(项目基本情况!B9="房地产市场价值","",MID(E111,3,LEN(E111)-2))</f>
        <v/>
      </c>
      <c r="B126" s="3524"/>
      <c r="C126" s="3524"/>
      <c r="D126" s="3513" t="str">
        <f>H111</f>
        <v>——</v>
      </c>
      <c r="E126" s="3514"/>
      <c r="F126" s="3514"/>
      <c r="G126" s="3514"/>
      <c r="H126" s="3514"/>
      <c r="I126" s="3515"/>
    </row>
    <row r="127" spans="1:11" ht="18.75" customHeight="1">
      <c r="A127" s="3462" t="s">
        <v>2320</v>
      </c>
      <c r="B127" s="3462"/>
      <c r="C127" s="3462"/>
      <c r="D127" s="3518" t="e">
        <f>NUMBERSTRING(INT(D126*10000),2)&amp;"元整"</f>
        <v>#VALUE!</v>
      </c>
      <c r="E127" s="3520"/>
      <c r="F127" s="3520"/>
      <c r="G127" s="3520"/>
      <c r="H127" s="3520"/>
      <c r="I127" s="3519"/>
    </row>
    <row r="128" spans="1:11" ht="21.75" customHeight="1">
      <c r="A128" s="3521" t="s">
        <v>2321</v>
      </c>
      <c r="B128" s="3521"/>
      <c r="C128" s="3521"/>
      <c r="D128" s="3521"/>
      <c r="E128" s="3521"/>
      <c r="F128" s="3521"/>
      <c r="G128" s="3521"/>
      <c r="H128" s="3521"/>
      <c r="I128" s="3521"/>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2" customWidth="1"/>
    <col min="2" max="2" width="12.5" style="3092" customWidth="1"/>
    <col min="3" max="3" width="11.875" style="3092" customWidth="1"/>
    <col min="4" max="4" width="10.625" style="3092" customWidth="1"/>
    <col min="5" max="5" width="9.5" style="3092" customWidth="1"/>
    <col min="6" max="6" width="4.75" style="3092" customWidth="1"/>
    <col min="7" max="7" width="7.75" style="3092" customWidth="1"/>
    <col min="8" max="8" width="6.25" style="3092" customWidth="1"/>
    <col min="9" max="9" width="6.625" style="3092" customWidth="1"/>
    <col min="10" max="10" width="9" style="3092" customWidth="1"/>
    <col min="11" max="11" width="53.25" style="3092" customWidth="1"/>
    <col min="12" max="12" width="26.625" style="3092" customWidth="1"/>
    <col min="13" max="13" width="23.25" style="3092" customWidth="1"/>
    <col min="14" max="14" width="10.875" style="3092" customWidth="1"/>
    <col min="15" max="16384" width="9" style="3092"/>
  </cols>
  <sheetData>
    <row r="1" spans="1:13" s="3093" customFormat="1" ht="13.5" customHeight="1">
      <c r="A1" s="3597" t="s">
        <v>3323</v>
      </c>
      <c r="B1" s="3598"/>
      <c r="C1" s="3598"/>
      <c r="D1" s="3598"/>
      <c r="E1" s="3598"/>
      <c r="F1" s="3598"/>
      <c r="G1" s="3598"/>
      <c r="H1" s="3598"/>
      <c r="I1" s="3598"/>
      <c r="J1" s="3598"/>
      <c r="K1" s="3598"/>
      <c r="L1" s="3599"/>
    </row>
    <row r="2" spans="1:13" ht="18" customHeight="1">
      <c r="A2" s="3092" t="s">
        <v>3305</v>
      </c>
      <c r="B2" s="3092" t="s">
        <v>3306</v>
      </c>
      <c r="C2" s="3092" t="s">
        <v>3307</v>
      </c>
      <c r="D2" s="3092" t="s">
        <v>3308</v>
      </c>
      <c r="E2" s="3092" t="s">
        <v>3507</v>
      </c>
      <c r="F2" s="3092" t="s">
        <v>3309</v>
      </c>
      <c r="G2" s="3092" t="s">
        <v>3310</v>
      </c>
      <c r="H2" s="3092" t="s">
        <v>3311</v>
      </c>
      <c r="I2" s="3092" t="s">
        <v>3312</v>
      </c>
      <c r="J2" s="3092" t="s">
        <v>3300</v>
      </c>
      <c r="K2" s="3092" t="s">
        <v>3334</v>
      </c>
      <c r="L2" s="3597" t="s">
        <v>3313</v>
      </c>
      <c r="M2" s="3599"/>
    </row>
    <row r="3" spans="1:13" ht="18" customHeight="1">
      <c r="A3" s="3092">
        <v>1</v>
      </c>
      <c r="B3" s="3092" t="s">
        <v>3301</v>
      </c>
      <c r="C3" s="3092" t="s">
        <v>3314</v>
      </c>
      <c r="D3" s="3092">
        <v>81068.120999999999</v>
      </c>
      <c r="E3" s="3092">
        <v>178400</v>
      </c>
      <c r="F3" s="3092">
        <f t="shared" ref="F3:F8" si="0">ROUND(E3/D3,2)</f>
        <v>2.2000000000000002</v>
      </c>
      <c r="G3" s="3092">
        <v>45</v>
      </c>
      <c r="H3" s="3092">
        <v>40</v>
      </c>
      <c r="I3" s="3092">
        <v>30</v>
      </c>
    </row>
    <row r="4" spans="1:13" s="3094" customFormat="1" ht="26.25" customHeight="1">
      <c r="A4" s="3094">
        <v>2</v>
      </c>
      <c r="B4" s="3094" t="s">
        <v>3302</v>
      </c>
      <c r="C4" s="3094" t="s">
        <v>3315</v>
      </c>
      <c r="D4" s="3094">
        <v>3700</v>
      </c>
      <c r="F4" s="3092">
        <f t="shared" si="0"/>
        <v>0</v>
      </c>
      <c r="J4" s="3094" t="s">
        <v>3324</v>
      </c>
      <c r="K4" s="3094" t="s">
        <v>3335</v>
      </c>
      <c r="L4" s="3094" t="s">
        <v>3325</v>
      </c>
      <c r="M4" s="3094" t="s">
        <v>3329</v>
      </c>
    </row>
    <row r="5" spans="1:13" s="3094" customFormat="1" ht="16.5" customHeight="1">
      <c r="A5" s="3094">
        <v>3</v>
      </c>
      <c r="B5" s="3094" t="s">
        <v>3316</v>
      </c>
      <c r="C5" s="3094" t="s">
        <v>3314</v>
      </c>
      <c r="D5" s="3094">
        <v>48450.898999999998</v>
      </c>
      <c r="E5" s="3094">
        <v>106700</v>
      </c>
      <c r="F5" s="3092">
        <f t="shared" si="0"/>
        <v>2.2000000000000002</v>
      </c>
      <c r="G5" s="3094">
        <v>45</v>
      </c>
      <c r="H5" s="3094">
        <v>40</v>
      </c>
      <c r="I5" s="3094">
        <v>30</v>
      </c>
      <c r="K5" s="3094" t="s">
        <v>3336</v>
      </c>
      <c r="L5" s="3094" t="s">
        <v>3326</v>
      </c>
      <c r="M5" s="3094" t="s">
        <v>3330</v>
      </c>
    </row>
    <row r="6" spans="1:13" s="3094" customFormat="1" ht="15" customHeight="1">
      <c r="A6" s="3094">
        <v>4</v>
      </c>
      <c r="B6" s="3094" t="s">
        <v>3317</v>
      </c>
      <c r="C6" s="3094" t="s">
        <v>3314</v>
      </c>
      <c r="D6" s="3094">
        <v>47891.57</v>
      </c>
      <c r="E6" s="3094">
        <v>105400</v>
      </c>
      <c r="F6" s="3092">
        <f t="shared" si="0"/>
        <v>2.2000000000000002</v>
      </c>
      <c r="G6" s="3094">
        <v>45</v>
      </c>
      <c r="H6" s="3094">
        <v>40</v>
      </c>
      <c r="I6" s="3094">
        <v>30</v>
      </c>
      <c r="K6" s="3094" t="s">
        <v>3337</v>
      </c>
      <c r="L6" s="3094" t="s">
        <v>3327</v>
      </c>
      <c r="M6" s="3094" t="s">
        <v>3331</v>
      </c>
    </row>
    <row r="7" spans="1:13" s="3106" customFormat="1" ht="17.25" customHeight="1">
      <c r="A7" s="3106">
        <v>5</v>
      </c>
      <c r="B7" s="3106" t="s">
        <v>3303</v>
      </c>
      <c r="C7" s="3106" t="s">
        <v>3314</v>
      </c>
      <c r="D7" s="3106">
        <v>52224.014000000003</v>
      </c>
      <c r="E7" s="3106">
        <v>114800</v>
      </c>
      <c r="F7" s="3106">
        <f t="shared" si="0"/>
        <v>2.2000000000000002</v>
      </c>
      <c r="G7" s="3106">
        <v>45</v>
      </c>
      <c r="H7" s="3106">
        <v>40</v>
      </c>
      <c r="I7" s="3106">
        <v>30</v>
      </c>
      <c r="K7" s="3106" t="s">
        <v>3338</v>
      </c>
      <c r="L7" s="3106" t="s">
        <v>3340</v>
      </c>
      <c r="M7" s="3106" t="s">
        <v>3332</v>
      </c>
    </row>
    <row r="8" spans="1:13" s="3106" customFormat="1" ht="15" customHeight="1">
      <c r="A8" s="3106">
        <v>6</v>
      </c>
      <c r="B8" s="3106" t="s">
        <v>3304</v>
      </c>
      <c r="C8" s="3106" t="s">
        <v>3314</v>
      </c>
      <c r="D8" s="3106">
        <v>52499.519999999997</v>
      </c>
      <c r="E8" s="3106">
        <v>115500</v>
      </c>
      <c r="F8" s="3106">
        <f t="shared" si="0"/>
        <v>2.2000000000000002</v>
      </c>
      <c r="G8" s="3106">
        <v>45</v>
      </c>
      <c r="H8" s="3106">
        <v>40</v>
      </c>
      <c r="I8" s="3106">
        <v>30</v>
      </c>
      <c r="K8" s="3106" t="s">
        <v>3339</v>
      </c>
      <c r="L8" s="3106" t="s">
        <v>3328</v>
      </c>
      <c r="M8" s="3106" t="s">
        <v>3333</v>
      </c>
    </row>
    <row r="9" spans="1:13" ht="9.75" customHeight="1">
      <c r="C9" s="3092" t="s">
        <v>3318</v>
      </c>
      <c r="D9" s="3092">
        <v>50918.69</v>
      </c>
    </row>
    <row r="10" spans="1:13" ht="10.5" customHeight="1">
      <c r="C10" s="3092" t="s">
        <v>3319</v>
      </c>
      <c r="D10" s="3092">
        <v>9938.5069999999996</v>
      </c>
    </row>
    <row r="11" spans="1:13" ht="12" customHeight="1">
      <c r="A11" s="3092" t="s">
        <v>3320</v>
      </c>
      <c r="C11" s="3092" t="s">
        <v>3321</v>
      </c>
      <c r="D11" s="3092">
        <f>SUM(D3:D10)</f>
        <v>346691.321</v>
      </c>
      <c r="E11" s="3092">
        <f>SUM(E3:E8)</f>
        <v>620800</v>
      </c>
      <c r="F11" s="3092">
        <f>ROUND(E11/D12,2)</f>
        <v>2.2000000000000002</v>
      </c>
      <c r="G11" s="3092" t="s">
        <v>3321</v>
      </c>
      <c r="H11" s="3092" t="s">
        <v>3321</v>
      </c>
      <c r="I11" s="3092" t="s">
        <v>3321</v>
      </c>
      <c r="J11" s="3092" t="s">
        <v>3321</v>
      </c>
    </row>
    <row r="12" spans="1:13">
      <c r="C12" s="3092" t="s">
        <v>3322</v>
      </c>
      <c r="D12" s="3092">
        <f>SUM(D3:D8)-D4</f>
        <v>282134.12400000001</v>
      </c>
    </row>
    <row r="13" spans="1:13">
      <c r="C13" s="3106" t="s">
        <v>3479</v>
      </c>
      <c r="D13" s="3106">
        <f>D7+D8</f>
        <v>104723.534</v>
      </c>
      <c r="E13" s="3106">
        <f>E7+E8</f>
        <v>230300</v>
      </c>
      <c r="F13" s="3106">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zoomScale="80" zoomScaleNormal="80" workbookViewId="0">
      <selection activeCell="F17" sqref="F17"/>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28621</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618" t="s">
        <v>2538</v>
      </c>
      <c r="D4" s="3619"/>
      <c r="E4" s="3620" t="s">
        <v>2539</v>
      </c>
      <c r="F4" s="3621"/>
      <c r="G4" s="3618" t="s">
        <v>2540</v>
      </c>
      <c r="H4" s="3619"/>
      <c r="I4" s="3618" t="s">
        <v>2541</v>
      </c>
      <c r="J4" s="3619"/>
      <c r="K4" s="2594" t="s">
        <v>2542</v>
      </c>
      <c r="L4" s="1126"/>
      <c r="M4" s="1127"/>
      <c r="N4" s="1127"/>
      <c r="O4" s="1127"/>
      <c r="P4" s="3622" t="s">
        <v>2543</v>
      </c>
      <c r="Q4" s="3623"/>
      <c r="R4" s="3605" t="s">
        <v>2539</v>
      </c>
      <c r="S4" s="3606"/>
      <c r="T4" s="3605" t="s">
        <v>2540</v>
      </c>
      <c r="U4" s="3606"/>
      <c r="V4" s="3630" t="s">
        <v>2541</v>
      </c>
      <c r="W4" s="3630"/>
      <c r="X4" s="1808"/>
      <c r="Y4" s="3605" t="s">
        <v>2543</v>
      </c>
      <c r="Z4" s="3606"/>
      <c r="AA4" s="3600" t="s">
        <v>2539</v>
      </c>
      <c r="AB4" s="3600" t="s">
        <v>2540</v>
      </c>
      <c r="AC4" s="3600" t="s">
        <v>2541</v>
      </c>
    </row>
    <row r="5" spans="1:29" ht="39" customHeight="1">
      <c r="A5" s="399"/>
      <c r="B5" s="400"/>
      <c r="C5" s="3611" t="s">
        <v>3509</v>
      </c>
      <c r="D5" s="3612"/>
      <c r="E5" s="3609" t="str">
        <f>土地比较法!E6</f>
        <v>中建鄂旅投·星光里</v>
      </c>
      <c r="F5" s="3610"/>
      <c r="G5" s="3609" t="str">
        <f>土地比较法!$G$6</f>
        <v>北投如郡嘉园</v>
      </c>
      <c r="H5" s="3610"/>
      <c r="I5" s="3609" t="s">
        <v>3639</v>
      </c>
      <c r="J5" s="3610"/>
      <c r="K5" s="2595"/>
      <c r="L5" s="1126"/>
      <c r="M5" s="1127"/>
      <c r="N5" s="1127"/>
      <c r="O5" s="1127"/>
      <c r="P5" s="3624"/>
      <c r="Q5" s="3625"/>
      <c r="R5" s="3607"/>
      <c r="S5" s="3608"/>
      <c r="T5" s="3607"/>
      <c r="U5" s="3608"/>
      <c r="V5" s="3630"/>
      <c r="W5" s="3630"/>
      <c r="X5" s="1808"/>
      <c r="Y5" s="3607"/>
      <c r="Z5" s="3608"/>
      <c r="AA5" s="3601"/>
      <c r="AB5" s="3601"/>
      <c r="AC5" s="3601"/>
    </row>
    <row r="6" spans="1:29" ht="15.75" thickBot="1">
      <c r="A6" s="401"/>
      <c r="B6" s="402"/>
      <c r="C6" s="3613" t="s">
        <v>3341</v>
      </c>
      <c r="D6" s="3614"/>
      <c r="E6" s="3615" t="s">
        <v>3232</v>
      </c>
      <c r="F6" s="3616"/>
      <c r="G6" s="3609" t="s">
        <v>3232</v>
      </c>
      <c r="H6" s="3610"/>
      <c r="I6" s="3615" t="s">
        <v>3232</v>
      </c>
      <c r="J6" s="3616"/>
      <c r="K6" s="2595" t="s">
        <v>2549</v>
      </c>
      <c r="L6" s="1126"/>
      <c r="M6" s="1127"/>
      <c r="N6" s="1127"/>
      <c r="O6" s="1127"/>
      <c r="P6" s="3626"/>
      <c r="Q6" s="3627"/>
      <c r="R6" s="3607"/>
      <c r="S6" s="3608"/>
      <c r="T6" s="3628"/>
      <c r="U6" s="3629"/>
      <c r="V6" s="3630"/>
      <c r="W6" s="3630"/>
      <c r="X6" s="1808"/>
      <c r="Y6" s="3628"/>
      <c r="Z6" s="3629"/>
      <c r="AA6" s="3602"/>
      <c r="AB6" s="3602"/>
      <c r="AC6" s="3602"/>
    </row>
    <row r="7" spans="1:29" s="116" customFormat="1" ht="15.75" thickBot="1">
      <c r="A7" s="403" t="s">
        <v>2550</v>
      </c>
      <c r="B7" s="404"/>
      <c r="C7" s="405">
        <f>'数据-取费表'!B2</f>
        <v>44832</v>
      </c>
      <c r="D7" s="406">
        <v>100</v>
      </c>
      <c r="E7" s="407">
        <v>44677</v>
      </c>
      <c r="F7" s="3148">
        <v>100</v>
      </c>
      <c r="G7" s="3175">
        <v>44702</v>
      </c>
      <c r="H7" s="3149">
        <v>100</v>
      </c>
      <c r="I7" s="3194">
        <v>44405</v>
      </c>
      <c r="J7" s="3222">
        <v>98</v>
      </c>
      <c r="K7" s="2596"/>
      <c r="L7" s="1128"/>
      <c r="M7" s="1129"/>
      <c r="N7" s="1129"/>
      <c r="O7" s="1129"/>
      <c r="P7" s="3603" t="s">
        <v>2551</v>
      </c>
      <c r="Q7" s="3631"/>
      <c r="R7" s="763" t="s">
        <v>23</v>
      </c>
      <c r="S7" s="764">
        <f t="shared" ref="S7:S15" si="0">F7</f>
        <v>100</v>
      </c>
      <c r="T7" s="763" t="s">
        <v>23</v>
      </c>
      <c r="U7" s="764">
        <f t="shared" ref="U7:U15" si="1">H7</f>
        <v>100</v>
      </c>
      <c r="V7" s="763" t="s">
        <v>23</v>
      </c>
      <c r="W7" s="764">
        <f t="shared" ref="W7:W15" si="2">J7</f>
        <v>98</v>
      </c>
      <c r="X7" s="765"/>
      <c r="Y7" s="3603" t="s">
        <v>2551</v>
      </c>
      <c r="Z7" s="3604"/>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603" t="s">
        <v>2554</v>
      </c>
      <c r="Q8" s="3604"/>
      <c r="R8" s="763" t="s">
        <v>23</v>
      </c>
      <c r="S8" s="764">
        <f t="shared" si="0"/>
        <v>100</v>
      </c>
      <c r="T8" s="763" t="s">
        <v>23</v>
      </c>
      <c r="U8" s="764">
        <f t="shared" si="1"/>
        <v>100</v>
      </c>
      <c r="V8" s="763" t="s">
        <v>23</v>
      </c>
      <c r="W8" s="764">
        <f t="shared" si="2"/>
        <v>100</v>
      </c>
      <c r="X8" s="765"/>
      <c r="Y8" s="3603" t="s">
        <v>2554</v>
      </c>
      <c r="Z8" s="3604"/>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617"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617"/>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617"/>
      <c r="Q11" s="1790" t="str">
        <f t="shared" si="6"/>
        <v>容积率</v>
      </c>
      <c r="R11" s="763" t="s">
        <v>21</v>
      </c>
      <c r="S11" s="764">
        <f t="shared" si="0"/>
        <v>100</v>
      </c>
      <c r="T11" s="763" t="s">
        <v>21</v>
      </c>
      <c r="U11" s="764">
        <f t="shared" si="1"/>
        <v>100</v>
      </c>
      <c r="V11" s="763" t="s">
        <v>21</v>
      </c>
      <c r="W11" s="764">
        <f t="shared" si="2"/>
        <v>100</v>
      </c>
      <c r="X11" s="765"/>
      <c r="Y11" s="3462"/>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617"/>
      <c r="Q12" s="1790" t="str">
        <f t="shared" si="6"/>
        <v>产权性质</v>
      </c>
      <c r="R12" s="763" t="s">
        <v>21</v>
      </c>
      <c r="S12" s="764">
        <f t="shared" si="0"/>
        <v>100</v>
      </c>
      <c r="T12" s="763" t="s">
        <v>21</v>
      </c>
      <c r="U12" s="764">
        <f t="shared" si="1"/>
        <v>100</v>
      </c>
      <c r="V12" s="763" t="s">
        <v>21</v>
      </c>
      <c r="W12" s="764">
        <f t="shared" si="2"/>
        <v>100</v>
      </c>
      <c r="X12" s="765"/>
      <c r="Y12" s="3462"/>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617"/>
      <c r="Q13" s="1790">
        <f t="shared" si="6"/>
        <v>111</v>
      </c>
      <c r="R13" s="763" t="s">
        <v>21</v>
      </c>
      <c r="S13" s="764">
        <f t="shared" si="0"/>
        <v>100</v>
      </c>
      <c r="T13" s="763" t="s">
        <v>21</v>
      </c>
      <c r="U13" s="764">
        <f t="shared" si="1"/>
        <v>100</v>
      </c>
      <c r="V13" s="763" t="s">
        <v>21</v>
      </c>
      <c r="W13" s="764">
        <f t="shared" si="2"/>
        <v>100</v>
      </c>
      <c r="X13" s="765"/>
      <c r="Y13" s="3462"/>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617"/>
      <c r="Q14" s="1790">
        <f t="shared" si="6"/>
        <v>111</v>
      </c>
      <c r="R14" s="763" t="s">
        <v>21</v>
      </c>
      <c r="S14" s="764">
        <f t="shared" si="0"/>
        <v>100</v>
      </c>
      <c r="T14" s="763" t="s">
        <v>21</v>
      </c>
      <c r="U14" s="764">
        <f t="shared" si="1"/>
        <v>100</v>
      </c>
      <c r="V14" s="763" t="s">
        <v>21</v>
      </c>
      <c r="W14" s="764">
        <f t="shared" si="2"/>
        <v>100</v>
      </c>
      <c r="X14" s="765"/>
      <c r="Y14" s="3462"/>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40">
        <f>SUMIF(76:76,E16,77:77)-SUMIF(76:76,C16,77:77)+100</f>
        <v>100.5</v>
      </c>
      <c r="G15" s="437"/>
      <c r="H15" s="3240">
        <f>SUMIF(76:76,G16,77:77)-SUMIF(76:76,C16,77:77)+100</f>
        <v>100.5</v>
      </c>
      <c r="I15" s="437"/>
      <c r="J15" s="3240">
        <f>SUMIF(76:76,I16,77:77)-SUMIF(76:76,C16,77:77)+100</f>
        <v>100.5</v>
      </c>
      <c r="K15" s="3153">
        <v>0.5</v>
      </c>
      <c r="L15" s="1136"/>
      <c r="M15" s="1127"/>
      <c r="N15" s="1127"/>
      <c r="O15" s="1127"/>
      <c r="P15" s="3644" t="s">
        <v>2562</v>
      </c>
      <c r="Q15" s="1805" t="str">
        <f t="shared" si="6"/>
        <v>居住社区成熟度</v>
      </c>
      <c r="R15" s="767" t="s">
        <v>21</v>
      </c>
      <c r="S15" s="768">
        <f t="shared" si="0"/>
        <v>100.5</v>
      </c>
      <c r="T15" s="767" t="s">
        <v>21</v>
      </c>
      <c r="U15" s="768">
        <f t="shared" si="1"/>
        <v>100.5</v>
      </c>
      <c r="V15" s="767" t="s">
        <v>21</v>
      </c>
      <c r="W15" s="768">
        <f t="shared" si="2"/>
        <v>100.5</v>
      </c>
      <c r="X15" s="1808"/>
      <c r="Y15" s="3637" t="s">
        <v>2562</v>
      </c>
      <c r="Z15" s="1809" t="str">
        <f t="shared" si="7"/>
        <v>居住社区成熟度</v>
      </c>
      <c r="AA15" s="1806">
        <f t="shared" si="3"/>
        <v>0.99502487562189057</v>
      </c>
      <c r="AB15" s="1806">
        <f t="shared" si="4"/>
        <v>0.99502487562189057</v>
      </c>
      <c r="AC15" s="1806">
        <f t="shared" si="5"/>
        <v>0.99502487562189057</v>
      </c>
    </row>
    <row r="16" spans="1:29" ht="15">
      <c r="A16" s="423"/>
      <c r="B16" s="441"/>
      <c r="C16" s="442" t="s">
        <v>3165</v>
      </c>
      <c r="D16" s="443"/>
      <c r="E16" s="2602" t="s">
        <v>3071</v>
      </c>
      <c r="F16" s="443"/>
      <c r="G16" s="2603" t="s">
        <v>3071</v>
      </c>
      <c r="H16" s="445"/>
      <c r="I16" s="2603" t="s">
        <v>3071</v>
      </c>
      <c r="J16" s="443"/>
      <c r="K16" s="3154" t="s">
        <v>3641</v>
      </c>
      <c r="L16" s="1136"/>
      <c r="M16" s="1127"/>
      <c r="N16" s="1127"/>
      <c r="O16" s="1127"/>
      <c r="P16" s="3645"/>
      <c r="Q16" s="1805"/>
      <c r="R16" s="767"/>
      <c r="S16" s="768"/>
      <c r="T16" s="767"/>
      <c r="U16" s="768"/>
      <c r="V16" s="767"/>
      <c r="W16" s="768"/>
      <c r="X16" s="1808"/>
      <c r="Y16" s="3638"/>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41">
        <f>SUMIF(78:78,E18,79:79)-SUMIF(78:78,C18,79:79)+100</f>
        <v>100.5</v>
      </c>
      <c r="G17" s="3242"/>
      <c r="H17" s="3243">
        <f>SUMIF(78:78,G18,79:79)-SUMIF(78:78,C18,79:79)+100</f>
        <v>100.5</v>
      </c>
      <c r="I17" s="3242"/>
      <c r="J17" s="3243">
        <f>SUMIF(78:78,I18,79:79)-SUMIF(78:78,C18,79:79)+100</f>
        <v>100.5</v>
      </c>
      <c r="K17" s="3153">
        <v>0.5</v>
      </c>
      <c r="L17" s="1136"/>
      <c r="M17" s="1127"/>
      <c r="N17" s="1127"/>
      <c r="O17" s="1127"/>
      <c r="P17" s="3645"/>
      <c r="Q17" s="1805" t="str">
        <f>B17</f>
        <v>交通便捷度</v>
      </c>
      <c r="R17" s="767" t="s">
        <v>21</v>
      </c>
      <c r="S17" s="768">
        <f>F17</f>
        <v>100.5</v>
      </c>
      <c r="T17" s="767" t="s">
        <v>21</v>
      </c>
      <c r="U17" s="768">
        <f>H17</f>
        <v>100.5</v>
      </c>
      <c r="V17" s="767" t="s">
        <v>21</v>
      </c>
      <c r="W17" s="768">
        <f>J17</f>
        <v>100.5</v>
      </c>
      <c r="X17" s="1808"/>
      <c r="Y17" s="3638"/>
      <c r="Z17" s="1809" t="str">
        <f>Q17</f>
        <v>交通便捷度</v>
      </c>
      <c r="AA17" s="1806">
        <f t="shared" si="3"/>
        <v>0.99502487562189057</v>
      </c>
      <c r="AB17" s="1806">
        <f t="shared" si="4"/>
        <v>0.99502487562189057</v>
      </c>
      <c r="AC17" s="1806">
        <f t="shared" si="5"/>
        <v>0.99502487562189057</v>
      </c>
    </row>
    <row r="18" spans="1:29" ht="15">
      <c r="A18" s="423"/>
      <c r="B18" s="451"/>
      <c r="C18" s="2606" t="s">
        <v>3071</v>
      </c>
      <c r="D18" s="445"/>
      <c r="E18" s="2607" t="s">
        <v>3070</v>
      </c>
      <c r="F18" s="445"/>
      <c r="G18" s="2608" t="s">
        <v>3070</v>
      </c>
      <c r="H18" s="443"/>
      <c r="I18" s="2608" t="s">
        <v>3070</v>
      </c>
      <c r="J18" s="443"/>
      <c r="K18" s="3154"/>
      <c r="L18" s="1136"/>
      <c r="M18" s="1127"/>
      <c r="N18" s="1127"/>
      <c r="O18" s="1127"/>
      <c r="P18" s="3645"/>
      <c r="Q18" s="1805"/>
      <c r="R18" s="767"/>
      <c r="S18" s="768"/>
      <c r="T18" s="767"/>
      <c r="U18" s="768"/>
      <c r="V18" s="767"/>
      <c r="W18" s="768"/>
      <c r="X18" s="1808"/>
      <c r="Y18" s="3638"/>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3244"/>
      <c r="F19" s="3243">
        <f>SUMIF(80:80,E20,81:81)-SUMIF(80:80,C20,81:81)+100</f>
        <v>100</v>
      </c>
      <c r="G19" s="3245"/>
      <c r="H19" s="3241">
        <f>SUMIF(80:80,G20,81:81)-SUMIF(80:80,C20,81:81)+100</f>
        <v>100</v>
      </c>
      <c r="I19" s="3245"/>
      <c r="J19" s="3241">
        <f>SUMIF(80:80,I20,81:81)-SUMIF(80:80,C20,81:81)+100</f>
        <v>100</v>
      </c>
      <c r="K19" s="3153">
        <v>0.5</v>
      </c>
      <c r="L19" s="1136"/>
      <c r="M19" s="1127"/>
      <c r="N19" s="1127"/>
      <c r="O19" s="1127"/>
      <c r="P19" s="3645"/>
      <c r="Q19" s="1805" t="str">
        <f>B19</f>
        <v>公共配套设施</v>
      </c>
      <c r="R19" s="767" t="s">
        <v>21</v>
      </c>
      <c r="S19" s="768">
        <f>F19</f>
        <v>100</v>
      </c>
      <c r="T19" s="767" t="s">
        <v>21</v>
      </c>
      <c r="U19" s="768">
        <f>H19</f>
        <v>100</v>
      </c>
      <c r="V19" s="767" t="s">
        <v>21</v>
      </c>
      <c r="W19" s="768">
        <f>J19</f>
        <v>100</v>
      </c>
      <c r="X19" s="1808"/>
      <c r="Y19" s="3638"/>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645"/>
      <c r="Q20" s="1805"/>
      <c r="R20" s="767"/>
      <c r="S20" s="768"/>
      <c r="T20" s="767"/>
      <c r="U20" s="768"/>
      <c r="V20" s="767"/>
      <c r="W20" s="768"/>
      <c r="X20" s="1808"/>
      <c r="Y20" s="3638"/>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645"/>
      <c r="Q21" s="1805" t="str">
        <f>B21</f>
        <v>基础设施水平</v>
      </c>
      <c r="R21" s="767" t="s">
        <v>17</v>
      </c>
      <c r="S21" s="768">
        <f>F21</f>
        <v>100</v>
      </c>
      <c r="T21" s="767" t="s">
        <v>17</v>
      </c>
      <c r="U21" s="768">
        <f>H21</f>
        <v>100</v>
      </c>
      <c r="V21" s="767" t="s">
        <v>17</v>
      </c>
      <c r="W21" s="768">
        <f>J21</f>
        <v>100</v>
      </c>
      <c r="X21" s="1808"/>
      <c r="Y21" s="3638"/>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645"/>
      <c r="Q22" s="1805"/>
      <c r="R22" s="767"/>
      <c r="S22" s="768"/>
      <c r="T22" s="767"/>
      <c r="U22" s="768"/>
      <c r="V22" s="767"/>
      <c r="W22" s="768"/>
      <c r="X22" s="1808"/>
      <c r="Y22" s="3638"/>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645"/>
      <c r="Q23" s="1805" t="str">
        <f>B23</f>
        <v>自然及人文环境</v>
      </c>
      <c r="R23" s="767" t="s">
        <v>21</v>
      </c>
      <c r="S23" s="768">
        <f>F23</f>
        <v>100</v>
      </c>
      <c r="T23" s="767" t="s">
        <v>21</v>
      </c>
      <c r="U23" s="768">
        <f>H23</f>
        <v>100</v>
      </c>
      <c r="V23" s="767" t="s">
        <v>21</v>
      </c>
      <c r="W23" s="768">
        <f>J23</f>
        <v>100</v>
      </c>
      <c r="X23" s="1808"/>
      <c r="Y23" s="3638"/>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645"/>
      <c r="Q24" s="1805"/>
      <c r="R24" s="767"/>
      <c r="S24" s="768"/>
      <c r="T24" s="767"/>
      <c r="U24" s="768"/>
      <c r="V24" s="767"/>
      <c r="W24" s="768"/>
      <c r="X24" s="1808"/>
      <c r="Y24" s="3638"/>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645"/>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638"/>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645"/>
      <c r="Q26" s="1805" t="str">
        <f t="shared" si="8"/>
        <v>朝向</v>
      </c>
      <c r="R26" s="767" t="s">
        <v>21</v>
      </c>
      <c r="S26" s="768">
        <f t="shared" si="9"/>
        <v>100</v>
      </c>
      <c r="T26" s="767" t="s">
        <v>21</v>
      </c>
      <c r="U26" s="768">
        <f t="shared" si="10"/>
        <v>100</v>
      </c>
      <c r="V26" s="767" t="s">
        <v>21</v>
      </c>
      <c r="W26" s="768">
        <f t="shared" si="11"/>
        <v>100</v>
      </c>
      <c r="X26" s="1808"/>
      <c r="Y26" s="3638"/>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645"/>
      <c r="Q27" s="1790" t="str">
        <f t="shared" si="8"/>
        <v>临街状态</v>
      </c>
      <c r="R27" s="763" t="s">
        <v>21</v>
      </c>
      <c r="S27" s="764">
        <f t="shared" si="9"/>
        <v>100</v>
      </c>
      <c r="T27" s="763" t="s">
        <v>21</v>
      </c>
      <c r="U27" s="764">
        <f t="shared" si="10"/>
        <v>100</v>
      </c>
      <c r="V27" s="763" t="s">
        <v>21</v>
      </c>
      <c r="W27" s="764">
        <f t="shared" si="11"/>
        <v>100</v>
      </c>
      <c r="X27" s="765"/>
      <c r="Y27" s="3638"/>
      <c r="Z27" s="55" t="str">
        <f>Q27</f>
        <v>临街状态</v>
      </c>
      <c r="AA27" s="1806">
        <f t="shared" si="12"/>
        <v>1</v>
      </c>
      <c r="AB27" s="1806">
        <f t="shared" si="13"/>
        <v>1</v>
      </c>
      <c r="AC27" s="1806">
        <f t="shared" si="14"/>
        <v>1</v>
      </c>
    </row>
    <row r="28" spans="1:29" ht="15">
      <c r="A28" s="423"/>
      <c r="B28" s="2954" t="s">
        <v>3173</v>
      </c>
      <c r="C28" s="3025" t="s">
        <v>3477</v>
      </c>
      <c r="D28" s="430">
        <v>100</v>
      </c>
      <c r="E28" s="3025" t="s">
        <v>3640</v>
      </c>
      <c r="F28" s="3246">
        <f>SUMIF(92:92,E28,93:93)-SUMIF(92:92,C28,93:93)+100</f>
        <v>101</v>
      </c>
      <c r="G28" s="3026" t="s">
        <v>3681</v>
      </c>
      <c r="H28" s="430">
        <v>101</v>
      </c>
      <c r="I28" s="3025" t="s">
        <v>3640</v>
      </c>
      <c r="J28" s="3246">
        <f>SUMIF(92:92,I28,93:93)-SUMIF(92:92,C28,93:93)+100</f>
        <v>101</v>
      </c>
      <c r="K28" s="2599"/>
      <c r="L28" s="1136"/>
      <c r="M28" s="1127"/>
      <c r="N28" s="1127"/>
      <c r="O28" s="1127"/>
      <c r="P28" s="3645"/>
      <c r="Q28" s="1805" t="str">
        <f t="shared" si="8"/>
        <v>道路级别</v>
      </c>
      <c r="R28" s="767" t="s">
        <v>21</v>
      </c>
      <c r="S28" s="768">
        <f t="shared" si="9"/>
        <v>101</v>
      </c>
      <c r="T28" s="767" t="s">
        <v>21</v>
      </c>
      <c r="U28" s="768">
        <f t="shared" si="10"/>
        <v>101</v>
      </c>
      <c r="V28" s="767" t="s">
        <v>21</v>
      </c>
      <c r="W28" s="768">
        <f t="shared" si="11"/>
        <v>101</v>
      </c>
      <c r="X28" s="1808"/>
      <c r="Y28" s="3638"/>
      <c r="Z28" s="1809" t="str">
        <f t="shared" ref="Z28:Z46" si="15">Q28</f>
        <v>道路级别</v>
      </c>
      <c r="AA28" s="1806">
        <f t="shared" si="12"/>
        <v>0.99009900990099009</v>
      </c>
      <c r="AB28" s="1806">
        <f t="shared" si="13"/>
        <v>0.99009900990099009</v>
      </c>
      <c r="AC28" s="1806">
        <f t="shared" si="14"/>
        <v>0.99009900990099009</v>
      </c>
    </row>
    <row r="29" spans="1:29" ht="15">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645"/>
      <c r="Q29" s="1805">
        <f t="shared" si="8"/>
        <v>111</v>
      </c>
      <c r="R29" s="767" t="s">
        <v>21</v>
      </c>
      <c r="S29" s="768">
        <f t="shared" si="9"/>
        <v>100</v>
      </c>
      <c r="T29" s="767" t="s">
        <v>21</v>
      </c>
      <c r="U29" s="768">
        <f t="shared" si="10"/>
        <v>100</v>
      </c>
      <c r="V29" s="767" t="s">
        <v>21</v>
      </c>
      <c r="W29" s="768">
        <f t="shared" si="11"/>
        <v>100</v>
      </c>
      <c r="X29" s="1808"/>
      <c r="Y29" s="3638"/>
      <c r="Z29" s="1809">
        <f t="shared" si="15"/>
        <v>111</v>
      </c>
      <c r="AA29" s="1806">
        <f t="shared" si="12"/>
        <v>1</v>
      </c>
      <c r="AB29" s="1806">
        <f t="shared" si="13"/>
        <v>1</v>
      </c>
      <c r="AC29" s="1806">
        <f t="shared" si="14"/>
        <v>1</v>
      </c>
    </row>
    <row r="30" spans="1:29" ht="15">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645"/>
      <c r="Q30" s="1805">
        <f t="shared" si="8"/>
        <v>111</v>
      </c>
      <c r="R30" s="767" t="s">
        <v>21</v>
      </c>
      <c r="S30" s="768">
        <f t="shared" si="9"/>
        <v>100</v>
      </c>
      <c r="T30" s="767" t="s">
        <v>21</v>
      </c>
      <c r="U30" s="768">
        <f t="shared" si="10"/>
        <v>100</v>
      </c>
      <c r="V30" s="767" t="s">
        <v>21</v>
      </c>
      <c r="W30" s="768">
        <f t="shared" si="11"/>
        <v>100</v>
      </c>
      <c r="X30" s="1808"/>
      <c r="Y30" s="3638"/>
      <c r="Z30" s="1809">
        <f t="shared" si="15"/>
        <v>111</v>
      </c>
      <c r="AA30" s="1806">
        <f t="shared" si="12"/>
        <v>1</v>
      </c>
      <c r="AB30" s="1806">
        <f t="shared" si="13"/>
        <v>1</v>
      </c>
      <c r="AC30" s="1806">
        <f t="shared" si="14"/>
        <v>1</v>
      </c>
    </row>
    <row r="31" spans="1:29" ht="15.75"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645"/>
      <c r="Q31" s="1805">
        <f t="shared" si="8"/>
        <v>111</v>
      </c>
      <c r="R31" s="767" t="s">
        <v>21</v>
      </c>
      <c r="S31" s="768">
        <f t="shared" si="9"/>
        <v>100</v>
      </c>
      <c r="T31" s="767" t="s">
        <v>21</v>
      </c>
      <c r="U31" s="768">
        <f t="shared" si="10"/>
        <v>100</v>
      </c>
      <c r="V31" s="767" t="s">
        <v>21</v>
      </c>
      <c r="W31" s="768">
        <f t="shared" si="11"/>
        <v>100</v>
      </c>
      <c r="X31" s="1808"/>
      <c r="Y31" s="3638"/>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639" t="s">
        <v>2567</v>
      </c>
      <c r="Q32" s="1805" t="str">
        <f t="shared" si="8"/>
        <v>建筑类型</v>
      </c>
      <c r="R32" s="767" t="s">
        <v>21</v>
      </c>
      <c r="S32" s="768">
        <f t="shared" si="9"/>
        <v>100</v>
      </c>
      <c r="T32" s="767" t="s">
        <v>21</v>
      </c>
      <c r="U32" s="768">
        <f t="shared" si="10"/>
        <v>100</v>
      </c>
      <c r="V32" s="767" t="s">
        <v>21</v>
      </c>
      <c r="W32" s="768">
        <f t="shared" si="11"/>
        <v>100</v>
      </c>
      <c r="X32" s="1808"/>
      <c r="Y32" s="3642" t="s">
        <v>2567</v>
      </c>
      <c r="Z32" s="1809" t="str">
        <f t="shared" si="15"/>
        <v>建筑类型</v>
      </c>
      <c r="AA32" s="1806">
        <f t="shared" si="12"/>
        <v>1</v>
      </c>
      <c r="AB32" s="1806">
        <f t="shared" si="13"/>
        <v>1</v>
      </c>
      <c r="AC32" s="1806">
        <f t="shared" si="14"/>
        <v>1</v>
      </c>
    </row>
    <row r="33" spans="1:29" s="464" customFormat="1" ht="15">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640"/>
      <c r="Q33" s="769" t="str">
        <f t="shared" si="8"/>
        <v>项目建筑规模</v>
      </c>
      <c r="R33" s="770" t="s">
        <v>21</v>
      </c>
      <c r="S33" s="771">
        <f t="shared" si="9"/>
        <v>100</v>
      </c>
      <c r="T33" s="770" t="s">
        <v>21</v>
      </c>
      <c r="U33" s="771">
        <f t="shared" si="10"/>
        <v>100</v>
      </c>
      <c r="V33" s="770" t="s">
        <v>21</v>
      </c>
      <c r="W33" s="771">
        <f t="shared" si="11"/>
        <v>100</v>
      </c>
      <c r="X33" s="772"/>
      <c r="Y33" s="3642"/>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640"/>
      <c r="Q34" s="1805" t="str">
        <f t="shared" si="8"/>
        <v>建筑结构</v>
      </c>
      <c r="R34" s="767" t="s">
        <v>21</v>
      </c>
      <c r="S34" s="768">
        <f t="shared" si="9"/>
        <v>100</v>
      </c>
      <c r="T34" s="767" t="s">
        <v>21</v>
      </c>
      <c r="U34" s="768">
        <f t="shared" si="10"/>
        <v>100</v>
      </c>
      <c r="V34" s="767" t="s">
        <v>21</v>
      </c>
      <c r="W34" s="768">
        <f t="shared" si="11"/>
        <v>100</v>
      </c>
      <c r="X34" s="1808"/>
      <c r="Y34" s="3642"/>
      <c r="Z34" s="1809" t="str">
        <f t="shared" si="15"/>
        <v>建筑结构</v>
      </c>
      <c r="AA34" s="1806">
        <f t="shared" si="12"/>
        <v>1</v>
      </c>
      <c r="AB34" s="1806">
        <f t="shared" si="13"/>
        <v>1</v>
      </c>
      <c r="AC34" s="1806">
        <f t="shared" si="14"/>
        <v>1</v>
      </c>
    </row>
    <row r="35" spans="1:29" ht="15">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640"/>
      <c r="Q35" s="1805" t="str">
        <f t="shared" si="8"/>
        <v>建筑品质</v>
      </c>
      <c r="R35" s="767" t="s">
        <v>21</v>
      </c>
      <c r="S35" s="768">
        <f t="shared" si="9"/>
        <v>100</v>
      </c>
      <c r="T35" s="767" t="s">
        <v>21</v>
      </c>
      <c r="U35" s="768">
        <f t="shared" si="10"/>
        <v>100</v>
      </c>
      <c r="V35" s="767" t="s">
        <v>21</v>
      </c>
      <c r="W35" s="768">
        <f t="shared" si="11"/>
        <v>100</v>
      </c>
      <c r="X35" s="1808"/>
      <c r="Y35" s="3642"/>
      <c r="Z35" s="1809" t="str">
        <f t="shared" si="15"/>
        <v>建筑品质</v>
      </c>
      <c r="AA35" s="1806">
        <f t="shared" si="12"/>
        <v>1</v>
      </c>
      <c r="AB35" s="1806">
        <f t="shared" si="13"/>
        <v>1</v>
      </c>
      <c r="AC35" s="1806">
        <f t="shared" si="14"/>
        <v>1</v>
      </c>
    </row>
    <row r="36" spans="1:29" ht="15">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640"/>
      <c r="Q36" s="1805" t="str">
        <f t="shared" si="8"/>
        <v>公共部分装修</v>
      </c>
      <c r="R36" s="767" t="s">
        <v>21</v>
      </c>
      <c r="S36" s="768">
        <f t="shared" si="9"/>
        <v>100</v>
      </c>
      <c r="T36" s="767" t="s">
        <v>21</v>
      </c>
      <c r="U36" s="768">
        <f t="shared" si="10"/>
        <v>100</v>
      </c>
      <c r="V36" s="767" t="s">
        <v>21</v>
      </c>
      <c r="W36" s="768">
        <f t="shared" si="11"/>
        <v>100</v>
      </c>
      <c r="X36" s="1808"/>
      <c r="Y36" s="3642"/>
      <c r="Z36" s="1809" t="str">
        <f t="shared" si="15"/>
        <v>公共部分装修</v>
      </c>
      <c r="AA36" s="1806">
        <f t="shared" si="12"/>
        <v>1</v>
      </c>
      <c r="AB36" s="1806">
        <f t="shared" si="13"/>
        <v>1</v>
      </c>
      <c r="AC36" s="1806">
        <f t="shared" si="14"/>
        <v>1</v>
      </c>
    </row>
    <row r="37" spans="1:29" s="116" customFormat="1" ht="15">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640"/>
      <c r="Q37" s="1790" t="str">
        <f t="shared" si="8"/>
        <v>成新度</v>
      </c>
      <c r="R37" s="763" t="s">
        <v>21</v>
      </c>
      <c r="S37" s="764">
        <f t="shared" si="9"/>
        <v>100</v>
      </c>
      <c r="T37" s="763" t="s">
        <v>21</v>
      </c>
      <c r="U37" s="764">
        <f t="shared" si="10"/>
        <v>100</v>
      </c>
      <c r="V37" s="763" t="s">
        <v>21</v>
      </c>
      <c r="W37" s="764">
        <f t="shared" si="11"/>
        <v>100</v>
      </c>
      <c r="X37" s="765"/>
      <c r="Y37" s="3642"/>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640" t="s">
        <v>2567</v>
      </c>
      <c r="Q38" s="1805" t="str">
        <f t="shared" si="8"/>
        <v>物业管理</v>
      </c>
      <c r="R38" s="767" t="s">
        <v>21</v>
      </c>
      <c r="S38" s="768">
        <f t="shared" si="9"/>
        <v>100</v>
      </c>
      <c r="T38" s="767" t="s">
        <v>21</v>
      </c>
      <c r="U38" s="768">
        <f t="shared" si="10"/>
        <v>100</v>
      </c>
      <c r="V38" s="767" t="s">
        <v>21</v>
      </c>
      <c r="W38" s="768">
        <f t="shared" si="11"/>
        <v>100</v>
      </c>
      <c r="X38" s="1808"/>
      <c r="Y38" s="3642"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640"/>
      <c r="Q39" s="1805" t="str">
        <f t="shared" si="8"/>
        <v>市政基础设施</v>
      </c>
      <c r="R39" s="767" t="s">
        <v>21</v>
      </c>
      <c r="S39" s="768">
        <f t="shared" si="9"/>
        <v>100</v>
      </c>
      <c r="T39" s="767" t="s">
        <v>21</v>
      </c>
      <c r="U39" s="768">
        <f t="shared" si="10"/>
        <v>100</v>
      </c>
      <c r="V39" s="767" t="s">
        <v>21</v>
      </c>
      <c r="W39" s="768">
        <f t="shared" si="11"/>
        <v>100</v>
      </c>
      <c r="X39" s="1808"/>
      <c r="Y39" s="3642"/>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640"/>
      <c r="Q40" s="1805" t="str">
        <f t="shared" si="8"/>
        <v>房型</v>
      </c>
      <c r="R40" s="767" t="s">
        <v>21</v>
      </c>
      <c r="S40" s="768">
        <f t="shared" si="9"/>
        <v>100</v>
      </c>
      <c r="T40" s="767" t="s">
        <v>21</v>
      </c>
      <c r="U40" s="768">
        <f t="shared" si="10"/>
        <v>100</v>
      </c>
      <c r="V40" s="767" t="s">
        <v>21</v>
      </c>
      <c r="W40" s="768">
        <f t="shared" si="11"/>
        <v>100</v>
      </c>
      <c r="X40" s="1808"/>
      <c r="Y40" s="3642"/>
      <c r="Z40" s="1809" t="str">
        <f t="shared" si="15"/>
        <v>房型</v>
      </c>
      <c r="AA40" s="1806">
        <f t="shared" si="12"/>
        <v>1</v>
      </c>
      <c r="AB40" s="1806">
        <f t="shared" si="13"/>
        <v>1</v>
      </c>
      <c r="AC40" s="1806">
        <f t="shared" si="14"/>
        <v>1</v>
      </c>
    </row>
    <row r="41" spans="1:29" s="464" customFormat="1" ht="40.5">
      <c r="A41" s="461"/>
      <c r="B41" s="417" t="s">
        <v>2576</v>
      </c>
      <c r="C41" s="2956" t="s">
        <v>3233</v>
      </c>
      <c r="D41" s="132">
        <v>100</v>
      </c>
      <c r="E41" s="2956" t="s">
        <v>3233</v>
      </c>
      <c r="F41" s="420">
        <f>SUMIF(120:120,E41,121:121)-SUMIF(120:120,C41,121:121)+100</f>
        <v>100</v>
      </c>
      <c r="G41" s="2956" t="s">
        <v>3233</v>
      </c>
      <c r="H41" s="132">
        <f>SUMIF(120:120,G41,121:121)-SUMIF(120:120,C41,121:121)+100</f>
        <v>100</v>
      </c>
      <c r="I41" s="2956" t="s">
        <v>3233</v>
      </c>
      <c r="J41" s="430">
        <f>SUMIF(120:120,I41,121:121)-SUMIF(120:120,C41,121:121)+100</f>
        <v>100</v>
      </c>
      <c r="K41" s="2599"/>
      <c r="L41" s="1134"/>
      <c r="M41" s="1137"/>
      <c r="N41" s="1137"/>
      <c r="O41" s="1137"/>
      <c r="P41" s="3640"/>
      <c r="Q41" s="769" t="str">
        <f t="shared" si="8"/>
        <v>单套/主力户型建筑面积</v>
      </c>
      <c r="R41" s="770" t="s">
        <v>21</v>
      </c>
      <c r="S41" s="771">
        <f t="shared" si="9"/>
        <v>100</v>
      </c>
      <c r="T41" s="770" t="s">
        <v>21</v>
      </c>
      <c r="U41" s="771">
        <f t="shared" si="10"/>
        <v>100</v>
      </c>
      <c r="V41" s="770" t="s">
        <v>21</v>
      </c>
      <c r="W41" s="771">
        <f t="shared" si="11"/>
        <v>100</v>
      </c>
      <c r="X41" s="772"/>
      <c r="Y41" s="3642"/>
      <c r="Z41" s="773" t="str">
        <f t="shared" si="15"/>
        <v>单套/主力户型建筑面积</v>
      </c>
      <c r="AA41" s="1806">
        <f t="shared" si="12"/>
        <v>1</v>
      </c>
      <c r="AB41" s="1806">
        <f t="shared" si="13"/>
        <v>1</v>
      </c>
      <c r="AC41" s="1806">
        <f t="shared" si="14"/>
        <v>1</v>
      </c>
    </row>
    <row r="42" spans="1:29" ht="15">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640"/>
      <c r="Q42" s="1805" t="str">
        <f t="shared" si="8"/>
        <v>内部装修</v>
      </c>
      <c r="R42" s="767" t="s">
        <v>21</v>
      </c>
      <c r="S42" s="768">
        <f t="shared" si="9"/>
        <v>100</v>
      </c>
      <c r="T42" s="767" t="s">
        <v>21</v>
      </c>
      <c r="U42" s="768">
        <f t="shared" si="10"/>
        <v>100</v>
      </c>
      <c r="V42" s="767" t="s">
        <v>21</v>
      </c>
      <c r="W42" s="768">
        <f t="shared" si="11"/>
        <v>100</v>
      </c>
      <c r="X42" s="1808"/>
      <c r="Y42" s="3642"/>
      <c r="Z42" s="1809" t="str">
        <f t="shared" si="15"/>
        <v>内部装修</v>
      </c>
      <c r="AA42" s="1806">
        <f t="shared" si="12"/>
        <v>1</v>
      </c>
      <c r="AB42" s="1806">
        <f t="shared" si="13"/>
        <v>1</v>
      </c>
      <c r="AC42" s="1806">
        <f t="shared" si="14"/>
        <v>1</v>
      </c>
    </row>
    <row r="43" spans="1:29" ht="15">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640"/>
      <c r="Q43" s="1805" t="str">
        <f t="shared" si="8"/>
        <v>内部装修维护情况</v>
      </c>
      <c r="R43" s="767" t="s">
        <v>21</v>
      </c>
      <c r="S43" s="768">
        <f t="shared" si="9"/>
        <v>100</v>
      </c>
      <c r="T43" s="767" t="s">
        <v>21</v>
      </c>
      <c r="U43" s="768">
        <f t="shared" si="10"/>
        <v>100</v>
      </c>
      <c r="V43" s="767" t="s">
        <v>21</v>
      </c>
      <c r="W43" s="768">
        <f t="shared" si="11"/>
        <v>100</v>
      </c>
      <c r="X43" s="1808"/>
      <c r="Y43" s="3642"/>
      <c r="Z43" s="1809" t="str">
        <f t="shared" si="15"/>
        <v>内部装修维护情况</v>
      </c>
      <c r="AA43" s="1806">
        <f t="shared" si="12"/>
        <v>1</v>
      </c>
      <c r="AB43" s="1806">
        <f t="shared" si="13"/>
        <v>1</v>
      </c>
      <c r="AC43" s="1806">
        <f t="shared" si="14"/>
        <v>1</v>
      </c>
    </row>
    <row r="44" spans="1:29" s="116" customFormat="1" ht="15">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640"/>
      <c r="Q44" s="1790" t="str">
        <f t="shared" si="8"/>
        <v>设施设备情况</v>
      </c>
      <c r="R44" s="763" t="s">
        <v>21</v>
      </c>
      <c r="S44" s="764">
        <f t="shared" si="9"/>
        <v>100</v>
      </c>
      <c r="T44" s="763" t="s">
        <v>21</v>
      </c>
      <c r="U44" s="764">
        <f t="shared" si="10"/>
        <v>100</v>
      </c>
      <c r="V44" s="763" t="s">
        <v>21</v>
      </c>
      <c r="W44" s="764">
        <f t="shared" si="11"/>
        <v>100</v>
      </c>
      <c r="X44" s="765"/>
      <c r="Y44" s="3642"/>
      <c r="Z44" s="55" t="str">
        <f t="shared" si="15"/>
        <v>设施设备情况</v>
      </c>
      <c r="AA44" s="766">
        <f t="shared" si="12"/>
        <v>1</v>
      </c>
      <c r="AB44" s="766">
        <f t="shared" si="13"/>
        <v>1</v>
      </c>
      <c r="AC44" s="766">
        <f t="shared" si="14"/>
        <v>1</v>
      </c>
    </row>
    <row r="45" spans="1:29" ht="15">
      <c r="A45" s="465"/>
      <c r="B45" s="2954" t="s">
        <v>3134</v>
      </c>
      <c r="C45" s="3062">
        <v>0.3</v>
      </c>
      <c r="D45" s="430">
        <v>100</v>
      </c>
      <c r="E45" s="2957" t="s">
        <v>3135</v>
      </c>
      <c r="F45" s="456">
        <v>100</v>
      </c>
      <c r="G45" s="2957" t="s">
        <v>3135</v>
      </c>
      <c r="H45" s="430">
        <v>100</v>
      </c>
      <c r="I45" s="2957" t="s">
        <v>3135</v>
      </c>
      <c r="J45" s="430">
        <v>100</v>
      </c>
      <c r="K45" s="2599"/>
      <c r="L45" s="1136"/>
      <c r="M45" s="1127"/>
      <c r="N45" s="1127"/>
      <c r="O45" s="1127"/>
      <c r="P45" s="3640"/>
      <c r="Q45" s="1805" t="str">
        <f t="shared" si="8"/>
        <v>建筑密度</v>
      </c>
      <c r="R45" s="767" t="s">
        <v>21</v>
      </c>
      <c r="S45" s="768">
        <f t="shared" si="9"/>
        <v>100</v>
      </c>
      <c r="T45" s="767" t="s">
        <v>21</v>
      </c>
      <c r="U45" s="768">
        <f t="shared" si="10"/>
        <v>100</v>
      </c>
      <c r="V45" s="767" t="s">
        <v>21</v>
      </c>
      <c r="W45" s="768">
        <f t="shared" si="11"/>
        <v>100</v>
      </c>
      <c r="X45" s="1808"/>
      <c r="Y45" s="3642"/>
      <c r="Z45" s="1809" t="str">
        <f t="shared" si="15"/>
        <v>建筑密度</v>
      </c>
      <c r="AA45" s="1806">
        <f t="shared" si="12"/>
        <v>1</v>
      </c>
      <c r="AB45" s="1806">
        <f t="shared" si="13"/>
        <v>1</v>
      </c>
      <c r="AC45" s="1806">
        <f t="shared" si="14"/>
        <v>1</v>
      </c>
    </row>
    <row r="46" spans="1:29" ht="15.75"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641"/>
      <c r="Q46" s="1805">
        <f t="shared" si="8"/>
        <v>111</v>
      </c>
      <c r="R46" s="767" t="s">
        <v>20</v>
      </c>
      <c r="S46" s="768">
        <f t="shared" si="9"/>
        <v>100</v>
      </c>
      <c r="T46" s="767" t="s">
        <v>20</v>
      </c>
      <c r="U46" s="768">
        <f t="shared" si="10"/>
        <v>100</v>
      </c>
      <c r="V46" s="767" t="s">
        <v>20</v>
      </c>
      <c r="W46" s="768">
        <f t="shared" si="11"/>
        <v>100</v>
      </c>
      <c r="X46" s="1808"/>
      <c r="Y46" s="3643"/>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635" t="str">
        <f>A47</f>
        <v>成交单价（元/平方米）</v>
      </c>
      <c r="Q47" s="3635"/>
      <c r="R47" s="3636">
        <f>E47</f>
        <v>29000</v>
      </c>
      <c r="S47" s="3636"/>
      <c r="T47" s="3636">
        <f>G47</f>
        <v>29000</v>
      </c>
      <c r="U47" s="3636"/>
      <c r="V47" s="3636">
        <f>I47</f>
        <v>29000</v>
      </c>
      <c r="W47" s="3636"/>
      <c r="X47" s="752"/>
      <c r="Y47" s="774"/>
      <c r="Z47" s="752"/>
      <c r="AA47" s="752"/>
      <c r="AB47" s="752"/>
      <c r="AC47" s="752"/>
    </row>
    <row r="48" spans="1:29" ht="15.75" thickBot="1">
      <c r="A48" s="479" t="s">
        <v>2580</v>
      </c>
      <c r="B48" s="480"/>
      <c r="C48" s="1408">
        <f>R49</f>
        <v>28621</v>
      </c>
      <c r="D48" s="1409"/>
      <c r="E48" s="1410">
        <f>R48</f>
        <v>28428</v>
      </c>
      <c r="F48" s="1410"/>
      <c r="G48" s="1408">
        <f>T48</f>
        <v>28428</v>
      </c>
      <c r="H48" s="1409"/>
      <c r="I48" s="1410">
        <f>V48</f>
        <v>29008</v>
      </c>
      <c r="J48" s="1409"/>
      <c r="K48" s="2620"/>
      <c r="L48" s="1139"/>
      <c r="M48" s="1140"/>
      <c r="N48" s="1140"/>
      <c r="O48" s="1140"/>
      <c r="P48" s="3635" t="str">
        <f>A48</f>
        <v>比较价值（元/平方米）</v>
      </c>
      <c r="Q48" s="3635"/>
      <c r="R48" s="3636">
        <f>IF(F1="售价",ROUND(PRODUCT(R47,AA7:AA46),0),ROUND(PRODUCT(R47,AA7:AA46),1))</f>
        <v>28428</v>
      </c>
      <c r="S48" s="3636"/>
      <c r="T48" s="3636">
        <f>IF(F1="售价",ROUND(PRODUCT(T47,AB7:AB46),0),ROUND(PRODUCT(T47,AB7:AB46),1))</f>
        <v>28428</v>
      </c>
      <c r="U48" s="3636"/>
      <c r="V48" s="3636">
        <f>IF(F1="售价",ROUND(PRODUCT(V47,AC7:AC46),0),ROUND(PRODUCT(V47,AC7:AC46),1))</f>
        <v>29008</v>
      </c>
      <c r="W48" s="3636"/>
      <c r="X48" s="752"/>
      <c r="Y48" s="752"/>
      <c r="Z48" s="752"/>
      <c r="AA48" s="752"/>
      <c r="AB48" s="752"/>
      <c r="AC48" s="752"/>
    </row>
    <row r="49" spans="1:29" ht="15.75" thickBot="1">
      <c r="A49" s="485" t="s">
        <v>2581</v>
      </c>
      <c r="B49" s="486"/>
      <c r="C49" s="1411">
        <f>R49</f>
        <v>28621</v>
      </c>
      <c r="D49" s="1412"/>
      <c r="E49" s="1412"/>
      <c r="F49" s="1412"/>
      <c r="G49" s="1412"/>
      <c r="H49" s="1412"/>
      <c r="I49" s="1412"/>
      <c r="J49" s="1412"/>
      <c r="K49" s="2621"/>
      <c r="L49" s="1139"/>
      <c r="M49" s="1140"/>
      <c r="N49" s="1140"/>
      <c r="O49" s="1140"/>
      <c r="P49" s="3632" t="str">
        <f>A49</f>
        <v>估价对象XX用房的比较价值（楼面单价，元/平方米）</v>
      </c>
      <c r="Q49" s="3633"/>
      <c r="R49" s="3634">
        <f>IF(F1="售价",ROUND(AVERAGE(R48:V48),0),ROUND(AVERAGE(R48:V48),1))</f>
        <v>28621</v>
      </c>
      <c r="S49" s="3634"/>
      <c r="T49" s="3634"/>
      <c r="U49" s="3634"/>
      <c r="V49" s="3634"/>
      <c r="W49" s="3634"/>
      <c r="X49" s="752"/>
      <c r="Y49" s="752"/>
      <c r="Z49" s="752"/>
      <c r="AA49" s="752"/>
      <c r="AB49" s="752"/>
      <c r="AC49" s="752"/>
    </row>
    <row r="50" spans="1:29">
      <c r="A50" s="1140"/>
      <c r="B50" s="1140"/>
      <c r="C50" s="1140"/>
      <c r="D50" s="1140"/>
      <c r="E50" s="1140">
        <f>E48/E47</f>
        <v>0.98027586206896555</v>
      </c>
      <c r="F50" s="1140"/>
      <c r="G50" s="1140">
        <f>G48/G47</f>
        <v>0.98027586206896555</v>
      </c>
      <c r="H50" s="1140"/>
      <c r="I50" s="1140">
        <f>I48/I47</f>
        <v>1.0002758620689656</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2.012100745743628E-2</v>
      </c>
      <c r="F52" s="493" t="str">
        <f>IF(OR(E52&gt;=0.3,E52&lt;=-0.3),"超过30%","")</f>
        <v/>
      </c>
      <c r="G52" s="492">
        <f>IF(G47&lt;G48,G48/G47-1,G47/G48-1)</f>
        <v>2.012100745743628E-2</v>
      </c>
      <c r="H52" s="493" t="str">
        <f>IF(OR(G52&gt;=0.3,G52&lt;=-0.3),"超过30%","")</f>
        <v/>
      </c>
      <c r="I52" s="492">
        <f>IF(I47&lt;I48,I48/I47-1,I47/I48-1)</f>
        <v>2.7586206896557108E-4</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2.0402420149148837E-2</v>
      </c>
      <c r="H53" s="493" t="str">
        <f>IF(OR(G53&gt;=0.2,G53&lt;=-0.2),"超过20%","")</f>
        <v/>
      </c>
      <c r="I53" s="492">
        <f>IF(I48&lt;E48,E48/I48-1,I48/E48-1)</f>
        <v>2.0402420149148837E-2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99.5</v>
      </c>
      <c r="E77" s="537">
        <f>D77-$K15</f>
        <v>99</v>
      </c>
      <c r="F77" s="537">
        <f>E77-$K15</f>
        <v>98.5</v>
      </c>
      <c r="G77" s="537">
        <f>F77-$K15</f>
        <v>98</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99.5</v>
      </c>
      <c r="E79" s="537">
        <f>D79-$K17</f>
        <v>99</v>
      </c>
      <c r="F79" s="537">
        <f>E79-$K17</f>
        <v>98.5</v>
      </c>
      <c r="G79" s="537">
        <f>F79-$K17</f>
        <v>98</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99.5</v>
      </c>
      <c r="E81" s="537">
        <f>D81-$K19</f>
        <v>99</v>
      </c>
      <c r="F81" s="537">
        <f>E81-$K19</f>
        <v>98.5</v>
      </c>
      <c r="G81" s="537">
        <f>F81-$K19</f>
        <v>98</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100.5</v>
      </c>
      <c r="E93" s="529">
        <v>101</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28.5" thickTop="1">
      <c r="A120" s="586"/>
      <c r="B120" s="531" t="s">
        <v>2576</v>
      </c>
      <c r="C120" s="547"/>
      <c r="D120" s="547"/>
      <c r="E120" s="547"/>
      <c r="F120" s="547"/>
      <c r="G120" s="547"/>
      <c r="H120" s="547"/>
      <c r="I120" s="547"/>
      <c r="J120" s="547"/>
      <c r="K120" s="547"/>
      <c r="L120" s="573"/>
      <c r="M120" s="574"/>
      <c r="N120" s="1150"/>
      <c r="O120" s="1150"/>
      <c r="P120" s="2629"/>
      <c r="Q120" s="552"/>
    </row>
    <row r="121" spans="1:17" s="464" customFormat="1" ht="15.75" thickBot="1">
      <c r="A121" s="546"/>
      <c r="B121" s="528"/>
      <c r="C121" s="553"/>
      <c r="D121" s="529"/>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646" t="s">
        <v>2412</v>
      </c>
    </row>
    <row r="43" spans="1:7" ht="13.5" customHeight="1">
      <c r="A43" s="947" t="s">
        <v>792</v>
      </c>
      <c r="B43" s="254" t="s">
        <v>2413</v>
      </c>
      <c r="C43" s="277" t="e">
        <f ca="1">ROUND(IF('数据-取费表'!B22&lt;=1,C39*F22*'数据-取费表'!B21/2,C39*(POWER((1+F22),'数据-取费表'!B21/2)-1)),0)</f>
        <v>#N/A</v>
      </c>
      <c r="D43" s="277"/>
      <c r="E43" s="277"/>
      <c r="F43" s="278"/>
      <c r="G43" s="3647"/>
    </row>
    <row r="44" spans="1:7" ht="13.5" customHeight="1">
      <c r="A44" s="947" t="s">
        <v>793</v>
      </c>
      <c r="B44" s="254" t="s">
        <v>2414</v>
      </c>
      <c r="C44" s="277">
        <f ca="1">ROUND(IF('数据-取费表'!B22&lt;=1,C40*F22*'数据-取费表'!B21/2,C40*(POWER((1+F22),'数据-取费表'!B21/2)-1)),4)</f>
        <v>1.4E-3</v>
      </c>
      <c r="D44" s="277"/>
      <c r="E44" s="277"/>
      <c r="F44" s="278"/>
      <c r="G44" s="3648"/>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zoomScale="90" zoomScaleNormal="90" workbookViewId="0">
      <selection activeCell="K13" sqref="K13"/>
    </sheetView>
  </sheetViews>
  <sheetFormatPr defaultRowHeight="13.5"/>
  <sheetData>
    <row r="1" spans="12:12">
      <c r="L1" s="3063" t="s">
        <v>3647</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tabSelected="1" topLeftCell="A10" workbookViewId="0">
      <selection activeCell="G31" sqref="G3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14699</v>
      </c>
      <c r="D5" s="250" t="s">
        <v>2337</v>
      </c>
      <c r="E5" s="251" t="s">
        <v>2338</v>
      </c>
      <c r="F5" s="251" t="s">
        <v>2339</v>
      </c>
      <c r="G5" s="252"/>
    </row>
    <row r="6" spans="1:8" s="253" customFormat="1" ht="13.5" customHeight="1">
      <c r="A6" s="945" t="s">
        <v>2340</v>
      </c>
      <c r="B6" s="254" t="s">
        <v>2341</v>
      </c>
      <c r="C6" s="255">
        <f>土地比较法!C48</f>
        <v>14699</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444</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1460</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1430</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2285</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2285</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1335</v>
      </c>
      <c r="E30" s="280"/>
      <c r="F30" s="276">
        <f>'数据-取费表'!B41</f>
        <v>5.5000000000000007E-2</v>
      </c>
      <c r="G30" s="273" t="s">
        <v>2388</v>
      </c>
    </row>
    <row r="31" spans="1:7" ht="16.5" customHeight="1">
      <c r="A31" s="248">
        <v>1</v>
      </c>
      <c r="B31" s="249" t="s">
        <v>2389</v>
      </c>
      <c r="C31" s="3017">
        <f ca="1">ROUND((C5+C19+C20+C22+C27-D30)/(1-C21-D22-D27-C30),0)</f>
        <v>20162</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646" t="s">
        <v>2459</v>
      </c>
    </row>
    <row r="43" spans="1:7" ht="13.5" customHeight="1">
      <c r="A43" s="947" t="s">
        <v>792</v>
      </c>
      <c r="B43" s="254" t="s">
        <v>2413</v>
      </c>
      <c r="C43" s="277">
        <f ca="1">ROUND(IF('数据-取费表'!B22&lt;=1,C39*F22*'数据-取费表'!B20/2,C39*(POWER((1+F22),'数据-取费表'!B20/2)-1)),0)</f>
        <v>9</v>
      </c>
      <c r="D43" s="277"/>
      <c r="E43" s="277"/>
      <c r="F43" s="278"/>
      <c r="G43" s="3647"/>
    </row>
    <row r="44" spans="1:7" ht="13.5" customHeight="1">
      <c r="A44" s="947" t="s">
        <v>793</v>
      </c>
      <c r="B44" s="254" t="s">
        <v>2414</v>
      </c>
      <c r="C44" s="277">
        <f ca="1">ROUND(IF('数据-取费表'!B22&lt;=1,C40*F22*'数据-取费表'!B20/2,C40*(POWER((1+F22),'数据-取费表'!B20/2)-1)),4)</f>
        <v>1.4E-3</v>
      </c>
      <c r="D44" s="277"/>
      <c r="E44" s="277"/>
      <c r="F44" s="278"/>
      <c r="G44" s="3648"/>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28502</v>
      </c>
      <c r="D52" s="305"/>
      <c r="E52" s="305"/>
      <c r="F52" s="305"/>
      <c r="G52" s="307"/>
    </row>
    <row r="55" spans="1:7" ht="15">
      <c r="B55" s="309" t="s">
        <v>2430</v>
      </c>
      <c r="C55" s="310"/>
    </row>
    <row r="56" spans="1:7">
      <c r="B56" s="312" t="s">
        <v>1513</v>
      </c>
      <c r="C56" s="314">
        <f ca="1">1-C57</f>
        <v>0.70700000000000007</v>
      </c>
    </row>
    <row r="57" spans="1:7">
      <c r="B57" s="312" t="s">
        <v>1514</v>
      </c>
      <c r="C57" s="313">
        <f ca="1">ROUND(C51/C52,3)</f>
        <v>0.29299999999999998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651" t="s">
        <v>1403</v>
      </c>
      <c r="C6" s="1292">
        <f ca="1">ROUND(F6*F8*F7*(1-F9)/10000,0)</f>
        <v>0</v>
      </c>
      <c r="D6" s="159" t="s">
        <v>3033</v>
      </c>
      <c r="E6" s="342" t="s">
        <v>1405</v>
      </c>
      <c r="F6" s="343">
        <f ca="1">INDIRECT("'数据-取费表'!u"&amp;$G$1)</f>
        <v>0</v>
      </c>
      <c r="G6" s="1846"/>
      <c r="H6" s="1287" t="s">
        <v>1035</v>
      </c>
      <c r="I6" s="3651" t="s">
        <v>1403</v>
      </c>
      <c r="J6" s="341">
        <f ca="1">ROUND(M6*M8*M7*(1-M9)/10000,0)</f>
        <v>0</v>
      </c>
      <c r="K6" s="159" t="s">
        <v>3032</v>
      </c>
      <c r="L6" s="342" t="s">
        <v>1405</v>
      </c>
      <c r="M6" s="343">
        <f ca="1">INDIRECT("'数据-取费表'!z"&amp;$G$1)</f>
        <v>0</v>
      </c>
    </row>
    <row r="7" spans="1:37" ht="18" customHeight="1">
      <c r="A7" s="1291"/>
      <c r="B7" s="3652"/>
      <c r="C7" s="1293"/>
      <c r="D7" s="347"/>
      <c r="E7" s="1294" t="s">
        <v>1406</v>
      </c>
      <c r="F7" s="343">
        <f ca="1">IF(INDIRECT("'数据-取费表'!ah"&amp;$G$1)="",INDIRECT("'数据-取费表'!k"&amp;$G$1),INDIRECT("'数据-取费表'!ah"&amp;$G$1))</f>
        <v>0</v>
      </c>
      <c r="G7" s="1846"/>
      <c r="H7" s="344"/>
      <c r="I7" s="3652"/>
      <c r="J7" s="346"/>
      <c r="K7" s="347"/>
      <c r="L7" s="342" t="s">
        <v>1406</v>
      </c>
      <c r="M7" s="343">
        <f ca="1">F7</f>
        <v>0</v>
      </c>
    </row>
    <row r="8" spans="1:37" ht="18" customHeight="1">
      <c r="A8" s="344"/>
      <c r="B8" s="3652"/>
      <c r="C8" s="346"/>
      <c r="D8" s="347"/>
      <c r="E8" s="342" t="s">
        <v>1407</v>
      </c>
      <c r="F8" s="343">
        <f ca="1">INDIRECT("'数据-取费表'!ai"&amp;$G$1)</f>
        <v>0</v>
      </c>
      <c r="G8" s="1846"/>
      <c r="H8" s="344"/>
      <c r="I8" s="3652"/>
      <c r="J8" s="346"/>
      <c r="K8" s="347"/>
      <c r="L8" s="342" t="s">
        <v>1407</v>
      </c>
      <c r="M8" s="343">
        <f ca="1">INDIRECT("'数据-取费表'!ai"&amp;$G$1)</f>
        <v>0</v>
      </c>
    </row>
    <row r="9" spans="1:37" ht="18" customHeight="1">
      <c r="A9" s="344"/>
      <c r="B9" s="3653"/>
      <c r="C9" s="346"/>
      <c r="D9" s="347"/>
      <c r="E9" s="342" t="s">
        <v>1408</v>
      </c>
      <c r="F9" s="352">
        <f ca="1">INDIRECT("'数据-取费表'!w"&amp;$G$1)</f>
        <v>0</v>
      </c>
      <c r="G9" s="1846"/>
      <c r="H9" s="344"/>
      <c r="I9" s="3653"/>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49" t="s">
        <v>1548</v>
      </c>
      <c r="L53" s="3650"/>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651" t="s">
        <v>1403</v>
      </c>
      <c r="C6" s="1292">
        <f ca="1">ROUND(F6*F8*F7*(1-F9),0)</f>
        <v>0</v>
      </c>
      <c r="D6" s="159" t="s">
        <v>3030</v>
      </c>
      <c r="E6" s="342" t="s">
        <v>1405</v>
      </c>
      <c r="F6" s="343">
        <f ca="1">INDIRECT("'数据-取费表'!u"&amp;$G$1)</f>
        <v>0</v>
      </c>
      <c r="G6" s="1846"/>
      <c r="H6" s="1287" t="s">
        <v>1035</v>
      </c>
      <c r="I6" s="3651" t="s">
        <v>1403</v>
      </c>
      <c r="J6" s="341">
        <f ca="1">ROUND(M6*M8*M7*(1-M9),0)</f>
        <v>0</v>
      </c>
      <c r="K6" s="1829" t="s">
        <v>3031</v>
      </c>
      <c r="L6" s="342" t="s">
        <v>1405</v>
      </c>
      <c r="M6" s="343">
        <f ca="1">INDIRECT("'数据-取费表'!z"&amp;$G$1)</f>
        <v>0</v>
      </c>
    </row>
    <row r="7" spans="1:37" ht="18" customHeight="1">
      <c r="A7" s="1291"/>
      <c r="B7" s="3652"/>
      <c r="C7" s="1293"/>
      <c r="D7" s="347"/>
      <c r="E7" s="1294" t="s">
        <v>1406</v>
      </c>
      <c r="F7" s="343">
        <f ca="1">IF(INDIRECT("'数据-取费表'!ah"&amp;$G$1)="",INDIRECT("'数据-取费表'!k"&amp;$G$1),INDIRECT("'数据-取费表'!ah"&amp;$G$1))</f>
        <v>0</v>
      </c>
      <c r="G7" s="1846"/>
      <c r="H7" s="344"/>
      <c r="I7" s="3652"/>
      <c r="J7" s="346"/>
      <c r="K7" s="347"/>
      <c r="L7" s="342" t="s">
        <v>1406</v>
      </c>
      <c r="M7" s="343">
        <f ca="1">F7</f>
        <v>0</v>
      </c>
    </row>
    <row r="8" spans="1:37" ht="18" customHeight="1">
      <c r="A8" s="344"/>
      <c r="B8" s="3652"/>
      <c r="C8" s="346"/>
      <c r="D8" s="347"/>
      <c r="E8" s="342" t="s">
        <v>1407</v>
      </c>
      <c r="F8" s="343">
        <f ca="1">INDIRECT("'数据-取费表'!ai"&amp;$G$1)</f>
        <v>0</v>
      </c>
      <c r="G8" s="1846"/>
      <c r="H8" s="344"/>
      <c r="I8" s="3652"/>
      <c r="J8" s="346"/>
      <c r="K8" s="347"/>
      <c r="L8" s="342" t="s">
        <v>1407</v>
      </c>
      <c r="M8" s="343">
        <f ca="1">INDIRECT("'数据-取费表'!ai"&amp;$G$1)</f>
        <v>0</v>
      </c>
    </row>
    <row r="9" spans="1:37" ht="18" customHeight="1">
      <c r="A9" s="344"/>
      <c r="B9" s="3653"/>
      <c r="C9" s="346"/>
      <c r="D9" s="347"/>
      <c r="E9" s="342" t="s">
        <v>1408</v>
      </c>
      <c r="F9" s="352">
        <f ca="1">INDIRECT("'数据-取费表'!w"&amp;$G$1)</f>
        <v>0</v>
      </c>
      <c r="G9" s="1846"/>
      <c r="H9" s="344"/>
      <c r="I9" s="3653"/>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49" t="s">
        <v>1548</v>
      </c>
      <c r="L53" s="3650"/>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654" t="s">
        <v>2525</v>
      </c>
      <c r="C5" s="3654"/>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655" t="s">
        <v>1076</v>
      </c>
      <c r="B1" s="3656"/>
      <c r="C1" s="3657"/>
      <c r="D1" s="3658">
        <f>SUM(I10,I15,I20,I21,I23)</f>
        <v>0</v>
      </c>
      <c r="E1" s="3658"/>
      <c r="F1" s="3658"/>
      <c r="G1" s="3658"/>
      <c r="H1" s="3658"/>
      <c r="I1" s="3659"/>
    </row>
    <row r="2" spans="1:9">
      <c r="A2" s="3660" t="s">
        <v>1077</v>
      </c>
      <c r="B2" s="3661" t="s">
        <v>1078</v>
      </c>
      <c r="C2" s="3661"/>
      <c r="D2" s="1297" t="s">
        <v>1079</v>
      </c>
      <c r="E2" s="1297" t="s">
        <v>1080</v>
      </c>
      <c r="F2" s="1297" t="s">
        <v>1081</v>
      </c>
      <c r="G2" s="1297" t="s">
        <v>1082</v>
      </c>
      <c r="H2" s="1297" t="s">
        <v>1083</v>
      </c>
      <c r="I2" s="1298" t="s">
        <v>1084</v>
      </c>
    </row>
    <row r="3" spans="1:9">
      <c r="A3" s="3660"/>
      <c r="B3" s="3661" t="s">
        <v>1085</v>
      </c>
      <c r="C3" s="3661"/>
      <c r="D3" s="1299"/>
      <c r="E3" s="1297"/>
      <c r="F3" s="1300"/>
      <c r="G3" s="1300"/>
      <c r="H3" s="1301"/>
      <c r="I3" s="1302">
        <f>ROUND(D3*E3*F3*G3*H3/10000,0)</f>
        <v>0</v>
      </c>
    </row>
    <row r="4" spans="1:9">
      <c r="A4" s="3660"/>
      <c r="B4" s="3661" t="s">
        <v>1086</v>
      </c>
      <c r="C4" s="3661"/>
      <c r="D4" s="1299"/>
      <c r="E4" s="1297"/>
      <c r="F4" s="1300"/>
      <c r="G4" s="1300"/>
      <c r="H4" s="1301"/>
      <c r="I4" s="1302">
        <f t="shared" ref="I4:I9" si="0">ROUND(D4*E4*F4*G4*H4/10000,0)</f>
        <v>0</v>
      </c>
    </row>
    <row r="5" spans="1:9">
      <c r="A5" s="3660"/>
      <c r="B5" s="3661" t="s">
        <v>1087</v>
      </c>
      <c r="C5" s="3661"/>
      <c r="D5" s="1299"/>
      <c r="E5" s="1297"/>
      <c r="F5" s="1300"/>
      <c r="G5" s="1300"/>
      <c r="H5" s="1301"/>
      <c r="I5" s="1302">
        <f t="shared" si="0"/>
        <v>0</v>
      </c>
    </row>
    <row r="6" spans="1:9">
      <c r="A6" s="3660"/>
      <c r="B6" s="3661" t="s">
        <v>1088</v>
      </c>
      <c r="C6" s="3661"/>
      <c r="D6" s="1299"/>
      <c r="E6" s="1297"/>
      <c r="F6" s="1300"/>
      <c r="G6" s="1300"/>
      <c r="H6" s="1301"/>
      <c r="I6" s="1302">
        <f t="shared" si="0"/>
        <v>0</v>
      </c>
    </row>
    <row r="7" spans="1:9">
      <c r="A7" s="3660"/>
      <c r="B7" s="3661" t="s">
        <v>1089</v>
      </c>
      <c r="C7" s="3661"/>
      <c r="D7" s="1299"/>
      <c r="E7" s="1297"/>
      <c r="F7" s="1300"/>
      <c r="G7" s="1300"/>
      <c r="H7" s="1301"/>
      <c r="I7" s="1302">
        <f t="shared" si="0"/>
        <v>0</v>
      </c>
    </row>
    <row r="8" spans="1:9">
      <c r="A8" s="3660"/>
      <c r="B8" s="3661" t="s">
        <v>1090</v>
      </c>
      <c r="C8" s="3661"/>
      <c r="D8" s="1299"/>
      <c r="E8" s="1297"/>
      <c r="F8" s="1300"/>
      <c r="G8" s="1300"/>
      <c r="H8" s="1301"/>
      <c r="I8" s="1302">
        <f t="shared" si="0"/>
        <v>0</v>
      </c>
    </row>
    <row r="9" spans="1:9">
      <c r="A9" s="3660"/>
      <c r="B9" s="3661" t="s">
        <v>1091</v>
      </c>
      <c r="C9" s="3661"/>
      <c r="D9" s="1299"/>
      <c r="E9" s="1297"/>
      <c r="F9" s="1300"/>
      <c r="G9" s="1300"/>
      <c r="H9" s="1301"/>
      <c r="I9" s="1302">
        <f t="shared" si="0"/>
        <v>0</v>
      </c>
    </row>
    <row r="10" spans="1:9">
      <c r="A10" s="3660"/>
      <c r="B10" s="3662" t="s">
        <v>1092</v>
      </c>
      <c r="C10" s="3662"/>
      <c r="D10" s="1303"/>
      <c r="E10" s="1303" t="e">
        <f>ROUND(D1*10000/D10/H9,0)</f>
        <v>#DIV/0!</v>
      </c>
      <c r="F10" s="1304"/>
      <c r="G10" s="1304"/>
      <c r="H10" s="1305"/>
      <c r="I10" s="1306">
        <f>SUM(I3:I9)</f>
        <v>0</v>
      </c>
    </row>
    <row r="11" spans="1:9" ht="14.25">
      <c r="A11" s="3660" t="s">
        <v>1093</v>
      </c>
      <c r="B11" s="3661" t="s">
        <v>1094</v>
      </c>
      <c r="C11" s="3661"/>
      <c r="D11" s="1299" t="s">
        <v>1095</v>
      </c>
      <c r="E11" s="1299" t="s">
        <v>1096</v>
      </c>
      <c r="F11" s="1300" t="s">
        <v>1097</v>
      </c>
      <c r="G11" s="1300" t="s">
        <v>1083</v>
      </c>
      <c r="H11" s="1307" t="s">
        <v>1098</v>
      </c>
      <c r="I11" s="1298" t="s">
        <v>1084</v>
      </c>
    </row>
    <row r="12" spans="1:9">
      <c r="A12" s="3660"/>
      <c r="B12" s="3661" t="s">
        <v>1099</v>
      </c>
      <c r="C12" s="3661"/>
      <c r="D12" s="1299"/>
      <c r="E12" s="1299"/>
      <c r="F12" s="1300"/>
      <c r="G12" s="1301"/>
      <c r="H12" s="1308"/>
      <c r="I12" s="1298">
        <f>ROUND(D12*E12*F12*G12/10000,0)</f>
        <v>0</v>
      </c>
    </row>
    <row r="13" spans="1:9">
      <c r="A13" s="3660"/>
      <c r="B13" s="3661" t="s">
        <v>1100</v>
      </c>
      <c r="C13" s="3661"/>
      <c r="D13" s="1299"/>
      <c r="E13" s="1299"/>
      <c r="F13" s="1300"/>
      <c r="G13" s="1301"/>
      <c r="H13" s="1308"/>
      <c r="I13" s="1298">
        <f>ROUND(D13*E13*F13*G13/10000,0)</f>
        <v>0</v>
      </c>
    </row>
    <row r="14" spans="1:9">
      <c r="A14" s="3660"/>
      <c r="B14" s="3661" t="s">
        <v>1101</v>
      </c>
      <c r="C14" s="3661"/>
      <c r="D14" s="1299"/>
      <c r="E14" s="1299"/>
      <c r="F14" s="1300"/>
      <c r="G14" s="1301"/>
      <c r="H14" s="1308"/>
      <c r="I14" s="1298">
        <f>ROUND(D14*E14*F14*G14/10000,0)</f>
        <v>0</v>
      </c>
    </row>
    <row r="15" spans="1:9">
      <c r="A15" s="3660"/>
      <c r="B15" s="3662" t="s">
        <v>1092</v>
      </c>
      <c r="C15" s="3662"/>
      <c r="D15" s="1303"/>
      <c r="E15" s="1303">
        <f>SUM(E12:E14)</f>
        <v>0</v>
      </c>
      <c r="F15" s="1304"/>
      <c r="G15" s="1301"/>
      <c r="H15" s="1308"/>
      <c r="I15" s="1309">
        <f>SUM(I12:I14)</f>
        <v>0</v>
      </c>
    </row>
    <row r="16" spans="1:9" ht="24">
      <c r="A16" s="3660" t="s">
        <v>1102</v>
      </c>
      <c r="B16" s="3661" t="s">
        <v>1103</v>
      </c>
      <c r="C16" s="3661"/>
      <c r="D16" s="1299" t="s">
        <v>1079</v>
      </c>
      <c r="E16" s="1310" t="s">
        <v>1104</v>
      </c>
      <c r="F16" s="1300" t="s">
        <v>1105</v>
      </c>
      <c r="G16" s="1301" t="s">
        <v>1083</v>
      </c>
      <c r="H16" s="1307" t="s">
        <v>1098</v>
      </c>
      <c r="I16" s="1298" t="s">
        <v>1084</v>
      </c>
    </row>
    <row r="17" spans="1:9" ht="14.25">
      <c r="A17" s="3660"/>
      <c r="B17" s="3661" t="s">
        <v>1106</v>
      </c>
      <c r="C17" s="3661"/>
      <c r="D17" s="1299"/>
      <c r="E17" s="1299"/>
      <c r="F17" s="1300"/>
      <c r="G17" s="1301"/>
      <c r="H17" s="1311"/>
      <c r="I17" s="1312">
        <f>ROUND(D17*E17*F17*G17/10000,0)</f>
        <v>0</v>
      </c>
    </row>
    <row r="18" spans="1:9" ht="14.25">
      <c r="A18" s="3660"/>
      <c r="B18" s="3661" t="s">
        <v>1107</v>
      </c>
      <c r="C18" s="3661"/>
      <c r="D18" s="1299"/>
      <c r="E18" s="1299"/>
      <c r="F18" s="1300"/>
      <c r="G18" s="1301"/>
      <c r="H18" s="1311"/>
      <c r="I18" s="1312">
        <f>ROUND(D18*E18*F18*G18/10000,0)</f>
        <v>0</v>
      </c>
    </row>
    <row r="19" spans="1:9" ht="14.25">
      <c r="A19" s="3660"/>
      <c r="B19" s="3661" t="s">
        <v>1108</v>
      </c>
      <c r="C19" s="3661"/>
      <c r="D19" s="1299"/>
      <c r="E19" s="1299"/>
      <c r="F19" s="1300"/>
      <c r="G19" s="1301"/>
      <c r="H19" s="1311"/>
      <c r="I19" s="1312">
        <f>ROUND(D19*E19*F19*G19/10000,0)</f>
        <v>0</v>
      </c>
    </row>
    <row r="20" spans="1:9">
      <c r="A20" s="3660"/>
      <c r="B20" s="3662" t="s">
        <v>1092</v>
      </c>
      <c r="C20" s="3662"/>
      <c r="D20" s="1303">
        <f>SUM(D17:D19)</f>
        <v>0</v>
      </c>
      <c r="E20" s="1303"/>
      <c r="F20" s="1304"/>
      <c r="G20" s="1301"/>
      <c r="H20" s="1308"/>
      <c r="I20" s="1309">
        <f>SUM(I17:I19)</f>
        <v>0</v>
      </c>
    </row>
    <row r="21" spans="1:9">
      <c r="A21" s="3660" t="s">
        <v>1109</v>
      </c>
      <c r="B21" s="3664"/>
      <c r="C21" s="3664"/>
      <c r="D21" s="3664"/>
      <c r="E21" s="3664"/>
      <c r="F21" s="3664"/>
      <c r="G21" s="3664"/>
      <c r="H21" s="1760">
        <v>0.1</v>
      </c>
      <c r="I21" s="1306">
        <f>ROUND(I10*H21,0)</f>
        <v>0</v>
      </c>
    </row>
    <row r="22" spans="1:9" ht="14.25">
      <c r="A22" s="3665" t="s">
        <v>1110</v>
      </c>
      <c r="B22" s="3666"/>
      <c r="C22" s="3667"/>
      <c r="D22" s="1313" t="s">
        <v>1111</v>
      </c>
      <c r="E22" s="1313" t="s">
        <v>1112</v>
      </c>
      <c r="F22" s="1314" t="s">
        <v>1113</v>
      </c>
      <c r="G22" s="1314" t="s">
        <v>1114</v>
      </c>
      <c r="H22" s="1307" t="s">
        <v>1115</v>
      </c>
      <c r="I22" s="1298" t="s">
        <v>1116</v>
      </c>
    </row>
    <row r="23" spans="1:9" ht="14.25" thickBot="1">
      <c r="A23" s="3668"/>
      <c r="B23" s="3669"/>
      <c r="C23" s="3670"/>
      <c r="D23" s="1315"/>
      <c r="E23" s="1315"/>
      <c r="F23" s="1315"/>
      <c r="G23" s="1316"/>
      <c r="H23" s="1317"/>
      <c r="I23" s="1318">
        <f>ROUND(E23*D23*F23*(1-G23)/10000,0)</f>
        <v>0</v>
      </c>
    </row>
    <row r="26" spans="1:9">
      <c r="A26" s="1319" t="s">
        <v>1117</v>
      </c>
      <c r="B26" s="1319"/>
      <c r="C26" s="1319"/>
      <c r="D26" s="1319"/>
      <c r="E26" s="3671">
        <f>C27-C30-C31-C32</f>
        <v>0</v>
      </c>
      <c r="F26" s="3671"/>
      <c r="G26" s="3671"/>
      <c r="H26" s="1732" t="s">
        <v>1340</v>
      </c>
    </row>
    <row r="27" spans="1:9">
      <c r="A27" s="1320">
        <v>1</v>
      </c>
      <c r="B27" s="1321" t="s">
        <v>1118</v>
      </c>
      <c r="C27" s="1321">
        <f>C28+C29</f>
        <v>0</v>
      </c>
      <c r="D27" s="1321"/>
      <c r="E27" s="3672"/>
      <c r="F27" s="3672"/>
      <c r="G27" s="3672"/>
    </row>
    <row r="28" spans="1:9">
      <c r="A28" s="1322" t="s">
        <v>1119</v>
      </c>
      <c r="B28" s="1321" t="s">
        <v>1120</v>
      </c>
      <c r="C28" s="1321"/>
      <c r="D28" s="1321"/>
      <c r="E28" s="3672"/>
      <c r="F28" s="3672"/>
      <c r="G28" s="367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663"/>
      <c r="F32" s="3663"/>
      <c r="G32" s="3663"/>
    </row>
    <row r="33" spans="1:7" hidden="1">
      <c r="A33" s="3673" t="s">
        <v>1129</v>
      </c>
      <c r="B33" s="3674"/>
      <c r="C33" s="3674"/>
      <c r="D33" s="3675"/>
      <c r="E33" s="3671"/>
      <c r="F33" s="3671"/>
      <c r="G33" s="3671"/>
    </row>
    <row r="34" spans="1:7" hidden="1">
      <c r="A34" s="1324">
        <v>1</v>
      </c>
      <c r="B34" s="1321" t="s">
        <v>1130</v>
      </c>
      <c r="C34" s="1321"/>
      <c r="D34" s="1321"/>
      <c r="E34" s="3672"/>
      <c r="F34" s="3672"/>
      <c r="G34" s="3672"/>
    </row>
    <row r="35" spans="1:7" hidden="1">
      <c r="A35" s="1324">
        <v>2</v>
      </c>
      <c r="B35" s="1321" t="s">
        <v>1131</v>
      </c>
      <c r="C35" s="1321"/>
      <c r="D35" s="1321"/>
      <c r="E35" s="3672"/>
      <c r="F35" s="3672"/>
      <c r="G35" s="3672"/>
    </row>
    <row r="36" spans="1:7" hidden="1">
      <c r="A36" s="1324">
        <v>3</v>
      </c>
      <c r="B36" s="1321" t="s">
        <v>1132</v>
      </c>
      <c r="C36" s="1321"/>
      <c r="D36" s="1321"/>
      <c r="E36" s="3672"/>
      <c r="F36" s="3672"/>
      <c r="G36" s="3672"/>
    </row>
    <row r="37" spans="1:7" hidden="1">
      <c r="A37" s="1324">
        <v>4</v>
      </c>
      <c r="B37" s="1321" t="s">
        <v>1133</v>
      </c>
      <c r="C37" s="1321"/>
      <c r="D37" s="1321"/>
      <c r="E37" s="3672"/>
      <c r="F37" s="3672"/>
      <c r="G37" s="3672"/>
    </row>
    <row r="38" spans="1:7" hidden="1">
      <c r="A38" s="3673" t="s">
        <v>1134</v>
      </c>
      <c r="B38" s="3674"/>
      <c r="C38" s="3674"/>
      <c r="D38" s="3675"/>
      <c r="E38" s="3671"/>
      <c r="F38" s="3671"/>
      <c r="G38" s="36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30" t="s">
        <v>2650</v>
      </c>
      <c r="AC4" s="3600" t="s">
        <v>2651</v>
      </c>
    </row>
    <row r="5" spans="1:29" ht="15">
      <c r="A5" s="399"/>
      <c r="B5" s="400"/>
      <c r="C5" s="3677" t="s">
        <v>2544</v>
      </c>
      <c r="D5" s="3612"/>
      <c r="E5" s="3676" t="s">
        <v>2545</v>
      </c>
      <c r="F5" s="3610"/>
      <c r="G5" s="3677" t="s">
        <v>2546</v>
      </c>
      <c r="H5" s="3612"/>
      <c r="I5" s="3677" t="s">
        <v>2547</v>
      </c>
      <c r="J5" s="3612"/>
      <c r="K5" s="603"/>
      <c r="L5" s="1126"/>
      <c r="M5" s="1127"/>
      <c r="N5" s="1127"/>
      <c r="O5" s="1127"/>
      <c r="P5" s="3624"/>
      <c r="Q5" s="3625"/>
      <c r="R5" s="3607"/>
      <c r="S5" s="3608"/>
      <c r="T5" s="3607"/>
      <c r="U5" s="3608"/>
      <c r="V5" s="3630"/>
      <c r="W5" s="3630"/>
      <c r="X5" s="1808"/>
      <c r="Y5" s="3607"/>
      <c r="Z5" s="3608"/>
      <c r="AA5" s="3601"/>
      <c r="AB5" s="3630"/>
      <c r="AC5" s="3601"/>
    </row>
    <row r="6" spans="1:29" ht="15.75" thickBot="1">
      <c r="A6" s="401"/>
      <c r="B6" s="402"/>
      <c r="C6" s="3678" t="s">
        <v>2548</v>
      </c>
      <c r="D6" s="3614"/>
      <c r="E6" s="3679" t="s">
        <v>2548</v>
      </c>
      <c r="F6" s="3616"/>
      <c r="G6" s="3678" t="s">
        <v>2548</v>
      </c>
      <c r="H6" s="3614"/>
      <c r="I6" s="3678" t="s">
        <v>2548</v>
      </c>
      <c r="J6" s="3614"/>
      <c r="K6" s="603" t="s">
        <v>2549</v>
      </c>
      <c r="L6" s="1126"/>
      <c r="M6" s="1127"/>
      <c r="N6" s="1127"/>
      <c r="O6" s="1127"/>
      <c r="P6" s="3626"/>
      <c r="Q6" s="3627"/>
      <c r="R6" s="3607"/>
      <c r="S6" s="3608"/>
      <c r="T6" s="3628"/>
      <c r="U6" s="3629"/>
      <c r="V6" s="3630"/>
      <c r="W6" s="3630"/>
      <c r="X6" s="1808"/>
      <c r="Y6" s="3628"/>
      <c r="Z6" s="3629"/>
      <c r="AA6" s="3602"/>
      <c r="AB6" s="3630"/>
      <c r="AC6" s="3602"/>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603" t="s">
        <v>2551</v>
      </c>
      <c r="Q7" s="3631"/>
      <c r="R7" s="763" t="s">
        <v>17</v>
      </c>
      <c r="S7" s="764">
        <f t="shared" ref="S7:S15" si="0">F7</f>
        <v>0</v>
      </c>
      <c r="T7" s="763" t="s">
        <v>17</v>
      </c>
      <c r="U7" s="764">
        <f t="shared" ref="U7:U15" si="1">H7</f>
        <v>0</v>
      </c>
      <c r="V7" s="763" t="s">
        <v>17</v>
      </c>
      <c r="W7" s="764">
        <f t="shared" ref="W7:W15" si="2">J7</f>
        <v>0</v>
      </c>
      <c r="X7" s="765"/>
      <c r="Y7" s="3603" t="s">
        <v>2551</v>
      </c>
      <c r="Z7" s="3604"/>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603" t="s">
        <v>2554</v>
      </c>
      <c r="Q8" s="3604"/>
      <c r="R8" s="763" t="s">
        <v>17</v>
      </c>
      <c r="S8" s="764">
        <f t="shared" si="0"/>
        <v>0</v>
      </c>
      <c r="T8" s="763" t="s">
        <v>17</v>
      </c>
      <c r="U8" s="764">
        <f t="shared" si="1"/>
        <v>0</v>
      </c>
      <c r="V8" s="763" t="s">
        <v>17</v>
      </c>
      <c r="W8" s="764">
        <f t="shared" si="2"/>
        <v>0</v>
      </c>
      <c r="X8" s="765"/>
      <c r="Y8" s="3603" t="s">
        <v>2554</v>
      </c>
      <c r="Z8" s="3604"/>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617"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617"/>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617"/>
      <c r="Q11" s="1790" t="str">
        <f t="shared" si="6"/>
        <v>容积率</v>
      </c>
      <c r="R11" s="763" t="s">
        <v>17</v>
      </c>
      <c r="S11" s="764" t="e">
        <f t="shared" si="0"/>
        <v>#N/A</v>
      </c>
      <c r="T11" s="763" t="s">
        <v>17</v>
      </c>
      <c r="U11" s="764" t="e">
        <f t="shared" si="1"/>
        <v>#N/A</v>
      </c>
      <c r="V11" s="763" t="s">
        <v>17</v>
      </c>
      <c r="W11" s="764" t="e">
        <f t="shared" si="2"/>
        <v>#N/A</v>
      </c>
      <c r="X11" s="765"/>
      <c r="Y11" s="3462"/>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617"/>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617"/>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617"/>
      <c r="Q14" s="1790">
        <f t="shared" si="6"/>
        <v>111</v>
      </c>
      <c r="R14" s="763" t="s">
        <v>17</v>
      </c>
      <c r="S14" s="764">
        <f t="shared" si="0"/>
        <v>100</v>
      </c>
      <c r="T14" s="763" t="s">
        <v>17</v>
      </c>
      <c r="U14" s="764">
        <f t="shared" si="1"/>
        <v>100</v>
      </c>
      <c r="V14" s="763" t="s">
        <v>17</v>
      </c>
      <c r="W14" s="764">
        <f t="shared" si="2"/>
        <v>100</v>
      </c>
      <c r="X14" s="765"/>
      <c r="Y14" s="3462"/>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644" t="s">
        <v>2562</v>
      </c>
      <c r="Q15" s="1805" t="str">
        <f t="shared" si="6"/>
        <v>商业繁华度</v>
      </c>
      <c r="R15" s="767" t="s">
        <v>17</v>
      </c>
      <c r="S15" s="768">
        <f t="shared" si="0"/>
        <v>100</v>
      </c>
      <c r="T15" s="767" t="s">
        <v>17</v>
      </c>
      <c r="U15" s="768">
        <f t="shared" si="1"/>
        <v>100</v>
      </c>
      <c r="V15" s="767" t="s">
        <v>17</v>
      </c>
      <c r="W15" s="768">
        <f t="shared" si="2"/>
        <v>100</v>
      </c>
      <c r="X15" s="1808"/>
      <c r="Y15" s="3637"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645"/>
      <c r="Q16" s="1805"/>
      <c r="R16" s="767"/>
      <c r="S16" s="768"/>
      <c r="T16" s="767"/>
      <c r="U16" s="768"/>
      <c r="V16" s="767"/>
      <c r="W16" s="768"/>
      <c r="X16" s="1808"/>
      <c r="Y16" s="3638"/>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645"/>
      <c r="Q17" s="1805" t="str">
        <f>B17</f>
        <v>交通便捷度</v>
      </c>
      <c r="R17" s="767" t="s">
        <v>17</v>
      </c>
      <c r="S17" s="768">
        <f>F17</f>
        <v>100</v>
      </c>
      <c r="T17" s="767" t="s">
        <v>17</v>
      </c>
      <c r="U17" s="768">
        <f>H17</f>
        <v>100</v>
      </c>
      <c r="V17" s="767" t="s">
        <v>17</v>
      </c>
      <c r="W17" s="768">
        <f>J17</f>
        <v>100</v>
      </c>
      <c r="X17" s="1808"/>
      <c r="Y17" s="3638"/>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645"/>
      <c r="Q18" s="1805"/>
      <c r="R18" s="767"/>
      <c r="S18" s="768"/>
      <c r="T18" s="767"/>
      <c r="U18" s="768"/>
      <c r="V18" s="767"/>
      <c r="W18" s="768"/>
      <c r="X18" s="1808"/>
      <c r="Y18" s="3638"/>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645"/>
      <c r="Q19" s="1805" t="str">
        <f>B19</f>
        <v>公共配套设施</v>
      </c>
      <c r="R19" s="767" t="s">
        <v>17</v>
      </c>
      <c r="S19" s="768">
        <f>F19</f>
        <v>100</v>
      </c>
      <c r="T19" s="767" t="s">
        <v>17</v>
      </c>
      <c r="U19" s="768">
        <f>H19</f>
        <v>100</v>
      </c>
      <c r="V19" s="767" t="s">
        <v>17</v>
      </c>
      <c r="W19" s="768">
        <f>J19</f>
        <v>100</v>
      </c>
      <c r="X19" s="1808"/>
      <c r="Y19" s="3638"/>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645"/>
      <c r="Q20" s="1805"/>
      <c r="R20" s="767"/>
      <c r="S20" s="768"/>
      <c r="T20" s="767"/>
      <c r="U20" s="768"/>
      <c r="V20" s="767"/>
      <c r="W20" s="768"/>
      <c r="X20" s="1808"/>
      <c r="Y20" s="3638"/>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645"/>
      <c r="Q21" s="1805" t="str">
        <f>B21</f>
        <v>基础设施水平</v>
      </c>
      <c r="R21" s="767" t="s">
        <v>17</v>
      </c>
      <c r="S21" s="768">
        <f>F21</f>
        <v>100</v>
      </c>
      <c r="T21" s="767" t="s">
        <v>17</v>
      </c>
      <c r="U21" s="768">
        <f>H21</f>
        <v>100</v>
      </c>
      <c r="V21" s="767" t="s">
        <v>17</v>
      </c>
      <c r="W21" s="768">
        <f>J21</f>
        <v>100</v>
      </c>
      <c r="X21" s="1808"/>
      <c r="Y21" s="3638"/>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645"/>
      <c r="Q22" s="1805"/>
      <c r="R22" s="767"/>
      <c r="S22" s="768"/>
      <c r="T22" s="767"/>
      <c r="U22" s="768"/>
      <c r="V22" s="767"/>
      <c r="W22" s="768"/>
      <c r="X22" s="1808"/>
      <c r="Y22" s="3638"/>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645"/>
      <c r="Q23" s="1805" t="str">
        <f>B23</f>
        <v>自然及人文环境</v>
      </c>
      <c r="R23" s="767" t="s">
        <v>17</v>
      </c>
      <c r="S23" s="768">
        <f>F23</f>
        <v>100</v>
      </c>
      <c r="T23" s="767" t="s">
        <v>17</v>
      </c>
      <c r="U23" s="768">
        <f>H23</f>
        <v>100</v>
      </c>
      <c r="V23" s="767" t="s">
        <v>17</v>
      </c>
      <c r="W23" s="768">
        <f>J23</f>
        <v>100</v>
      </c>
      <c r="X23" s="1808"/>
      <c r="Y23" s="3638"/>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645"/>
      <c r="Q24" s="1805"/>
      <c r="R24" s="767"/>
      <c r="S24" s="768"/>
      <c r="T24" s="767"/>
      <c r="U24" s="768"/>
      <c r="V24" s="767"/>
      <c r="W24" s="768"/>
      <c r="X24" s="1808"/>
      <c r="Y24" s="3638"/>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645"/>
      <c r="Q25" s="1805" t="str">
        <f t="shared" ref="Q25:Q46" si="8">B25</f>
        <v>临街状况</v>
      </c>
      <c r="R25" s="767" t="s">
        <v>17</v>
      </c>
      <c r="S25" s="768">
        <f>F25</f>
        <v>100</v>
      </c>
      <c r="T25" s="767" t="s">
        <v>17</v>
      </c>
      <c r="U25" s="768">
        <f>H25</f>
        <v>100</v>
      </c>
      <c r="V25" s="767" t="s">
        <v>17</v>
      </c>
      <c r="W25" s="768">
        <f>J25</f>
        <v>100</v>
      </c>
      <c r="X25" s="1808"/>
      <c r="Y25" s="3638"/>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645"/>
      <c r="Q26" s="1805" t="str">
        <f t="shared" si="8"/>
        <v>平面位置/可视性</v>
      </c>
      <c r="R26" s="767" t="s">
        <v>17</v>
      </c>
      <c r="S26" s="768">
        <f>F26</f>
        <v>100</v>
      </c>
      <c r="T26" s="767" t="s">
        <v>17</v>
      </c>
      <c r="U26" s="768">
        <f>H26</f>
        <v>100</v>
      </c>
      <c r="V26" s="767" t="s">
        <v>17</v>
      </c>
      <c r="W26" s="768">
        <f>J26</f>
        <v>100</v>
      </c>
      <c r="X26" s="1808"/>
      <c r="Y26" s="3638"/>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645"/>
      <c r="Q27" s="1790" t="str">
        <f t="shared" si="8"/>
        <v>人流量</v>
      </c>
      <c r="R27" s="763" t="s">
        <v>17</v>
      </c>
      <c r="S27" s="764">
        <f>F27</f>
        <v>100</v>
      </c>
      <c r="T27" s="763" t="s">
        <v>17</v>
      </c>
      <c r="U27" s="764">
        <f>H27</f>
        <v>100</v>
      </c>
      <c r="V27" s="763" t="s">
        <v>17</v>
      </c>
      <c r="W27" s="764">
        <f>J27</f>
        <v>100</v>
      </c>
      <c r="X27" s="765"/>
      <c r="Y27" s="3638"/>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645"/>
      <c r="Q28" s="1805" t="str">
        <f t="shared" si="8"/>
        <v>楼层</v>
      </c>
      <c r="R28" s="767" t="s">
        <v>17</v>
      </c>
      <c r="S28" s="768">
        <f t="shared" ref="S28:S46" si="9">F28</f>
        <v>100</v>
      </c>
      <c r="T28" s="767" t="s">
        <v>17</v>
      </c>
      <c r="U28" s="768">
        <f t="shared" ref="U28:U46" si="10">H28</f>
        <v>100</v>
      </c>
      <c r="V28" s="767" t="s">
        <v>17</v>
      </c>
      <c r="W28" s="768">
        <f t="shared" ref="W28:W46" si="11">J28</f>
        <v>100</v>
      </c>
      <c r="X28" s="1808"/>
      <c r="Y28" s="3638"/>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645"/>
      <c r="Q29" s="1805">
        <f t="shared" si="8"/>
        <v>111</v>
      </c>
      <c r="R29" s="767" t="s">
        <v>17</v>
      </c>
      <c r="S29" s="768">
        <f t="shared" si="9"/>
        <v>100</v>
      </c>
      <c r="T29" s="767" t="s">
        <v>17</v>
      </c>
      <c r="U29" s="768">
        <f t="shared" si="10"/>
        <v>100</v>
      </c>
      <c r="V29" s="767" t="s">
        <v>17</v>
      </c>
      <c r="W29" s="768">
        <f t="shared" si="11"/>
        <v>100</v>
      </c>
      <c r="X29" s="1808"/>
      <c r="Y29" s="3638"/>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645"/>
      <c r="Q30" s="1805">
        <f t="shared" si="8"/>
        <v>111</v>
      </c>
      <c r="R30" s="767" t="s">
        <v>17</v>
      </c>
      <c r="S30" s="768">
        <f t="shared" si="9"/>
        <v>100</v>
      </c>
      <c r="T30" s="767" t="s">
        <v>17</v>
      </c>
      <c r="U30" s="768">
        <f t="shared" si="10"/>
        <v>100</v>
      </c>
      <c r="V30" s="767" t="s">
        <v>17</v>
      </c>
      <c r="W30" s="768">
        <f t="shared" si="11"/>
        <v>100</v>
      </c>
      <c r="X30" s="1808"/>
      <c r="Y30" s="3638"/>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645"/>
      <c r="Q31" s="1805">
        <f t="shared" si="8"/>
        <v>111</v>
      </c>
      <c r="R31" s="767" t="s">
        <v>17</v>
      </c>
      <c r="S31" s="768">
        <f t="shared" si="9"/>
        <v>100</v>
      </c>
      <c r="T31" s="767" t="s">
        <v>17</v>
      </c>
      <c r="U31" s="768">
        <f t="shared" si="10"/>
        <v>100</v>
      </c>
      <c r="V31" s="767" t="s">
        <v>17</v>
      </c>
      <c r="W31" s="768">
        <f t="shared" si="11"/>
        <v>100</v>
      </c>
      <c r="X31" s="1808"/>
      <c r="Y31" s="3638"/>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639" t="s">
        <v>2567</v>
      </c>
      <c r="Q32" s="1805" t="str">
        <f t="shared" si="8"/>
        <v>商业类型</v>
      </c>
      <c r="R32" s="767" t="s">
        <v>17</v>
      </c>
      <c r="S32" s="768">
        <f t="shared" si="9"/>
        <v>100</v>
      </c>
      <c r="T32" s="767" t="s">
        <v>17</v>
      </c>
      <c r="U32" s="768">
        <f t="shared" si="10"/>
        <v>100</v>
      </c>
      <c r="V32" s="767" t="s">
        <v>17</v>
      </c>
      <c r="W32" s="768">
        <f t="shared" si="11"/>
        <v>100</v>
      </c>
      <c r="X32" s="1808"/>
      <c r="Y32" s="3642"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640"/>
      <c r="Q33" s="769" t="str">
        <f t="shared" si="8"/>
        <v>项目建筑规模</v>
      </c>
      <c r="R33" s="770" t="s">
        <v>17</v>
      </c>
      <c r="S33" s="771" t="e">
        <f t="shared" si="9"/>
        <v>#N/A</v>
      </c>
      <c r="T33" s="770" t="s">
        <v>17</v>
      </c>
      <c r="U33" s="771" t="e">
        <f t="shared" si="10"/>
        <v>#N/A</v>
      </c>
      <c r="V33" s="770" t="s">
        <v>17</v>
      </c>
      <c r="W33" s="771" t="e">
        <f t="shared" si="11"/>
        <v>#N/A</v>
      </c>
      <c r="X33" s="772"/>
      <c r="Y33" s="3642"/>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640"/>
      <c r="Q34" s="1805" t="str">
        <f t="shared" si="8"/>
        <v>建筑结构</v>
      </c>
      <c r="R34" s="767" t="s">
        <v>17</v>
      </c>
      <c r="S34" s="768">
        <f t="shared" si="9"/>
        <v>100</v>
      </c>
      <c r="T34" s="767" t="s">
        <v>17</v>
      </c>
      <c r="U34" s="768">
        <f t="shared" si="10"/>
        <v>100</v>
      </c>
      <c r="V34" s="767" t="s">
        <v>17</v>
      </c>
      <c r="W34" s="768">
        <f t="shared" si="11"/>
        <v>100</v>
      </c>
      <c r="X34" s="1808"/>
      <c r="Y34" s="3642"/>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640"/>
      <c r="Q35" s="1805" t="str">
        <f t="shared" si="8"/>
        <v>公共部分装修</v>
      </c>
      <c r="R35" s="767" t="s">
        <v>17</v>
      </c>
      <c r="S35" s="768">
        <f t="shared" si="9"/>
        <v>100</v>
      </c>
      <c r="T35" s="767" t="s">
        <v>17</v>
      </c>
      <c r="U35" s="768">
        <f t="shared" si="10"/>
        <v>100</v>
      </c>
      <c r="V35" s="767" t="s">
        <v>17</v>
      </c>
      <c r="W35" s="768">
        <f t="shared" si="11"/>
        <v>100</v>
      </c>
      <c r="X35" s="1808"/>
      <c r="Y35" s="3642"/>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640"/>
      <c r="Q36" s="1805" t="str">
        <f t="shared" si="8"/>
        <v>成新度</v>
      </c>
      <c r="R36" s="767" t="s">
        <v>17</v>
      </c>
      <c r="S36" s="768" t="e">
        <f t="shared" si="9"/>
        <v>#N/A</v>
      </c>
      <c r="T36" s="767" t="s">
        <v>17</v>
      </c>
      <c r="U36" s="768" t="e">
        <f t="shared" si="10"/>
        <v>#N/A</v>
      </c>
      <c r="V36" s="767" t="s">
        <v>17</v>
      </c>
      <c r="W36" s="768" t="e">
        <f t="shared" si="11"/>
        <v>#N/A</v>
      </c>
      <c r="X36" s="1808"/>
      <c r="Y36" s="3642"/>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640"/>
      <c r="Q37" s="1790" t="str">
        <f t="shared" si="8"/>
        <v>市政基础设施</v>
      </c>
      <c r="R37" s="763" t="s">
        <v>17</v>
      </c>
      <c r="S37" s="764">
        <f t="shared" si="9"/>
        <v>100</v>
      </c>
      <c r="T37" s="763" t="s">
        <v>17</v>
      </c>
      <c r="U37" s="764">
        <f t="shared" si="10"/>
        <v>100</v>
      </c>
      <c r="V37" s="763" t="s">
        <v>17</v>
      </c>
      <c r="W37" s="764">
        <f t="shared" si="11"/>
        <v>100</v>
      </c>
      <c r="X37" s="765"/>
      <c r="Y37" s="3642"/>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640" t="s">
        <v>2567</v>
      </c>
      <c r="Q38" s="1805" t="str">
        <f t="shared" si="8"/>
        <v>业态</v>
      </c>
      <c r="R38" s="767" t="s">
        <v>17</v>
      </c>
      <c r="S38" s="768">
        <f t="shared" si="9"/>
        <v>100</v>
      </c>
      <c r="T38" s="767" t="s">
        <v>17</v>
      </c>
      <c r="U38" s="768">
        <f t="shared" si="10"/>
        <v>100</v>
      </c>
      <c r="V38" s="767" t="s">
        <v>17</v>
      </c>
      <c r="W38" s="768">
        <f t="shared" si="11"/>
        <v>100</v>
      </c>
      <c r="X38" s="1808"/>
      <c r="Y38" s="3642"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640"/>
      <c r="Q39" s="1805" t="str">
        <f t="shared" si="8"/>
        <v>层高</v>
      </c>
      <c r="R39" s="767" t="s">
        <v>17</v>
      </c>
      <c r="S39" s="768">
        <f t="shared" si="9"/>
        <v>100</v>
      </c>
      <c r="T39" s="767" t="s">
        <v>17</v>
      </c>
      <c r="U39" s="768">
        <f t="shared" si="10"/>
        <v>100</v>
      </c>
      <c r="V39" s="767" t="s">
        <v>17</v>
      </c>
      <c r="W39" s="768">
        <f t="shared" si="11"/>
        <v>100</v>
      </c>
      <c r="X39" s="1808"/>
      <c r="Y39" s="3642"/>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640"/>
      <c r="Q40" s="1805" t="str">
        <f t="shared" si="8"/>
        <v>单套建筑面积</v>
      </c>
      <c r="R40" s="767" t="s">
        <v>17</v>
      </c>
      <c r="S40" s="768">
        <f t="shared" si="9"/>
        <v>100</v>
      </c>
      <c r="T40" s="767" t="s">
        <v>17</v>
      </c>
      <c r="U40" s="768">
        <f t="shared" si="10"/>
        <v>100</v>
      </c>
      <c r="V40" s="767" t="s">
        <v>17</v>
      </c>
      <c r="W40" s="768">
        <f t="shared" si="11"/>
        <v>100</v>
      </c>
      <c r="X40" s="1808"/>
      <c r="Y40" s="3642"/>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640"/>
      <c r="Q41" s="769" t="str">
        <f t="shared" si="8"/>
        <v>进深比</v>
      </c>
      <c r="R41" s="770" t="s">
        <v>17</v>
      </c>
      <c r="S41" s="771">
        <f t="shared" si="9"/>
        <v>100</v>
      </c>
      <c r="T41" s="770" t="s">
        <v>17</v>
      </c>
      <c r="U41" s="771">
        <f t="shared" si="10"/>
        <v>100</v>
      </c>
      <c r="V41" s="770" t="s">
        <v>17</v>
      </c>
      <c r="W41" s="771">
        <f t="shared" si="11"/>
        <v>100</v>
      </c>
      <c r="X41" s="772"/>
      <c r="Y41" s="3642"/>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640"/>
      <c r="Q42" s="1805" t="str">
        <f t="shared" si="8"/>
        <v>内部装修</v>
      </c>
      <c r="R42" s="767" t="s">
        <v>17</v>
      </c>
      <c r="S42" s="768">
        <f t="shared" si="9"/>
        <v>100</v>
      </c>
      <c r="T42" s="767" t="s">
        <v>17</v>
      </c>
      <c r="U42" s="768">
        <f t="shared" si="10"/>
        <v>100</v>
      </c>
      <c r="V42" s="767" t="s">
        <v>17</v>
      </c>
      <c r="W42" s="768">
        <f t="shared" si="11"/>
        <v>100</v>
      </c>
      <c r="X42" s="1808"/>
      <c r="Y42" s="3642"/>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640"/>
      <c r="Q43" s="1805" t="str">
        <f t="shared" si="8"/>
        <v>内部装修维护情况</v>
      </c>
      <c r="R43" s="767" t="s">
        <v>17</v>
      </c>
      <c r="S43" s="768">
        <f t="shared" si="9"/>
        <v>100</v>
      </c>
      <c r="T43" s="767" t="s">
        <v>17</v>
      </c>
      <c r="U43" s="768">
        <f t="shared" si="10"/>
        <v>100</v>
      </c>
      <c r="V43" s="767" t="s">
        <v>17</v>
      </c>
      <c r="W43" s="768">
        <f t="shared" si="11"/>
        <v>100</v>
      </c>
      <c r="X43" s="1808"/>
      <c r="Y43" s="3642"/>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640"/>
      <c r="Q44" s="1790">
        <f t="shared" si="8"/>
        <v>111</v>
      </c>
      <c r="R44" s="763" t="s">
        <v>17</v>
      </c>
      <c r="S44" s="764">
        <f t="shared" si="9"/>
        <v>100</v>
      </c>
      <c r="T44" s="763" t="s">
        <v>17</v>
      </c>
      <c r="U44" s="764">
        <f t="shared" si="10"/>
        <v>100</v>
      </c>
      <c r="V44" s="763" t="s">
        <v>17</v>
      </c>
      <c r="W44" s="764">
        <f t="shared" si="11"/>
        <v>100</v>
      </c>
      <c r="X44" s="765"/>
      <c r="Y44" s="3642"/>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640"/>
      <c r="Q45" s="1805">
        <f t="shared" si="8"/>
        <v>111</v>
      </c>
      <c r="R45" s="767" t="s">
        <v>17</v>
      </c>
      <c r="S45" s="768">
        <f t="shared" si="9"/>
        <v>100</v>
      </c>
      <c r="T45" s="767" t="s">
        <v>17</v>
      </c>
      <c r="U45" s="768">
        <f t="shared" si="10"/>
        <v>100</v>
      </c>
      <c r="V45" s="767" t="s">
        <v>17</v>
      </c>
      <c r="W45" s="768">
        <f t="shared" si="11"/>
        <v>100</v>
      </c>
      <c r="X45" s="1808"/>
      <c r="Y45" s="3642"/>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641"/>
      <c r="Q46" s="1805">
        <f t="shared" si="8"/>
        <v>111</v>
      </c>
      <c r="R46" s="767" t="s">
        <v>17</v>
      </c>
      <c r="S46" s="768">
        <f t="shared" si="9"/>
        <v>100</v>
      </c>
      <c r="T46" s="767" t="s">
        <v>17</v>
      </c>
      <c r="U46" s="768">
        <f t="shared" si="10"/>
        <v>100</v>
      </c>
      <c r="V46" s="767" t="s">
        <v>17</v>
      </c>
      <c r="W46" s="768">
        <f t="shared" si="11"/>
        <v>100</v>
      </c>
      <c r="X46" s="1808"/>
      <c r="Y46" s="3643"/>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635" t="str">
        <f>A47</f>
        <v>成交单价（元/平方米）</v>
      </c>
      <c r="Q47" s="3635"/>
      <c r="R47" s="3630">
        <f>E47</f>
        <v>0</v>
      </c>
      <c r="S47" s="3630"/>
      <c r="T47" s="3630">
        <f>G47</f>
        <v>0</v>
      </c>
      <c r="U47" s="3630"/>
      <c r="V47" s="3630">
        <f>I47</f>
        <v>0</v>
      </c>
      <c r="W47" s="3630"/>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632" t="str">
        <f>A49</f>
        <v>估价对象XX用房的比较价值（楼面单价，元/平方米）</v>
      </c>
      <c r="Q49" s="3633"/>
      <c r="R49" s="3634" t="e">
        <f>IF(F1="售价",ROUND(AVERAGE(R48:V48),0),ROUND(AVERAGE(R48:V48),1))</f>
        <v>#DIV/0!</v>
      </c>
      <c r="S49" s="3634"/>
      <c r="T49" s="3634"/>
      <c r="U49" s="3634"/>
      <c r="V49" s="3634"/>
      <c r="W49" s="3634"/>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86" t="s">
        <v>2653</v>
      </c>
      <c r="Q4" s="3687"/>
      <c r="R4" s="3681" t="s">
        <v>2649</v>
      </c>
      <c r="S4" s="3682"/>
      <c r="T4" s="3681" t="s">
        <v>2650</v>
      </c>
      <c r="U4" s="3682"/>
      <c r="V4" s="3690" t="s">
        <v>2651</v>
      </c>
      <c r="W4" s="3690"/>
      <c r="X4" s="2668"/>
      <c r="Y4" s="3681" t="s">
        <v>2653</v>
      </c>
      <c r="Z4" s="3682"/>
      <c r="AA4" s="3680" t="s">
        <v>2649</v>
      </c>
      <c r="AB4" s="3680" t="s">
        <v>2650</v>
      </c>
      <c r="AC4" s="3683" t="s">
        <v>2651</v>
      </c>
    </row>
    <row r="5" spans="1:29" ht="15">
      <c r="A5" s="399"/>
      <c r="B5" s="400"/>
      <c r="C5" s="3677" t="s">
        <v>2544</v>
      </c>
      <c r="D5" s="3612"/>
      <c r="E5" s="3676" t="s">
        <v>2545</v>
      </c>
      <c r="F5" s="3610"/>
      <c r="G5" s="3677" t="s">
        <v>2546</v>
      </c>
      <c r="H5" s="3612"/>
      <c r="I5" s="3677" t="s">
        <v>2547</v>
      </c>
      <c r="J5" s="3612"/>
      <c r="K5" s="603"/>
      <c r="L5" s="1126"/>
      <c r="M5" s="1127"/>
      <c r="N5" s="1127"/>
      <c r="O5" s="1127"/>
      <c r="P5" s="3688"/>
      <c r="Q5" s="3625"/>
      <c r="R5" s="3607"/>
      <c r="S5" s="3608"/>
      <c r="T5" s="3607"/>
      <c r="U5" s="3608"/>
      <c r="V5" s="3630"/>
      <c r="W5" s="3630"/>
      <c r="X5" s="1808"/>
      <c r="Y5" s="3607"/>
      <c r="Z5" s="3608"/>
      <c r="AA5" s="3601"/>
      <c r="AB5" s="3601"/>
      <c r="AC5" s="3684"/>
    </row>
    <row r="6" spans="1:29" ht="15.75" thickBot="1">
      <c r="A6" s="401"/>
      <c r="B6" s="402"/>
      <c r="C6" s="3678" t="s">
        <v>2548</v>
      </c>
      <c r="D6" s="3614"/>
      <c r="E6" s="3679" t="s">
        <v>2548</v>
      </c>
      <c r="F6" s="3616"/>
      <c r="G6" s="3678" t="s">
        <v>2548</v>
      </c>
      <c r="H6" s="3614"/>
      <c r="I6" s="3678" t="s">
        <v>2548</v>
      </c>
      <c r="J6" s="3614"/>
      <c r="K6" s="603" t="s">
        <v>2549</v>
      </c>
      <c r="L6" s="1126"/>
      <c r="M6" s="1127"/>
      <c r="N6" s="1127"/>
      <c r="O6" s="1127"/>
      <c r="P6" s="3689"/>
      <c r="Q6" s="3627"/>
      <c r="R6" s="3607"/>
      <c r="S6" s="3608"/>
      <c r="T6" s="3628"/>
      <c r="U6" s="3629"/>
      <c r="V6" s="3630"/>
      <c r="W6" s="3630"/>
      <c r="X6" s="1808"/>
      <c r="Y6" s="3628"/>
      <c r="Z6" s="3629"/>
      <c r="AA6" s="3602"/>
      <c r="AB6" s="3602"/>
      <c r="AC6" s="3685"/>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691" t="s">
        <v>2551</v>
      </c>
      <c r="Q7" s="3631"/>
      <c r="R7" s="763" t="s">
        <v>17</v>
      </c>
      <c r="S7" s="764">
        <f t="shared" ref="S7:S15" si="0">F7</f>
        <v>0</v>
      </c>
      <c r="T7" s="763" t="s">
        <v>17</v>
      </c>
      <c r="U7" s="764">
        <f t="shared" ref="U7:U15" si="1">H7</f>
        <v>0</v>
      </c>
      <c r="V7" s="763" t="s">
        <v>17</v>
      </c>
      <c r="W7" s="764">
        <f t="shared" ref="W7:W15" si="2">J7</f>
        <v>0</v>
      </c>
      <c r="X7" s="765"/>
      <c r="Y7" s="3603" t="s">
        <v>2551</v>
      </c>
      <c r="Z7" s="3604"/>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691" t="s">
        <v>2554</v>
      </c>
      <c r="Q8" s="3604"/>
      <c r="R8" s="763" t="s">
        <v>17</v>
      </c>
      <c r="S8" s="764">
        <f t="shared" si="0"/>
        <v>0</v>
      </c>
      <c r="T8" s="763" t="s">
        <v>17</v>
      </c>
      <c r="U8" s="764">
        <f t="shared" si="1"/>
        <v>0</v>
      </c>
      <c r="V8" s="763" t="s">
        <v>17</v>
      </c>
      <c r="W8" s="764">
        <f t="shared" si="2"/>
        <v>0</v>
      </c>
      <c r="X8" s="765"/>
      <c r="Y8" s="3603" t="s">
        <v>2554</v>
      </c>
      <c r="Z8" s="3604"/>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617"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617"/>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617"/>
      <c r="Q11" s="1790" t="str">
        <f t="shared" si="6"/>
        <v>容积率</v>
      </c>
      <c r="R11" s="763" t="s">
        <v>17</v>
      </c>
      <c r="S11" s="764" t="e">
        <f t="shared" si="0"/>
        <v>#N/A</v>
      </c>
      <c r="T11" s="763" t="s">
        <v>17</v>
      </c>
      <c r="U11" s="764" t="e">
        <f t="shared" si="1"/>
        <v>#N/A</v>
      </c>
      <c r="V11" s="763" t="s">
        <v>17</v>
      </c>
      <c r="W11" s="764" t="e">
        <f t="shared" si="2"/>
        <v>#N/A</v>
      </c>
      <c r="X11" s="765"/>
      <c r="Y11" s="3462"/>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617"/>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617"/>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617"/>
      <c r="Q14" s="1790">
        <f t="shared" si="6"/>
        <v>111</v>
      </c>
      <c r="R14" s="763" t="s">
        <v>17</v>
      </c>
      <c r="S14" s="764">
        <f t="shared" si="0"/>
        <v>100</v>
      </c>
      <c r="T14" s="763" t="s">
        <v>17</v>
      </c>
      <c r="U14" s="764">
        <f t="shared" si="1"/>
        <v>100</v>
      </c>
      <c r="V14" s="763" t="s">
        <v>17</v>
      </c>
      <c r="W14" s="764">
        <f t="shared" si="2"/>
        <v>100</v>
      </c>
      <c r="X14" s="765"/>
      <c r="Y14" s="3462"/>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644" t="s">
        <v>2562</v>
      </c>
      <c r="Q15" s="1805" t="str">
        <f t="shared" si="6"/>
        <v>办公集聚程度</v>
      </c>
      <c r="R15" s="767" t="s">
        <v>17</v>
      </c>
      <c r="S15" s="768">
        <f t="shared" si="0"/>
        <v>100</v>
      </c>
      <c r="T15" s="767" t="s">
        <v>17</v>
      </c>
      <c r="U15" s="768">
        <f t="shared" si="1"/>
        <v>100</v>
      </c>
      <c r="V15" s="767" t="s">
        <v>17</v>
      </c>
      <c r="W15" s="768">
        <f t="shared" si="2"/>
        <v>100</v>
      </c>
      <c r="X15" s="1808"/>
      <c r="Y15" s="3637"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645"/>
      <c r="Q16" s="1805"/>
      <c r="R16" s="767"/>
      <c r="S16" s="768"/>
      <c r="T16" s="767"/>
      <c r="U16" s="768"/>
      <c r="V16" s="767"/>
      <c r="W16" s="768"/>
      <c r="X16" s="1808"/>
      <c r="Y16" s="3638"/>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645"/>
      <c r="Q17" s="1805" t="str">
        <f>B17</f>
        <v>交通便捷度</v>
      </c>
      <c r="R17" s="767" t="s">
        <v>17</v>
      </c>
      <c r="S17" s="768">
        <f>F17</f>
        <v>100</v>
      </c>
      <c r="T17" s="767" t="s">
        <v>17</v>
      </c>
      <c r="U17" s="768">
        <f>H17</f>
        <v>100</v>
      </c>
      <c r="V17" s="767" t="s">
        <v>17</v>
      </c>
      <c r="W17" s="768">
        <f>J17</f>
        <v>100</v>
      </c>
      <c r="X17" s="1808"/>
      <c r="Y17" s="3638"/>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645"/>
      <c r="Q18" s="1805"/>
      <c r="R18" s="767"/>
      <c r="S18" s="768"/>
      <c r="T18" s="767"/>
      <c r="U18" s="768"/>
      <c r="V18" s="767"/>
      <c r="W18" s="768"/>
      <c r="X18" s="1808"/>
      <c r="Y18" s="3638"/>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645"/>
      <c r="Q19" s="1805" t="str">
        <f>B19</f>
        <v>公共配套设施</v>
      </c>
      <c r="R19" s="767" t="s">
        <v>17</v>
      </c>
      <c r="S19" s="768">
        <f>F19</f>
        <v>100</v>
      </c>
      <c r="T19" s="767" t="s">
        <v>17</v>
      </c>
      <c r="U19" s="768">
        <f>H19</f>
        <v>100</v>
      </c>
      <c r="V19" s="767" t="s">
        <v>17</v>
      </c>
      <c r="W19" s="768">
        <f>J19</f>
        <v>100</v>
      </c>
      <c r="X19" s="1808"/>
      <c r="Y19" s="3638"/>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645"/>
      <c r="Q20" s="1805"/>
      <c r="R20" s="767"/>
      <c r="S20" s="768"/>
      <c r="T20" s="767"/>
      <c r="U20" s="768"/>
      <c r="V20" s="767"/>
      <c r="W20" s="768"/>
      <c r="X20" s="1808"/>
      <c r="Y20" s="3638"/>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645"/>
      <c r="Q21" s="1805" t="str">
        <f>B21</f>
        <v>基础设施水平</v>
      </c>
      <c r="R21" s="767" t="s">
        <v>17</v>
      </c>
      <c r="S21" s="768">
        <f>F21</f>
        <v>100</v>
      </c>
      <c r="T21" s="767" t="s">
        <v>17</v>
      </c>
      <c r="U21" s="768">
        <f>H21</f>
        <v>100</v>
      </c>
      <c r="V21" s="767" t="s">
        <v>17</v>
      </c>
      <c r="W21" s="768">
        <f>J21</f>
        <v>100</v>
      </c>
      <c r="X21" s="1808"/>
      <c r="Y21" s="3638"/>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645"/>
      <c r="Q22" s="1805"/>
      <c r="R22" s="767"/>
      <c r="S22" s="768"/>
      <c r="T22" s="767"/>
      <c r="U22" s="768"/>
      <c r="V22" s="767"/>
      <c r="W22" s="768"/>
      <c r="X22" s="1808"/>
      <c r="Y22" s="3638"/>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645"/>
      <c r="Q23" s="1805" t="str">
        <f>B23</f>
        <v>环境质量</v>
      </c>
      <c r="R23" s="767" t="s">
        <v>17</v>
      </c>
      <c r="S23" s="768">
        <f>F23</f>
        <v>100</v>
      </c>
      <c r="T23" s="767" t="s">
        <v>17</v>
      </c>
      <c r="U23" s="768">
        <f>H23</f>
        <v>100</v>
      </c>
      <c r="V23" s="767" t="s">
        <v>17</v>
      </c>
      <c r="W23" s="768">
        <f>J23</f>
        <v>100</v>
      </c>
      <c r="X23" s="1808"/>
      <c r="Y23" s="3638"/>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645"/>
      <c r="Q24" s="1805"/>
      <c r="R24" s="767"/>
      <c r="S24" s="768"/>
      <c r="T24" s="767"/>
      <c r="U24" s="768"/>
      <c r="V24" s="767"/>
      <c r="W24" s="768"/>
      <c r="X24" s="1808"/>
      <c r="Y24" s="3638"/>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645"/>
      <c r="Q25" s="1805" t="str">
        <f>B25</f>
        <v>毗邻道路的类型与等级</v>
      </c>
      <c r="R25" s="767" t="s">
        <v>17</v>
      </c>
      <c r="S25" s="768">
        <f>F25</f>
        <v>100</v>
      </c>
      <c r="T25" s="767" t="s">
        <v>17</v>
      </c>
      <c r="U25" s="768">
        <f>H25</f>
        <v>100</v>
      </c>
      <c r="V25" s="767" t="s">
        <v>17</v>
      </c>
      <c r="W25" s="768">
        <f>J25</f>
        <v>100</v>
      </c>
      <c r="X25" s="1808"/>
      <c r="Y25" s="3638"/>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645"/>
      <c r="Q26" s="1805"/>
      <c r="R26" s="767"/>
      <c r="S26" s="768"/>
      <c r="T26" s="767"/>
      <c r="U26" s="768"/>
      <c r="V26" s="767"/>
      <c r="W26" s="768"/>
      <c r="X26" s="1808"/>
      <c r="Y26" s="3638"/>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645"/>
      <c r="Q27" s="1805" t="str">
        <f t="shared" ref="Q27:Q47" si="8">B27</f>
        <v>楼层</v>
      </c>
      <c r="R27" s="767" t="s">
        <v>17</v>
      </c>
      <c r="S27" s="768">
        <f>F27</f>
        <v>100</v>
      </c>
      <c r="T27" s="767" t="s">
        <v>17</v>
      </c>
      <c r="U27" s="768">
        <f>H27</f>
        <v>100</v>
      </c>
      <c r="V27" s="767" t="s">
        <v>17</v>
      </c>
      <c r="W27" s="768">
        <f>J27</f>
        <v>100</v>
      </c>
      <c r="X27" s="1808"/>
      <c r="Y27" s="3638"/>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645"/>
      <c r="Q28" s="1790" t="str">
        <f t="shared" si="8"/>
        <v>朝向</v>
      </c>
      <c r="R28" s="763" t="s">
        <v>17</v>
      </c>
      <c r="S28" s="764">
        <f>F28</f>
        <v>100</v>
      </c>
      <c r="T28" s="763" t="s">
        <v>17</v>
      </c>
      <c r="U28" s="764">
        <f>H28</f>
        <v>100</v>
      </c>
      <c r="V28" s="763" t="s">
        <v>17</v>
      </c>
      <c r="W28" s="764">
        <f>J28</f>
        <v>100</v>
      </c>
      <c r="X28" s="765"/>
      <c r="Y28" s="3638"/>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645"/>
      <c r="Q29" s="1805">
        <f t="shared" si="8"/>
        <v>111</v>
      </c>
      <c r="R29" s="767" t="s">
        <v>17</v>
      </c>
      <c r="S29" s="768">
        <f t="shared" ref="S29:S47" si="9">F29</f>
        <v>100</v>
      </c>
      <c r="T29" s="767" t="s">
        <v>17</v>
      </c>
      <c r="U29" s="768">
        <f t="shared" ref="U29:U47" si="10">H29</f>
        <v>100</v>
      </c>
      <c r="V29" s="767" t="s">
        <v>17</v>
      </c>
      <c r="W29" s="768">
        <f t="shared" ref="W29:W47" si="11">J29</f>
        <v>100</v>
      </c>
      <c r="X29" s="1808"/>
      <c r="Y29" s="3638"/>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645"/>
      <c r="Q30" s="1805">
        <f t="shared" si="8"/>
        <v>111</v>
      </c>
      <c r="R30" s="767" t="s">
        <v>17</v>
      </c>
      <c r="S30" s="768">
        <f t="shared" si="9"/>
        <v>100</v>
      </c>
      <c r="T30" s="767" t="s">
        <v>17</v>
      </c>
      <c r="U30" s="768">
        <f t="shared" si="10"/>
        <v>100</v>
      </c>
      <c r="V30" s="767" t="s">
        <v>17</v>
      </c>
      <c r="W30" s="768">
        <f t="shared" si="11"/>
        <v>100</v>
      </c>
      <c r="X30" s="1808"/>
      <c r="Y30" s="3638"/>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645"/>
      <c r="Q31" s="1805">
        <f t="shared" si="8"/>
        <v>111</v>
      </c>
      <c r="R31" s="767" t="s">
        <v>17</v>
      </c>
      <c r="S31" s="768">
        <f t="shared" si="9"/>
        <v>100</v>
      </c>
      <c r="T31" s="767" t="s">
        <v>17</v>
      </c>
      <c r="U31" s="768">
        <f t="shared" si="10"/>
        <v>100</v>
      </c>
      <c r="V31" s="767" t="s">
        <v>17</v>
      </c>
      <c r="W31" s="768">
        <f t="shared" si="11"/>
        <v>100</v>
      </c>
      <c r="X31" s="1808"/>
      <c r="Y31" s="3638"/>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645"/>
      <c r="Q32" s="1805">
        <f t="shared" si="8"/>
        <v>111</v>
      </c>
      <c r="R32" s="767" t="s">
        <v>17</v>
      </c>
      <c r="S32" s="768">
        <f t="shared" si="9"/>
        <v>100</v>
      </c>
      <c r="T32" s="767" t="s">
        <v>17</v>
      </c>
      <c r="U32" s="768">
        <f t="shared" si="10"/>
        <v>100</v>
      </c>
      <c r="V32" s="767" t="s">
        <v>17</v>
      </c>
      <c r="W32" s="768">
        <f t="shared" si="11"/>
        <v>100</v>
      </c>
      <c r="X32" s="1808"/>
      <c r="Y32" s="3638"/>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639" t="s">
        <v>2567</v>
      </c>
      <c r="Q33" s="1805" t="str">
        <f t="shared" si="8"/>
        <v>建筑类型</v>
      </c>
      <c r="R33" s="767" t="s">
        <v>17</v>
      </c>
      <c r="S33" s="768">
        <f t="shared" si="9"/>
        <v>100</v>
      </c>
      <c r="T33" s="767" t="s">
        <v>17</v>
      </c>
      <c r="U33" s="768">
        <f t="shared" si="10"/>
        <v>100</v>
      </c>
      <c r="V33" s="767" t="s">
        <v>17</v>
      </c>
      <c r="W33" s="768">
        <f t="shared" si="11"/>
        <v>100</v>
      </c>
      <c r="X33" s="1808"/>
      <c r="Y33" s="3642"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640"/>
      <c r="Q34" s="769" t="str">
        <f t="shared" si="8"/>
        <v>项目建筑规模</v>
      </c>
      <c r="R34" s="770" t="s">
        <v>17</v>
      </c>
      <c r="S34" s="771" t="e">
        <f t="shared" si="9"/>
        <v>#N/A</v>
      </c>
      <c r="T34" s="770" t="s">
        <v>17</v>
      </c>
      <c r="U34" s="771" t="e">
        <f t="shared" si="10"/>
        <v>#N/A</v>
      </c>
      <c r="V34" s="770" t="s">
        <v>17</v>
      </c>
      <c r="W34" s="771" t="e">
        <f t="shared" si="11"/>
        <v>#N/A</v>
      </c>
      <c r="X34" s="772"/>
      <c r="Y34" s="3642"/>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640"/>
      <c r="Q35" s="1805" t="str">
        <f t="shared" si="8"/>
        <v>建筑结构</v>
      </c>
      <c r="R35" s="767" t="s">
        <v>17</v>
      </c>
      <c r="S35" s="768">
        <f t="shared" si="9"/>
        <v>100</v>
      </c>
      <c r="T35" s="767" t="s">
        <v>17</v>
      </c>
      <c r="U35" s="768">
        <f t="shared" si="10"/>
        <v>100</v>
      </c>
      <c r="V35" s="767" t="s">
        <v>17</v>
      </c>
      <c r="W35" s="768">
        <f t="shared" si="11"/>
        <v>100</v>
      </c>
      <c r="X35" s="1808"/>
      <c r="Y35" s="3642"/>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640"/>
      <c r="Q36" s="1805" t="str">
        <f t="shared" si="8"/>
        <v>公共部分装修</v>
      </c>
      <c r="R36" s="767" t="s">
        <v>17</v>
      </c>
      <c r="S36" s="768">
        <f t="shared" si="9"/>
        <v>100</v>
      </c>
      <c r="T36" s="767" t="s">
        <v>17</v>
      </c>
      <c r="U36" s="768">
        <f t="shared" si="10"/>
        <v>100</v>
      </c>
      <c r="V36" s="767" t="s">
        <v>17</v>
      </c>
      <c r="W36" s="768">
        <f t="shared" si="11"/>
        <v>100</v>
      </c>
      <c r="X36" s="1808"/>
      <c r="Y36" s="3642"/>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640"/>
      <c r="Q37" s="1805" t="str">
        <f t="shared" si="8"/>
        <v>成新度</v>
      </c>
      <c r="R37" s="767" t="s">
        <v>17</v>
      </c>
      <c r="S37" s="768" t="e">
        <f t="shared" si="9"/>
        <v>#N/A</v>
      </c>
      <c r="T37" s="767" t="s">
        <v>17</v>
      </c>
      <c r="U37" s="768" t="e">
        <f t="shared" si="10"/>
        <v>#N/A</v>
      </c>
      <c r="V37" s="767" t="s">
        <v>17</v>
      </c>
      <c r="W37" s="768" t="e">
        <f t="shared" si="11"/>
        <v>#N/A</v>
      </c>
      <c r="X37" s="1808"/>
      <c r="Y37" s="3642"/>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640"/>
      <c r="Q38" s="1790" t="str">
        <f t="shared" si="8"/>
        <v>写字楼等级</v>
      </c>
      <c r="R38" s="763" t="s">
        <v>17</v>
      </c>
      <c r="S38" s="764">
        <f t="shared" si="9"/>
        <v>100</v>
      </c>
      <c r="T38" s="763" t="s">
        <v>17</v>
      </c>
      <c r="U38" s="764">
        <f t="shared" si="10"/>
        <v>100</v>
      </c>
      <c r="V38" s="763" t="s">
        <v>17</v>
      </c>
      <c r="W38" s="764">
        <f t="shared" si="11"/>
        <v>100</v>
      </c>
      <c r="X38" s="765"/>
      <c r="Y38" s="3642"/>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640" t="s">
        <v>2567</v>
      </c>
      <c r="Q39" s="1805" t="str">
        <f t="shared" si="8"/>
        <v>物业管理</v>
      </c>
      <c r="R39" s="767" t="s">
        <v>17</v>
      </c>
      <c r="S39" s="768">
        <f t="shared" si="9"/>
        <v>100</v>
      </c>
      <c r="T39" s="767" t="s">
        <v>17</v>
      </c>
      <c r="U39" s="768">
        <f t="shared" si="10"/>
        <v>100</v>
      </c>
      <c r="V39" s="767" t="s">
        <v>17</v>
      </c>
      <c r="W39" s="768">
        <f t="shared" si="11"/>
        <v>100</v>
      </c>
      <c r="X39" s="1808"/>
      <c r="Y39" s="3642"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640"/>
      <c r="Q40" s="1805" t="str">
        <f t="shared" si="8"/>
        <v>市政基础设施</v>
      </c>
      <c r="R40" s="767" t="s">
        <v>17</v>
      </c>
      <c r="S40" s="768">
        <f t="shared" si="9"/>
        <v>100</v>
      </c>
      <c r="T40" s="767" t="s">
        <v>17</v>
      </c>
      <c r="U40" s="768">
        <f t="shared" si="10"/>
        <v>100</v>
      </c>
      <c r="V40" s="767" t="s">
        <v>17</v>
      </c>
      <c r="W40" s="768">
        <f t="shared" si="11"/>
        <v>100</v>
      </c>
      <c r="X40" s="1808"/>
      <c r="Y40" s="3642"/>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640"/>
      <c r="Q41" s="1805" t="str">
        <f t="shared" si="8"/>
        <v>层高</v>
      </c>
      <c r="R41" s="767" t="s">
        <v>17</v>
      </c>
      <c r="S41" s="768">
        <f t="shared" si="9"/>
        <v>100</v>
      </c>
      <c r="T41" s="767" t="s">
        <v>17</v>
      </c>
      <c r="U41" s="768">
        <f t="shared" si="10"/>
        <v>100</v>
      </c>
      <c r="V41" s="767" t="s">
        <v>17</v>
      </c>
      <c r="W41" s="768">
        <f t="shared" si="11"/>
        <v>100</v>
      </c>
      <c r="X41" s="1808"/>
      <c r="Y41" s="3642"/>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640"/>
      <c r="Q42" s="769" t="str">
        <f t="shared" si="8"/>
        <v>单套建筑面积</v>
      </c>
      <c r="R42" s="770" t="s">
        <v>17</v>
      </c>
      <c r="S42" s="771">
        <f t="shared" si="9"/>
        <v>100</v>
      </c>
      <c r="T42" s="770" t="s">
        <v>17</v>
      </c>
      <c r="U42" s="771">
        <f t="shared" si="10"/>
        <v>100</v>
      </c>
      <c r="V42" s="770" t="s">
        <v>17</v>
      </c>
      <c r="W42" s="771">
        <f t="shared" si="11"/>
        <v>100</v>
      </c>
      <c r="X42" s="772"/>
      <c r="Y42" s="3642"/>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640"/>
      <c r="Q43" s="1805" t="str">
        <f t="shared" si="8"/>
        <v>内部装修</v>
      </c>
      <c r="R43" s="767" t="s">
        <v>17</v>
      </c>
      <c r="S43" s="768">
        <f t="shared" si="9"/>
        <v>100</v>
      </c>
      <c r="T43" s="767" t="s">
        <v>17</v>
      </c>
      <c r="U43" s="768">
        <f t="shared" si="10"/>
        <v>100</v>
      </c>
      <c r="V43" s="767" t="s">
        <v>17</v>
      </c>
      <c r="W43" s="768">
        <f t="shared" si="11"/>
        <v>100</v>
      </c>
      <c r="X43" s="1808"/>
      <c r="Y43" s="3642"/>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640"/>
      <c r="Q44" s="1805" t="str">
        <f t="shared" si="8"/>
        <v>内部装修维护情况</v>
      </c>
      <c r="R44" s="767" t="s">
        <v>17</v>
      </c>
      <c r="S44" s="768">
        <f t="shared" si="9"/>
        <v>100</v>
      </c>
      <c r="T44" s="767" t="s">
        <v>17</v>
      </c>
      <c r="U44" s="768">
        <f t="shared" si="10"/>
        <v>100</v>
      </c>
      <c r="V44" s="767" t="s">
        <v>17</v>
      </c>
      <c r="W44" s="768">
        <f t="shared" si="11"/>
        <v>100</v>
      </c>
      <c r="X44" s="1808"/>
      <c r="Y44" s="3642"/>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640"/>
      <c r="Q45" s="1790">
        <f t="shared" si="8"/>
        <v>111</v>
      </c>
      <c r="R45" s="763" t="s">
        <v>17</v>
      </c>
      <c r="S45" s="764">
        <f t="shared" si="9"/>
        <v>100</v>
      </c>
      <c r="T45" s="763" t="s">
        <v>17</v>
      </c>
      <c r="U45" s="764">
        <f t="shared" si="10"/>
        <v>100</v>
      </c>
      <c r="V45" s="763" t="s">
        <v>17</v>
      </c>
      <c r="W45" s="764">
        <f t="shared" si="11"/>
        <v>100</v>
      </c>
      <c r="X45" s="765"/>
      <c r="Y45" s="3642"/>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640"/>
      <c r="Q46" s="1805">
        <f t="shared" si="8"/>
        <v>111</v>
      </c>
      <c r="R46" s="767" t="s">
        <v>17</v>
      </c>
      <c r="S46" s="768">
        <f t="shared" si="9"/>
        <v>100</v>
      </c>
      <c r="T46" s="767" t="s">
        <v>17</v>
      </c>
      <c r="U46" s="768">
        <f t="shared" si="10"/>
        <v>100</v>
      </c>
      <c r="V46" s="767" t="s">
        <v>17</v>
      </c>
      <c r="W46" s="768">
        <f t="shared" si="11"/>
        <v>100</v>
      </c>
      <c r="X46" s="1808"/>
      <c r="Y46" s="3642"/>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641"/>
      <c r="Q47" s="1805">
        <f t="shared" si="8"/>
        <v>111</v>
      </c>
      <c r="R47" s="767" t="s">
        <v>17</v>
      </c>
      <c r="S47" s="768">
        <f t="shared" si="9"/>
        <v>100</v>
      </c>
      <c r="T47" s="767" t="s">
        <v>17</v>
      </c>
      <c r="U47" s="768">
        <f t="shared" si="10"/>
        <v>100</v>
      </c>
      <c r="V47" s="767" t="s">
        <v>17</v>
      </c>
      <c r="W47" s="768">
        <f t="shared" si="11"/>
        <v>100</v>
      </c>
      <c r="X47" s="1808"/>
      <c r="Y47" s="3643"/>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617" t="str">
        <f>A48</f>
        <v>成交单价（元/平方米）</v>
      </c>
      <c r="Q48" s="3635"/>
      <c r="R48" s="3636">
        <f>E48</f>
        <v>0</v>
      </c>
      <c r="S48" s="3636"/>
      <c r="T48" s="3636">
        <f>G48</f>
        <v>0</v>
      </c>
      <c r="U48" s="3636"/>
      <c r="V48" s="3636">
        <f>I48</f>
        <v>0</v>
      </c>
      <c r="W48" s="3636"/>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617"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692" t="str">
        <f>A50</f>
        <v>估价对象XX用房的比较价值（楼面单价，元/平方米）</v>
      </c>
      <c r="Q50" s="3693"/>
      <c r="R50" s="3694" t="e">
        <f>IF(F1="售价",ROUND(AVERAGE(R49:V49),0),ROUND(AVERAGE(R49:V49),1))</f>
        <v>#DIV/0!</v>
      </c>
      <c r="S50" s="3694"/>
      <c r="T50" s="3694"/>
      <c r="U50" s="3694"/>
      <c r="V50" s="3694"/>
      <c r="W50" s="3694"/>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01" t="s">
        <v>2650</v>
      </c>
      <c r="AC4" s="3600" t="s">
        <v>2651</v>
      </c>
    </row>
    <row r="5" spans="1:29" ht="15">
      <c r="A5" s="399"/>
      <c r="B5" s="400"/>
      <c r="C5" s="3677" t="s">
        <v>2544</v>
      </c>
      <c r="D5" s="3612"/>
      <c r="E5" s="3676" t="s">
        <v>2545</v>
      </c>
      <c r="F5" s="3610"/>
      <c r="G5" s="3677" t="s">
        <v>2546</v>
      </c>
      <c r="H5" s="3612"/>
      <c r="I5" s="3677" t="s">
        <v>2547</v>
      </c>
      <c r="J5" s="3612"/>
      <c r="K5" s="603"/>
      <c r="L5" s="1126"/>
      <c r="M5" s="1127"/>
      <c r="N5" s="1127"/>
      <c r="O5" s="1127"/>
      <c r="P5" s="3624"/>
      <c r="Q5" s="3625"/>
      <c r="R5" s="3607"/>
      <c r="S5" s="3608"/>
      <c r="T5" s="3607"/>
      <c r="U5" s="3608"/>
      <c r="V5" s="3630"/>
      <c r="W5" s="3630"/>
      <c r="X5" s="1808"/>
      <c r="Y5" s="3607"/>
      <c r="Z5" s="3608"/>
      <c r="AA5" s="3601"/>
      <c r="AB5" s="3601"/>
      <c r="AC5" s="3601"/>
    </row>
    <row r="6" spans="1:29" ht="15.75" thickBot="1">
      <c r="A6" s="401"/>
      <c r="B6" s="402"/>
      <c r="C6" s="3678" t="s">
        <v>2548</v>
      </c>
      <c r="D6" s="3614"/>
      <c r="E6" s="3679" t="s">
        <v>2548</v>
      </c>
      <c r="F6" s="3616"/>
      <c r="G6" s="3678" t="s">
        <v>2548</v>
      </c>
      <c r="H6" s="3614"/>
      <c r="I6" s="3678" t="s">
        <v>2548</v>
      </c>
      <c r="J6" s="3614"/>
      <c r="K6" s="603" t="s">
        <v>2549</v>
      </c>
      <c r="L6" s="1126"/>
      <c r="M6" s="1127"/>
      <c r="N6" s="1127"/>
      <c r="O6" s="1127"/>
      <c r="P6" s="3626"/>
      <c r="Q6" s="3627"/>
      <c r="R6" s="3607"/>
      <c r="S6" s="3608"/>
      <c r="T6" s="3628"/>
      <c r="U6" s="3629"/>
      <c r="V6" s="3630"/>
      <c r="W6" s="3630"/>
      <c r="X6" s="1808"/>
      <c r="Y6" s="3628"/>
      <c r="Z6" s="3629"/>
      <c r="AA6" s="3602"/>
      <c r="AB6" s="3602"/>
      <c r="AC6" s="3602"/>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603" t="s">
        <v>2551</v>
      </c>
      <c r="Q7" s="3631"/>
      <c r="R7" s="763" t="s">
        <v>17</v>
      </c>
      <c r="S7" s="764">
        <f t="shared" ref="S7:S15" si="0">F7</f>
        <v>0</v>
      </c>
      <c r="T7" s="763" t="s">
        <v>17</v>
      </c>
      <c r="U7" s="764">
        <f t="shared" ref="U7:U15" si="1">H7</f>
        <v>0</v>
      </c>
      <c r="V7" s="763" t="s">
        <v>17</v>
      </c>
      <c r="W7" s="764">
        <f t="shared" ref="W7:W15" si="2">J7</f>
        <v>0</v>
      </c>
      <c r="X7" s="765"/>
      <c r="Y7" s="3603" t="s">
        <v>2551</v>
      </c>
      <c r="Z7" s="3604"/>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603" t="s">
        <v>2554</v>
      </c>
      <c r="Q8" s="3604"/>
      <c r="R8" s="763" t="s">
        <v>17</v>
      </c>
      <c r="S8" s="764">
        <f t="shared" si="0"/>
        <v>0</v>
      </c>
      <c r="T8" s="763" t="s">
        <v>17</v>
      </c>
      <c r="U8" s="764">
        <f t="shared" si="1"/>
        <v>0</v>
      </c>
      <c r="V8" s="763" t="s">
        <v>17</v>
      </c>
      <c r="W8" s="764">
        <f t="shared" si="2"/>
        <v>0</v>
      </c>
      <c r="X8" s="765"/>
      <c r="Y8" s="3603" t="s">
        <v>2554</v>
      </c>
      <c r="Z8" s="3604"/>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635"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635"/>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635"/>
      <c r="Q11" s="1790" t="str">
        <f t="shared" si="6"/>
        <v>容积率</v>
      </c>
      <c r="R11" s="763" t="s">
        <v>17</v>
      </c>
      <c r="S11" s="764" t="e">
        <f t="shared" si="0"/>
        <v>#N/A</v>
      </c>
      <c r="T11" s="763" t="s">
        <v>17</v>
      </c>
      <c r="U11" s="764" t="e">
        <f t="shared" si="1"/>
        <v>#N/A</v>
      </c>
      <c r="V11" s="763" t="s">
        <v>17</v>
      </c>
      <c r="W11" s="764" t="e">
        <f t="shared" si="2"/>
        <v>#N/A</v>
      </c>
      <c r="X11" s="765"/>
      <c r="Y11" s="3462"/>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635"/>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635"/>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635"/>
      <c r="Q14" s="1790">
        <f t="shared" si="6"/>
        <v>111</v>
      </c>
      <c r="R14" s="763" t="s">
        <v>17</v>
      </c>
      <c r="S14" s="764">
        <f t="shared" si="0"/>
        <v>100</v>
      </c>
      <c r="T14" s="763" t="s">
        <v>17</v>
      </c>
      <c r="U14" s="764">
        <f t="shared" si="1"/>
        <v>100</v>
      </c>
      <c r="V14" s="763" t="s">
        <v>17</v>
      </c>
      <c r="W14" s="764">
        <f t="shared" si="2"/>
        <v>100</v>
      </c>
      <c r="X14" s="765"/>
      <c r="Y14" s="3462"/>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637" t="s">
        <v>2562</v>
      </c>
      <c r="Q15" s="1805" t="str">
        <f t="shared" si="6"/>
        <v>产业集聚程度</v>
      </c>
      <c r="R15" s="767" t="s">
        <v>17</v>
      </c>
      <c r="S15" s="768">
        <f t="shared" si="0"/>
        <v>100</v>
      </c>
      <c r="T15" s="767" t="s">
        <v>17</v>
      </c>
      <c r="U15" s="768">
        <f t="shared" si="1"/>
        <v>100</v>
      </c>
      <c r="V15" s="767" t="s">
        <v>17</v>
      </c>
      <c r="W15" s="768">
        <f t="shared" si="2"/>
        <v>100</v>
      </c>
      <c r="X15" s="1808"/>
      <c r="Y15" s="3637"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638"/>
      <c r="Q16" s="1805"/>
      <c r="R16" s="767"/>
      <c r="S16" s="768"/>
      <c r="T16" s="767"/>
      <c r="U16" s="768"/>
      <c r="V16" s="767"/>
      <c r="W16" s="768"/>
      <c r="X16" s="1808"/>
      <c r="Y16" s="3638"/>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638"/>
      <c r="Q17" s="1805" t="str">
        <f>B17</f>
        <v>交通便捷度</v>
      </c>
      <c r="R17" s="767" t="s">
        <v>17</v>
      </c>
      <c r="S17" s="768">
        <f>F17</f>
        <v>100</v>
      </c>
      <c r="T17" s="767" t="s">
        <v>17</v>
      </c>
      <c r="U17" s="768">
        <f>H17</f>
        <v>100</v>
      </c>
      <c r="V17" s="767" t="s">
        <v>17</v>
      </c>
      <c r="W17" s="768">
        <f>J17</f>
        <v>100</v>
      </c>
      <c r="X17" s="1808"/>
      <c r="Y17" s="3638"/>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638"/>
      <c r="Q18" s="1805"/>
      <c r="R18" s="767"/>
      <c r="S18" s="768"/>
      <c r="T18" s="767"/>
      <c r="U18" s="768"/>
      <c r="V18" s="767"/>
      <c r="W18" s="768"/>
      <c r="X18" s="1808"/>
      <c r="Y18" s="3638"/>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638"/>
      <c r="Q19" s="1805" t="str">
        <f>B19</f>
        <v>公共配套设施</v>
      </c>
      <c r="R19" s="767" t="s">
        <v>17</v>
      </c>
      <c r="S19" s="768">
        <f>F19</f>
        <v>100</v>
      </c>
      <c r="T19" s="767" t="s">
        <v>17</v>
      </c>
      <c r="U19" s="768">
        <f>H19</f>
        <v>100</v>
      </c>
      <c r="V19" s="767" t="s">
        <v>17</v>
      </c>
      <c r="W19" s="768">
        <f>J19</f>
        <v>100</v>
      </c>
      <c r="X19" s="1808"/>
      <c r="Y19" s="3638"/>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638"/>
      <c r="Q20" s="1805"/>
      <c r="R20" s="767"/>
      <c r="S20" s="768"/>
      <c r="T20" s="767"/>
      <c r="U20" s="768"/>
      <c r="V20" s="767"/>
      <c r="W20" s="768"/>
      <c r="X20" s="1808"/>
      <c r="Y20" s="3638"/>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638"/>
      <c r="Q21" s="1805" t="str">
        <f>B21</f>
        <v>基础设施水平</v>
      </c>
      <c r="R21" s="767" t="s">
        <v>17</v>
      </c>
      <c r="S21" s="768">
        <f>F21</f>
        <v>100</v>
      </c>
      <c r="T21" s="767" t="s">
        <v>17</v>
      </c>
      <c r="U21" s="768">
        <f>H21</f>
        <v>100</v>
      </c>
      <c r="V21" s="767" t="s">
        <v>17</v>
      </c>
      <c r="W21" s="768">
        <f>J21</f>
        <v>100</v>
      </c>
      <c r="X21" s="1808"/>
      <c r="Y21" s="3638"/>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638"/>
      <c r="Q22" s="1805"/>
      <c r="R22" s="767"/>
      <c r="S22" s="768"/>
      <c r="T22" s="767"/>
      <c r="U22" s="768"/>
      <c r="V22" s="767"/>
      <c r="W22" s="768"/>
      <c r="X22" s="1808"/>
      <c r="Y22" s="3638"/>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638"/>
      <c r="Q23" s="1805" t="str">
        <f>B23</f>
        <v>环境质量</v>
      </c>
      <c r="R23" s="767" t="s">
        <v>17</v>
      </c>
      <c r="S23" s="768">
        <f>F23</f>
        <v>100</v>
      </c>
      <c r="T23" s="767" t="s">
        <v>17</v>
      </c>
      <c r="U23" s="768">
        <f>H23</f>
        <v>100</v>
      </c>
      <c r="V23" s="767" t="s">
        <v>17</v>
      </c>
      <c r="W23" s="768">
        <f>J23</f>
        <v>100</v>
      </c>
      <c r="X23" s="1808"/>
      <c r="Y23" s="3638"/>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638"/>
      <c r="Q24" s="1805"/>
      <c r="R24" s="767"/>
      <c r="S24" s="768"/>
      <c r="T24" s="767"/>
      <c r="U24" s="768"/>
      <c r="V24" s="767"/>
      <c r="W24" s="768"/>
      <c r="X24" s="1808"/>
      <c r="Y24" s="3638"/>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638"/>
      <c r="Q25" s="1805">
        <f>B25</f>
        <v>111</v>
      </c>
      <c r="R25" s="767" t="s">
        <v>17</v>
      </c>
      <c r="S25" s="768">
        <f>F25</f>
        <v>100</v>
      </c>
      <c r="T25" s="767" t="s">
        <v>17</v>
      </c>
      <c r="U25" s="768">
        <f>H25</f>
        <v>100</v>
      </c>
      <c r="V25" s="767" t="s">
        <v>17</v>
      </c>
      <c r="W25" s="768">
        <f>J25</f>
        <v>100</v>
      </c>
      <c r="X25" s="1808"/>
      <c r="Y25" s="3638"/>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638"/>
      <c r="Q26" s="1805">
        <f t="shared" ref="Q26:Q40" si="8">B26</f>
        <v>111</v>
      </c>
      <c r="R26" s="767" t="s">
        <v>17</v>
      </c>
      <c r="S26" s="768">
        <f>F26</f>
        <v>100</v>
      </c>
      <c r="T26" s="767" t="s">
        <v>17</v>
      </c>
      <c r="U26" s="768">
        <f>H26</f>
        <v>100</v>
      </c>
      <c r="V26" s="767" t="s">
        <v>17</v>
      </c>
      <c r="W26" s="768">
        <f>J26</f>
        <v>100</v>
      </c>
      <c r="X26" s="1808"/>
      <c r="Y26" s="3638"/>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638"/>
      <c r="Q27" s="1790">
        <f t="shared" si="8"/>
        <v>111</v>
      </c>
      <c r="R27" s="763" t="s">
        <v>17</v>
      </c>
      <c r="S27" s="764">
        <f>F27</f>
        <v>100</v>
      </c>
      <c r="T27" s="763" t="s">
        <v>17</v>
      </c>
      <c r="U27" s="764">
        <f>H27</f>
        <v>100</v>
      </c>
      <c r="V27" s="763" t="s">
        <v>17</v>
      </c>
      <c r="W27" s="764">
        <f>J27</f>
        <v>100</v>
      </c>
      <c r="X27" s="765"/>
      <c r="Y27" s="3638"/>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638"/>
      <c r="Q28" s="1805">
        <f t="shared" si="8"/>
        <v>111</v>
      </c>
      <c r="R28" s="767" t="s">
        <v>17</v>
      </c>
      <c r="S28" s="768">
        <f t="shared" ref="S28:S40" si="9">F28</f>
        <v>100</v>
      </c>
      <c r="T28" s="767" t="s">
        <v>17</v>
      </c>
      <c r="U28" s="768">
        <f t="shared" ref="U28:U40" si="10">H28</f>
        <v>100</v>
      </c>
      <c r="V28" s="767" t="s">
        <v>17</v>
      </c>
      <c r="W28" s="768">
        <f t="shared" ref="W28:W40" si="11">J28</f>
        <v>100</v>
      </c>
      <c r="X28" s="1808"/>
      <c r="Y28" s="3638"/>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695" t="s">
        <v>2567</v>
      </c>
      <c r="Q29" s="1805" t="str">
        <f t="shared" si="8"/>
        <v>建筑类型</v>
      </c>
      <c r="R29" s="767" t="s">
        <v>17</v>
      </c>
      <c r="S29" s="768">
        <f t="shared" si="9"/>
        <v>100</v>
      </c>
      <c r="T29" s="767" t="s">
        <v>17</v>
      </c>
      <c r="U29" s="768">
        <f t="shared" si="10"/>
        <v>100</v>
      </c>
      <c r="V29" s="767" t="s">
        <v>17</v>
      </c>
      <c r="W29" s="768">
        <f t="shared" si="11"/>
        <v>100</v>
      </c>
      <c r="X29" s="1808"/>
      <c r="Y29" s="3642"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642"/>
      <c r="Q30" s="769" t="str">
        <f t="shared" si="8"/>
        <v>项目建筑规模</v>
      </c>
      <c r="R30" s="770" t="s">
        <v>17</v>
      </c>
      <c r="S30" s="771" t="e">
        <f t="shared" si="9"/>
        <v>#N/A</v>
      </c>
      <c r="T30" s="770" t="s">
        <v>17</v>
      </c>
      <c r="U30" s="771" t="e">
        <f t="shared" si="10"/>
        <v>#N/A</v>
      </c>
      <c r="V30" s="770" t="s">
        <v>17</v>
      </c>
      <c r="W30" s="771" t="e">
        <f t="shared" si="11"/>
        <v>#N/A</v>
      </c>
      <c r="X30" s="772"/>
      <c r="Y30" s="3642"/>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642"/>
      <c r="Q31" s="1805" t="str">
        <f t="shared" si="8"/>
        <v>建筑结构</v>
      </c>
      <c r="R31" s="767" t="s">
        <v>17</v>
      </c>
      <c r="S31" s="768">
        <f t="shared" si="9"/>
        <v>100</v>
      </c>
      <c r="T31" s="767" t="s">
        <v>17</v>
      </c>
      <c r="U31" s="768">
        <f t="shared" si="10"/>
        <v>100</v>
      </c>
      <c r="V31" s="767" t="s">
        <v>17</v>
      </c>
      <c r="W31" s="768">
        <f t="shared" si="11"/>
        <v>100</v>
      </c>
      <c r="X31" s="1808"/>
      <c r="Y31" s="3642"/>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642"/>
      <c r="Q32" s="1805" t="str">
        <f t="shared" si="8"/>
        <v>公共部分装修</v>
      </c>
      <c r="R32" s="767" t="s">
        <v>17</v>
      </c>
      <c r="S32" s="768">
        <f t="shared" si="9"/>
        <v>100</v>
      </c>
      <c r="T32" s="767" t="s">
        <v>17</v>
      </c>
      <c r="U32" s="768">
        <f t="shared" si="10"/>
        <v>100</v>
      </c>
      <c r="V32" s="767" t="s">
        <v>17</v>
      </c>
      <c r="W32" s="768">
        <f t="shared" si="11"/>
        <v>100</v>
      </c>
      <c r="X32" s="1808"/>
      <c r="Y32" s="3642"/>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642"/>
      <c r="Q33" s="1805" t="str">
        <f t="shared" si="8"/>
        <v>成新度</v>
      </c>
      <c r="R33" s="767" t="s">
        <v>17</v>
      </c>
      <c r="S33" s="768" t="e">
        <f t="shared" si="9"/>
        <v>#N/A</v>
      </c>
      <c r="T33" s="767" t="s">
        <v>17</v>
      </c>
      <c r="U33" s="768" t="e">
        <f t="shared" si="10"/>
        <v>#N/A</v>
      </c>
      <c r="V33" s="767" t="s">
        <v>17</v>
      </c>
      <c r="W33" s="768" t="e">
        <f t="shared" si="11"/>
        <v>#N/A</v>
      </c>
      <c r="X33" s="1808"/>
      <c r="Y33" s="3642"/>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642"/>
      <c r="Q34" s="1790" t="str">
        <f t="shared" si="8"/>
        <v>物业管理</v>
      </c>
      <c r="R34" s="763" t="s">
        <v>17</v>
      </c>
      <c r="S34" s="764">
        <f t="shared" si="9"/>
        <v>100</v>
      </c>
      <c r="T34" s="763" t="s">
        <v>17</v>
      </c>
      <c r="U34" s="764">
        <f t="shared" si="10"/>
        <v>100</v>
      </c>
      <c r="V34" s="763" t="s">
        <v>17</v>
      </c>
      <c r="W34" s="764">
        <f t="shared" si="11"/>
        <v>100</v>
      </c>
      <c r="X34" s="765"/>
      <c r="Y34" s="3642"/>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642" t="s">
        <v>2567</v>
      </c>
      <c r="Q35" s="1805" t="str">
        <f t="shared" si="8"/>
        <v>市政基础设施</v>
      </c>
      <c r="R35" s="767" t="s">
        <v>17</v>
      </c>
      <c r="S35" s="768">
        <f t="shared" si="9"/>
        <v>100</v>
      </c>
      <c r="T35" s="767" t="s">
        <v>17</v>
      </c>
      <c r="U35" s="768">
        <f t="shared" si="10"/>
        <v>100</v>
      </c>
      <c r="V35" s="767" t="s">
        <v>17</v>
      </c>
      <c r="W35" s="768">
        <f t="shared" si="11"/>
        <v>100</v>
      </c>
      <c r="X35" s="1808"/>
      <c r="Y35" s="3642"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642"/>
      <c r="Q36" s="1805" t="str">
        <f t="shared" si="8"/>
        <v>内部装修</v>
      </c>
      <c r="R36" s="767" t="s">
        <v>17</v>
      </c>
      <c r="S36" s="768">
        <f t="shared" si="9"/>
        <v>100</v>
      </c>
      <c r="T36" s="767" t="s">
        <v>17</v>
      </c>
      <c r="U36" s="768">
        <f t="shared" si="10"/>
        <v>100</v>
      </c>
      <c r="V36" s="767" t="s">
        <v>17</v>
      </c>
      <c r="W36" s="768">
        <f t="shared" si="11"/>
        <v>100</v>
      </c>
      <c r="X36" s="1808"/>
      <c r="Y36" s="3642"/>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642"/>
      <c r="Q37" s="1805" t="str">
        <f t="shared" si="8"/>
        <v>内部装修状况</v>
      </c>
      <c r="R37" s="767" t="s">
        <v>17</v>
      </c>
      <c r="S37" s="768">
        <f t="shared" si="9"/>
        <v>100</v>
      </c>
      <c r="T37" s="767" t="s">
        <v>17</v>
      </c>
      <c r="U37" s="768">
        <f t="shared" si="10"/>
        <v>100</v>
      </c>
      <c r="V37" s="767" t="s">
        <v>17</v>
      </c>
      <c r="W37" s="768">
        <f t="shared" si="11"/>
        <v>100</v>
      </c>
      <c r="X37" s="1808"/>
      <c r="Y37" s="3642"/>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642"/>
      <c r="Q38" s="769">
        <f t="shared" si="8"/>
        <v>111</v>
      </c>
      <c r="R38" s="770" t="s">
        <v>17</v>
      </c>
      <c r="S38" s="771">
        <f t="shared" si="9"/>
        <v>100</v>
      </c>
      <c r="T38" s="770" t="s">
        <v>17</v>
      </c>
      <c r="U38" s="771">
        <f t="shared" si="10"/>
        <v>100</v>
      </c>
      <c r="V38" s="770" t="s">
        <v>17</v>
      </c>
      <c r="W38" s="771">
        <f t="shared" si="11"/>
        <v>100</v>
      </c>
      <c r="X38" s="772"/>
      <c r="Y38" s="3642"/>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642"/>
      <c r="Q39" s="1805">
        <f t="shared" si="8"/>
        <v>111</v>
      </c>
      <c r="R39" s="767" t="s">
        <v>17</v>
      </c>
      <c r="S39" s="768">
        <f t="shared" si="9"/>
        <v>100</v>
      </c>
      <c r="T39" s="767" t="s">
        <v>17</v>
      </c>
      <c r="U39" s="768">
        <f t="shared" si="10"/>
        <v>100</v>
      </c>
      <c r="V39" s="767" t="s">
        <v>17</v>
      </c>
      <c r="W39" s="768">
        <f t="shared" si="11"/>
        <v>100</v>
      </c>
      <c r="X39" s="1808"/>
      <c r="Y39" s="3642"/>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643"/>
      <c r="Q40" s="1805">
        <f t="shared" si="8"/>
        <v>111</v>
      </c>
      <c r="R40" s="767" t="s">
        <v>17</v>
      </c>
      <c r="S40" s="768">
        <f t="shared" si="9"/>
        <v>100</v>
      </c>
      <c r="T40" s="767" t="s">
        <v>17</v>
      </c>
      <c r="U40" s="768">
        <f t="shared" si="10"/>
        <v>100</v>
      </c>
      <c r="V40" s="767" t="s">
        <v>17</v>
      </c>
      <c r="W40" s="768">
        <f t="shared" si="11"/>
        <v>100</v>
      </c>
      <c r="X40" s="1808"/>
      <c r="Y40" s="3643"/>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635" t="str">
        <f>A41</f>
        <v>成交单价（元/平方米）</v>
      </c>
      <c r="Q41" s="3635"/>
      <c r="R41" s="3636">
        <f>E41</f>
        <v>0</v>
      </c>
      <c r="S41" s="3636"/>
      <c r="T41" s="3636">
        <f>G41</f>
        <v>0</v>
      </c>
      <c r="U41" s="3636"/>
      <c r="V41" s="3636">
        <f>I41</f>
        <v>0</v>
      </c>
      <c r="W41" s="3636"/>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632" t="str">
        <f>A43</f>
        <v>估价对象XX用房的比较价值（楼面单价，元/平方米）</v>
      </c>
      <c r="Q43" s="3633"/>
      <c r="R43" s="3634" t="e">
        <f>IF(F1="售价",ROUND(AVERAGE(R42:V42),0),ROUND(AVERAGE(R42:V42),1))</f>
        <v>#DIV/0!</v>
      </c>
      <c r="S43" s="3634"/>
      <c r="T43" s="3634"/>
      <c r="U43" s="3634"/>
      <c r="V43" s="3634"/>
      <c r="W43" s="3634"/>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01" t="s">
        <v>2650</v>
      </c>
      <c r="AC4" s="3600" t="s">
        <v>2651</v>
      </c>
    </row>
    <row r="5" spans="1:29" ht="15">
      <c r="A5" s="399"/>
      <c r="B5" s="400"/>
      <c r="C5" s="3677" t="s">
        <v>2544</v>
      </c>
      <c r="D5" s="3612"/>
      <c r="E5" s="3676" t="s">
        <v>2545</v>
      </c>
      <c r="F5" s="3610"/>
      <c r="G5" s="3677" t="s">
        <v>2546</v>
      </c>
      <c r="H5" s="3612"/>
      <c r="I5" s="3677" t="s">
        <v>2547</v>
      </c>
      <c r="J5" s="3612"/>
      <c r="K5" s="603"/>
      <c r="L5" s="1126"/>
      <c r="M5" s="1127"/>
      <c r="N5" s="1127"/>
      <c r="O5" s="1127"/>
      <c r="P5" s="3624"/>
      <c r="Q5" s="3625"/>
      <c r="R5" s="3607"/>
      <c r="S5" s="3608"/>
      <c r="T5" s="3607"/>
      <c r="U5" s="3608"/>
      <c r="V5" s="3630"/>
      <c r="W5" s="3630"/>
      <c r="X5" s="1808"/>
      <c r="Y5" s="3607"/>
      <c r="Z5" s="3608"/>
      <c r="AA5" s="3601"/>
      <c r="AB5" s="3601"/>
      <c r="AC5" s="3601"/>
    </row>
    <row r="6" spans="1:29" ht="15.75" thickBot="1">
      <c r="A6" s="401"/>
      <c r="B6" s="402"/>
      <c r="C6" s="3678" t="s">
        <v>2548</v>
      </c>
      <c r="D6" s="3614"/>
      <c r="E6" s="3679" t="s">
        <v>2548</v>
      </c>
      <c r="F6" s="3616"/>
      <c r="G6" s="3678" t="s">
        <v>2548</v>
      </c>
      <c r="H6" s="3614"/>
      <c r="I6" s="3678" t="s">
        <v>2548</v>
      </c>
      <c r="J6" s="3614"/>
      <c r="K6" s="603" t="s">
        <v>2549</v>
      </c>
      <c r="L6" s="1126"/>
      <c r="M6" s="1127"/>
      <c r="N6" s="1127"/>
      <c r="O6" s="1127"/>
      <c r="P6" s="3626"/>
      <c r="Q6" s="3627"/>
      <c r="R6" s="3607"/>
      <c r="S6" s="3608"/>
      <c r="T6" s="3628"/>
      <c r="U6" s="3629"/>
      <c r="V6" s="3630"/>
      <c r="W6" s="3630"/>
      <c r="X6" s="1808"/>
      <c r="Y6" s="3628"/>
      <c r="Z6" s="3629"/>
      <c r="AA6" s="3602"/>
      <c r="AB6" s="3602"/>
      <c r="AC6" s="3602"/>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603" t="s">
        <v>2551</v>
      </c>
      <c r="Q7" s="3631"/>
      <c r="R7" s="763" t="s">
        <v>17</v>
      </c>
      <c r="S7" s="764">
        <f t="shared" ref="S7:S14" si="0">F7</f>
        <v>0</v>
      </c>
      <c r="T7" s="763" t="s">
        <v>17</v>
      </c>
      <c r="U7" s="764">
        <f t="shared" ref="U7:U14" si="1">H7</f>
        <v>0</v>
      </c>
      <c r="V7" s="763" t="s">
        <v>17</v>
      </c>
      <c r="W7" s="764">
        <f t="shared" ref="W7:W14" si="2">J7</f>
        <v>0</v>
      </c>
      <c r="X7" s="765"/>
      <c r="Y7" s="3603" t="s">
        <v>2551</v>
      </c>
      <c r="Z7" s="3604"/>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603" t="s">
        <v>2554</v>
      </c>
      <c r="Q8" s="3604"/>
      <c r="R8" s="763" t="s">
        <v>17</v>
      </c>
      <c r="S8" s="764">
        <f t="shared" si="0"/>
        <v>0</v>
      </c>
      <c r="T8" s="763" t="s">
        <v>17</v>
      </c>
      <c r="U8" s="764">
        <f t="shared" si="1"/>
        <v>0</v>
      </c>
      <c r="V8" s="763" t="s">
        <v>17</v>
      </c>
      <c r="W8" s="764">
        <f t="shared" si="2"/>
        <v>0</v>
      </c>
      <c r="X8" s="765"/>
      <c r="Y8" s="3603" t="s">
        <v>2554</v>
      </c>
      <c r="Z8" s="3604"/>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635" t="s">
        <v>2557</v>
      </c>
      <c r="Q9" s="1790" t="str">
        <f t="shared" ref="Q9:Q14" si="6">B9</f>
        <v>用途</v>
      </c>
      <c r="R9" s="763" t="s">
        <v>17</v>
      </c>
      <c r="S9" s="764">
        <f t="shared" si="0"/>
        <v>100</v>
      </c>
      <c r="T9" s="763" t="s">
        <v>17</v>
      </c>
      <c r="U9" s="764">
        <f t="shared" si="1"/>
        <v>100</v>
      </c>
      <c r="V9" s="763" t="s">
        <v>17</v>
      </c>
      <c r="W9" s="764">
        <f t="shared" si="2"/>
        <v>100</v>
      </c>
      <c r="X9" s="765"/>
      <c r="Y9" s="3462"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635"/>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635"/>
      <c r="Q11" s="1790">
        <f t="shared" si="6"/>
        <v>111</v>
      </c>
      <c r="R11" s="763" t="s">
        <v>17</v>
      </c>
      <c r="S11" s="764">
        <f t="shared" si="0"/>
        <v>100</v>
      </c>
      <c r="T11" s="763" t="s">
        <v>17</v>
      </c>
      <c r="U11" s="764">
        <f t="shared" si="1"/>
        <v>100</v>
      </c>
      <c r="V11" s="763" t="s">
        <v>17</v>
      </c>
      <c r="W11" s="764">
        <f t="shared" si="2"/>
        <v>100</v>
      </c>
      <c r="X11" s="765"/>
      <c r="Y11" s="3462"/>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635"/>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635"/>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637" t="s">
        <v>2562</v>
      </c>
      <c r="Q14" s="1805" t="str">
        <f t="shared" si="6"/>
        <v>交通便捷度</v>
      </c>
      <c r="R14" s="767" t="s">
        <v>17</v>
      </c>
      <c r="S14" s="768">
        <f t="shared" si="0"/>
        <v>100</v>
      </c>
      <c r="T14" s="767" t="s">
        <v>17</v>
      </c>
      <c r="U14" s="768">
        <f t="shared" si="1"/>
        <v>100</v>
      </c>
      <c r="V14" s="767" t="s">
        <v>17</v>
      </c>
      <c r="W14" s="768">
        <f t="shared" si="2"/>
        <v>100</v>
      </c>
      <c r="X14" s="1808"/>
      <c r="Y14" s="3637"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638"/>
      <c r="Q15" s="1805"/>
      <c r="R15" s="767"/>
      <c r="S15" s="768"/>
      <c r="T15" s="767"/>
      <c r="U15" s="768"/>
      <c r="V15" s="767"/>
      <c r="W15" s="768"/>
      <c r="X15" s="1808"/>
      <c r="Y15" s="3638"/>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638"/>
      <c r="Q16" s="1805" t="str">
        <f>B16</f>
        <v>公共配套设施</v>
      </c>
      <c r="R16" s="767" t="s">
        <v>17</v>
      </c>
      <c r="S16" s="768">
        <f>F16</f>
        <v>100</v>
      </c>
      <c r="T16" s="767" t="s">
        <v>17</v>
      </c>
      <c r="U16" s="768">
        <f>H16</f>
        <v>100</v>
      </c>
      <c r="V16" s="767" t="s">
        <v>17</v>
      </c>
      <c r="W16" s="768">
        <f>J16</f>
        <v>100</v>
      </c>
      <c r="X16" s="1808"/>
      <c r="Y16" s="3638"/>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638"/>
      <c r="Q17" s="1805"/>
      <c r="R17" s="767"/>
      <c r="S17" s="768"/>
      <c r="T17" s="767"/>
      <c r="U17" s="768"/>
      <c r="V17" s="767"/>
      <c r="W17" s="768"/>
      <c r="X17" s="1808"/>
      <c r="Y17" s="3638"/>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638"/>
      <c r="Q18" s="1805" t="str">
        <f>B18</f>
        <v>基础设施水平</v>
      </c>
      <c r="R18" s="767" t="s">
        <v>17</v>
      </c>
      <c r="S18" s="768">
        <f>F18</f>
        <v>100</v>
      </c>
      <c r="T18" s="767" t="s">
        <v>17</v>
      </c>
      <c r="U18" s="768">
        <f>H18</f>
        <v>100</v>
      </c>
      <c r="V18" s="767" t="s">
        <v>17</v>
      </c>
      <c r="W18" s="768">
        <f>J18</f>
        <v>100</v>
      </c>
      <c r="X18" s="1808"/>
      <c r="Y18" s="3638"/>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638"/>
      <c r="Q19" s="1805"/>
      <c r="R19" s="767"/>
      <c r="S19" s="768"/>
      <c r="T19" s="767"/>
      <c r="U19" s="768"/>
      <c r="V19" s="767"/>
      <c r="W19" s="768"/>
      <c r="X19" s="1808"/>
      <c r="Y19" s="3638"/>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638"/>
      <c r="Q20" s="1805" t="str">
        <f>B20</f>
        <v>自然及人文环境</v>
      </c>
      <c r="R20" s="767" t="s">
        <v>17</v>
      </c>
      <c r="S20" s="768">
        <f>F20</f>
        <v>100</v>
      </c>
      <c r="T20" s="767" t="s">
        <v>17</v>
      </c>
      <c r="U20" s="768">
        <f>H20</f>
        <v>100</v>
      </c>
      <c r="V20" s="767" t="s">
        <v>17</v>
      </c>
      <c r="W20" s="768">
        <f>J20</f>
        <v>100</v>
      </c>
      <c r="X20" s="1808"/>
      <c r="Y20" s="3638"/>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638"/>
      <c r="Q21" s="1805"/>
      <c r="R21" s="767"/>
      <c r="S21" s="768"/>
      <c r="T21" s="767"/>
      <c r="U21" s="768"/>
      <c r="V21" s="767"/>
      <c r="W21" s="768"/>
      <c r="X21" s="1808"/>
      <c r="Y21" s="3638"/>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638"/>
      <c r="Q22" s="1805" t="str">
        <f>B22</f>
        <v>楼层</v>
      </c>
      <c r="R22" s="767" t="s">
        <v>17</v>
      </c>
      <c r="S22" s="768">
        <f>F22</f>
        <v>100</v>
      </c>
      <c r="T22" s="767" t="s">
        <v>17</v>
      </c>
      <c r="U22" s="768">
        <f>H22</f>
        <v>100</v>
      </c>
      <c r="V22" s="767" t="s">
        <v>17</v>
      </c>
      <c r="W22" s="768">
        <f>J22</f>
        <v>100</v>
      </c>
      <c r="X22" s="1808"/>
      <c r="Y22" s="3638"/>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638"/>
      <c r="Q23" s="1805">
        <f>B23</f>
        <v>111</v>
      </c>
      <c r="R23" s="767" t="s">
        <v>17</v>
      </c>
      <c r="S23" s="768">
        <f>F23</f>
        <v>100</v>
      </c>
      <c r="T23" s="767" t="s">
        <v>17</v>
      </c>
      <c r="U23" s="768">
        <f>H23</f>
        <v>100</v>
      </c>
      <c r="V23" s="767" t="s">
        <v>17</v>
      </c>
      <c r="W23" s="768">
        <f>J23</f>
        <v>100</v>
      </c>
      <c r="X23" s="1808"/>
      <c r="Y23" s="3638"/>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638"/>
      <c r="Q24" s="1805">
        <f t="shared" ref="Q24:Q36" si="8">B24</f>
        <v>111</v>
      </c>
      <c r="R24" s="767" t="s">
        <v>17</v>
      </c>
      <c r="S24" s="768">
        <f>F24</f>
        <v>100</v>
      </c>
      <c r="T24" s="767" t="s">
        <v>17</v>
      </c>
      <c r="U24" s="768">
        <f>H24</f>
        <v>100</v>
      </c>
      <c r="V24" s="767" t="s">
        <v>17</v>
      </c>
      <c r="W24" s="768">
        <f>J24</f>
        <v>100</v>
      </c>
      <c r="X24" s="1808"/>
      <c r="Y24" s="3638"/>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638"/>
      <c r="Q25" s="1790">
        <f t="shared" si="8"/>
        <v>111</v>
      </c>
      <c r="R25" s="763" t="s">
        <v>17</v>
      </c>
      <c r="S25" s="764">
        <f>F25</f>
        <v>100</v>
      </c>
      <c r="T25" s="763" t="s">
        <v>17</v>
      </c>
      <c r="U25" s="764">
        <f>H25</f>
        <v>100</v>
      </c>
      <c r="V25" s="763" t="s">
        <v>17</v>
      </c>
      <c r="W25" s="764">
        <f>J25</f>
        <v>100</v>
      </c>
      <c r="X25" s="765"/>
      <c r="Y25" s="3638"/>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695"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642"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642"/>
      <c r="Q27" s="769" t="str">
        <f t="shared" si="8"/>
        <v>项目停车位配比</v>
      </c>
      <c r="R27" s="770" t="s">
        <v>17</v>
      </c>
      <c r="S27" s="771">
        <f t="shared" si="9"/>
        <v>100</v>
      </c>
      <c r="T27" s="770" t="s">
        <v>17</v>
      </c>
      <c r="U27" s="771">
        <f t="shared" si="10"/>
        <v>100</v>
      </c>
      <c r="V27" s="770" t="s">
        <v>17</v>
      </c>
      <c r="W27" s="771">
        <f t="shared" si="11"/>
        <v>100</v>
      </c>
      <c r="X27" s="772"/>
      <c r="Y27" s="3642"/>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642"/>
      <c r="Q28" s="1805" t="str">
        <f t="shared" si="8"/>
        <v>公共部分装修</v>
      </c>
      <c r="R28" s="767" t="s">
        <v>17</v>
      </c>
      <c r="S28" s="768">
        <f t="shared" si="9"/>
        <v>100</v>
      </c>
      <c r="T28" s="767" t="s">
        <v>17</v>
      </c>
      <c r="U28" s="768">
        <f t="shared" si="10"/>
        <v>100</v>
      </c>
      <c r="V28" s="767" t="s">
        <v>17</v>
      </c>
      <c r="W28" s="768">
        <f t="shared" si="11"/>
        <v>100</v>
      </c>
      <c r="X28" s="1808"/>
      <c r="Y28" s="3642"/>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642"/>
      <c r="Q29" s="1805" t="str">
        <f t="shared" si="8"/>
        <v>成新率</v>
      </c>
      <c r="R29" s="767" t="s">
        <v>17</v>
      </c>
      <c r="S29" s="768" t="e">
        <f t="shared" si="9"/>
        <v>#N/A</v>
      </c>
      <c r="T29" s="767" t="s">
        <v>17</v>
      </c>
      <c r="U29" s="768" t="e">
        <f t="shared" si="10"/>
        <v>#N/A</v>
      </c>
      <c r="V29" s="767" t="s">
        <v>17</v>
      </c>
      <c r="W29" s="768" t="e">
        <f t="shared" si="11"/>
        <v>#N/A</v>
      </c>
      <c r="X29" s="1808"/>
      <c r="Y29" s="3642"/>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642"/>
      <c r="Q30" s="1805" t="str">
        <f t="shared" si="8"/>
        <v>物业等级</v>
      </c>
      <c r="R30" s="767" t="s">
        <v>17</v>
      </c>
      <c r="S30" s="768">
        <f t="shared" si="9"/>
        <v>100</v>
      </c>
      <c r="T30" s="767" t="s">
        <v>17</v>
      </c>
      <c r="U30" s="768">
        <f t="shared" si="10"/>
        <v>100</v>
      </c>
      <c r="V30" s="767" t="s">
        <v>17</v>
      </c>
      <c r="W30" s="768">
        <f t="shared" si="11"/>
        <v>100</v>
      </c>
      <c r="X30" s="1808"/>
      <c r="Y30" s="3642"/>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642"/>
      <c r="Q31" s="1790" t="str">
        <f t="shared" si="8"/>
        <v>停车位面积</v>
      </c>
      <c r="R31" s="763" t="s">
        <v>17</v>
      </c>
      <c r="S31" s="764" t="e">
        <f t="shared" si="9"/>
        <v>#N/A</v>
      </c>
      <c r="T31" s="763" t="s">
        <v>17</v>
      </c>
      <c r="U31" s="764" t="e">
        <f t="shared" si="10"/>
        <v>#N/A</v>
      </c>
      <c r="V31" s="763" t="s">
        <v>17</v>
      </c>
      <c r="W31" s="764" t="e">
        <f t="shared" si="11"/>
        <v>#N/A</v>
      </c>
      <c r="X31" s="765"/>
      <c r="Y31" s="3642"/>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642" t="s">
        <v>2567</v>
      </c>
      <c r="Q32" s="1805" t="str">
        <f t="shared" si="8"/>
        <v>车位类型</v>
      </c>
      <c r="R32" s="767" t="s">
        <v>17</v>
      </c>
      <c r="S32" s="768">
        <f t="shared" si="9"/>
        <v>100</v>
      </c>
      <c r="T32" s="767" t="s">
        <v>17</v>
      </c>
      <c r="U32" s="768">
        <f t="shared" si="10"/>
        <v>100</v>
      </c>
      <c r="V32" s="767" t="s">
        <v>17</v>
      </c>
      <c r="W32" s="768">
        <f t="shared" si="11"/>
        <v>100</v>
      </c>
      <c r="X32" s="1808"/>
      <c r="Y32" s="3642"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642"/>
      <c r="Q33" s="1805" t="str">
        <f t="shared" si="8"/>
        <v>是否直接入户</v>
      </c>
      <c r="R33" s="767" t="s">
        <v>17</v>
      </c>
      <c r="S33" s="768">
        <f t="shared" si="9"/>
        <v>100</v>
      </c>
      <c r="T33" s="767" t="s">
        <v>17</v>
      </c>
      <c r="U33" s="768">
        <f t="shared" si="10"/>
        <v>100</v>
      </c>
      <c r="V33" s="767" t="s">
        <v>17</v>
      </c>
      <c r="W33" s="768">
        <f t="shared" si="11"/>
        <v>100</v>
      </c>
      <c r="X33" s="1808"/>
      <c r="Y33" s="3642"/>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642"/>
      <c r="Q34" s="1805">
        <f t="shared" si="8"/>
        <v>111</v>
      </c>
      <c r="R34" s="767" t="s">
        <v>17</v>
      </c>
      <c r="S34" s="768">
        <f t="shared" si="9"/>
        <v>100</v>
      </c>
      <c r="T34" s="767" t="s">
        <v>17</v>
      </c>
      <c r="U34" s="768">
        <f t="shared" si="10"/>
        <v>100</v>
      </c>
      <c r="V34" s="767" t="s">
        <v>17</v>
      </c>
      <c r="W34" s="768">
        <f t="shared" si="11"/>
        <v>100</v>
      </c>
      <c r="X34" s="1808"/>
      <c r="Y34" s="3642"/>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642"/>
      <c r="Q35" s="769">
        <f t="shared" si="8"/>
        <v>111</v>
      </c>
      <c r="R35" s="770" t="s">
        <v>17</v>
      </c>
      <c r="S35" s="771">
        <f t="shared" si="9"/>
        <v>100</v>
      </c>
      <c r="T35" s="770" t="s">
        <v>17</v>
      </c>
      <c r="U35" s="771">
        <f t="shared" si="10"/>
        <v>100</v>
      </c>
      <c r="V35" s="770" t="s">
        <v>17</v>
      </c>
      <c r="W35" s="771">
        <f t="shared" si="11"/>
        <v>100</v>
      </c>
      <c r="X35" s="772"/>
      <c r="Y35" s="3642"/>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642"/>
      <c r="Q36" s="1805">
        <f t="shared" si="8"/>
        <v>111</v>
      </c>
      <c r="R36" s="767" t="s">
        <v>17</v>
      </c>
      <c r="S36" s="768">
        <f t="shared" si="9"/>
        <v>100</v>
      </c>
      <c r="T36" s="767" t="s">
        <v>17</v>
      </c>
      <c r="U36" s="768">
        <f t="shared" si="10"/>
        <v>100</v>
      </c>
      <c r="V36" s="767" t="s">
        <v>17</v>
      </c>
      <c r="W36" s="768">
        <f t="shared" si="11"/>
        <v>100</v>
      </c>
      <c r="X36" s="1808"/>
      <c r="Y36" s="3642"/>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635" t="str">
        <f>A37</f>
        <v>成交单价</v>
      </c>
      <c r="Q37" s="3635"/>
      <c r="R37" s="3636">
        <f>E37</f>
        <v>0</v>
      </c>
      <c r="S37" s="3636"/>
      <c r="T37" s="3636">
        <f>G37</f>
        <v>0</v>
      </c>
      <c r="U37" s="3636"/>
      <c r="V37" s="3636">
        <f>I37</f>
        <v>0</v>
      </c>
      <c r="W37" s="3636"/>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635" t="str">
        <f>A38</f>
        <v>比较价值（元/平方米）</v>
      </c>
      <c r="Q38" s="3635"/>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632" t="str">
        <f>A39</f>
        <v>估价对象XX用房的比较价值（楼面单价，元/平方米）</v>
      </c>
      <c r="Q39" s="3633"/>
      <c r="R39" s="3634" t="e">
        <f>IF(F1="售价",ROUND(AVERAGE(R38:V38),0),ROUND(AVERAGE(R38:V38),1))</f>
        <v>#DIV/0!</v>
      </c>
      <c r="S39" s="3634"/>
      <c r="T39" s="3634"/>
      <c r="U39" s="3634"/>
      <c r="V39" s="3634"/>
      <c r="W39" s="3634"/>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01" t="s">
        <v>2650</v>
      </c>
      <c r="AC4" s="3600" t="s">
        <v>2651</v>
      </c>
    </row>
    <row r="5" spans="1:29" ht="15">
      <c r="A5" s="399"/>
      <c r="B5" s="400"/>
      <c r="C5" s="3677" t="s">
        <v>2544</v>
      </c>
      <c r="D5" s="3612"/>
      <c r="E5" s="3676" t="s">
        <v>2545</v>
      </c>
      <c r="F5" s="3610"/>
      <c r="G5" s="3677" t="s">
        <v>2546</v>
      </c>
      <c r="H5" s="3612"/>
      <c r="I5" s="3677" t="s">
        <v>2547</v>
      </c>
      <c r="J5" s="3612"/>
      <c r="K5" s="603"/>
      <c r="L5" s="1126"/>
      <c r="M5" s="1127"/>
      <c r="N5" s="1127"/>
      <c r="O5" s="1127"/>
      <c r="P5" s="3624"/>
      <c r="Q5" s="3625"/>
      <c r="R5" s="3607"/>
      <c r="S5" s="3608"/>
      <c r="T5" s="3607"/>
      <c r="U5" s="3608"/>
      <c r="V5" s="3630"/>
      <c r="W5" s="3630"/>
      <c r="X5" s="1808"/>
      <c r="Y5" s="3607"/>
      <c r="Z5" s="3608"/>
      <c r="AA5" s="3601"/>
      <c r="AB5" s="3601"/>
      <c r="AC5" s="3601"/>
    </row>
    <row r="6" spans="1:29" ht="15.75" thickBot="1">
      <c r="A6" s="401"/>
      <c r="B6" s="402"/>
      <c r="C6" s="3678" t="s">
        <v>2548</v>
      </c>
      <c r="D6" s="3614"/>
      <c r="E6" s="3679" t="s">
        <v>2548</v>
      </c>
      <c r="F6" s="3616"/>
      <c r="G6" s="3678" t="s">
        <v>2548</v>
      </c>
      <c r="H6" s="3614"/>
      <c r="I6" s="3678" t="s">
        <v>2548</v>
      </c>
      <c r="J6" s="3614"/>
      <c r="K6" s="603" t="s">
        <v>2549</v>
      </c>
      <c r="L6" s="1126"/>
      <c r="M6" s="1127"/>
      <c r="N6" s="1127"/>
      <c r="O6" s="1127"/>
      <c r="P6" s="3626"/>
      <c r="Q6" s="3627"/>
      <c r="R6" s="3607"/>
      <c r="S6" s="3608"/>
      <c r="T6" s="3628"/>
      <c r="U6" s="3629"/>
      <c r="V6" s="3630"/>
      <c r="W6" s="3630"/>
      <c r="X6" s="1808"/>
      <c r="Y6" s="3628"/>
      <c r="Z6" s="3629"/>
      <c r="AA6" s="3602"/>
      <c r="AB6" s="3602"/>
      <c r="AC6" s="3602"/>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603" t="s">
        <v>2551</v>
      </c>
      <c r="Q7" s="3631"/>
      <c r="R7" s="763" t="s">
        <v>17</v>
      </c>
      <c r="S7" s="764">
        <f t="shared" ref="S7:S14" si="0">F7</f>
        <v>0</v>
      </c>
      <c r="T7" s="763" t="s">
        <v>17</v>
      </c>
      <c r="U7" s="764">
        <f t="shared" ref="U7:U14" si="1">H7</f>
        <v>0</v>
      </c>
      <c r="V7" s="763" t="s">
        <v>17</v>
      </c>
      <c r="W7" s="764">
        <f t="shared" ref="W7:W14" si="2">J7</f>
        <v>0</v>
      </c>
      <c r="X7" s="765"/>
      <c r="Y7" s="3603" t="s">
        <v>2551</v>
      </c>
      <c r="Z7" s="3604"/>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603" t="s">
        <v>2554</v>
      </c>
      <c r="Q8" s="3604"/>
      <c r="R8" s="763" t="s">
        <v>17</v>
      </c>
      <c r="S8" s="764">
        <f t="shared" si="0"/>
        <v>0</v>
      </c>
      <c r="T8" s="763" t="s">
        <v>17</v>
      </c>
      <c r="U8" s="764">
        <f t="shared" si="1"/>
        <v>0</v>
      </c>
      <c r="V8" s="763" t="s">
        <v>17</v>
      </c>
      <c r="W8" s="764">
        <f t="shared" si="2"/>
        <v>0</v>
      </c>
      <c r="X8" s="765"/>
      <c r="Y8" s="3603" t="s">
        <v>2554</v>
      </c>
      <c r="Z8" s="3604"/>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635" t="s">
        <v>2557</v>
      </c>
      <c r="Q9" s="1790" t="str">
        <f t="shared" ref="Q9:Q14" si="6">B9</f>
        <v>用途</v>
      </c>
      <c r="R9" s="763" t="s">
        <v>17</v>
      </c>
      <c r="S9" s="764">
        <f t="shared" si="0"/>
        <v>100</v>
      </c>
      <c r="T9" s="763" t="s">
        <v>17</v>
      </c>
      <c r="U9" s="764">
        <f t="shared" si="1"/>
        <v>100</v>
      </c>
      <c r="V9" s="763" t="s">
        <v>17</v>
      </c>
      <c r="W9" s="764">
        <f t="shared" si="2"/>
        <v>100</v>
      </c>
      <c r="X9" s="765"/>
      <c r="Y9" s="3462"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635"/>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635"/>
      <c r="Q11" s="1790">
        <f t="shared" si="6"/>
        <v>111</v>
      </c>
      <c r="R11" s="763" t="s">
        <v>17</v>
      </c>
      <c r="S11" s="764">
        <f t="shared" si="0"/>
        <v>100</v>
      </c>
      <c r="T11" s="763" t="s">
        <v>17</v>
      </c>
      <c r="U11" s="764">
        <f t="shared" si="1"/>
        <v>100</v>
      </c>
      <c r="V11" s="763" t="s">
        <v>17</v>
      </c>
      <c r="W11" s="764">
        <f t="shared" si="2"/>
        <v>100</v>
      </c>
      <c r="X11" s="765"/>
      <c r="Y11" s="3462"/>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635"/>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635"/>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637" t="s">
        <v>2562</v>
      </c>
      <c r="Q14" s="1805" t="str">
        <f t="shared" si="6"/>
        <v>交通便捷度</v>
      </c>
      <c r="R14" s="767" t="s">
        <v>17</v>
      </c>
      <c r="S14" s="768">
        <f t="shared" si="0"/>
        <v>100</v>
      </c>
      <c r="T14" s="767" t="s">
        <v>17</v>
      </c>
      <c r="U14" s="768">
        <f t="shared" si="1"/>
        <v>100</v>
      </c>
      <c r="V14" s="767" t="s">
        <v>17</v>
      </c>
      <c r="W14" s="768">
        <f t="shared" si="2"/>
        <v>100</v>
      </c>
      <c r="X14" s="1808"/>
      <c r="Y14" s="3637"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638"/>
      <c r="Q15" s="1805"/>
      <c r="R15" s="767"/>
      <c r="S15" s="768"/>
      <c r="T15" s="767"/>
      <c r="U15" s="768"/>
      <c r="V15" s="767"/>
      <c r="W15" s="768"/>
      <c r="X15" s="1808"/>
      <c r="Y15" s="3638"/>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638"/>
      <c r="Q16" s="1805" t="str">
        <f>B16</f>
        <v>公共配套设施</v>
      </c>
      <c r="R16" s="767" t="s">
        <v>17</v>
      </c>
      <c r="S16" s="768">
        <f>F16</f>
        <v>100</v>
      </c>
      <c r="T16" s="767" t="s">
        <v>17</v>
      </c>
      <c r="U16" s="768">
        <f>H16</f>
        <v>100</v>
      </c>
      <c r="V16" s="767" t="s">
        <v>17</v>
      </c>
      <c r="W16" s="768">
        <f>J16</f>
        <v>100</v>
      </c>
      <c r="X16" s="1808"/>
      <c r="Y16" s="3638"/>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638"/>
      <c r="Q17" s="1805"/>
      <c r="R17" s="767"/>
      <c r="S17" s="768"/>
      <c r="T17" s="767"/>
      <c r="U17" s="768"/>
      <c r="V17" s="767"/>
      <c r="W17" s="768"/>
      <c r="X17" s="1808"/>
      <c r="Y17" s="3638"/>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638"/>
      <c r="Q18" s="1805" t="str">
        <f>B18</f>
        <v>基础设施水平</v>
      </c>
      <c r="R18" s="767" t="s">
        <v>17</v>
      </c>
      <c r="S18" s="768">
        <f>F18</f>
        <v>100</v>
      </c>
      <c r="T18" s="767" t="s">
        <v>17</v>
      </c>
      <c r="U18" s="768">
        <f>H18</f>
        <v>100</v>
      </c>
      <c r="V18" s="767" t="s">
        <v>17</v>
      </c>
      <c r="W18" s="768">
        <f>J18</f>
        <v>100</v>
      </c>
      <c r="X18" s="1808"/>
      <c r="Y18" s="3638"/>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638"/>
      <c r="Q19" s="1805"/>
      <c r="R19" s="767"/>
      <c r="S19" s="768"/>
      <c r="T19" s="767"/>
      <c r="U19" s="768"/>
      <c r="V19" s="767"/>
      <c r="W19" s="768"/>
      <c r="X19" s="1808"/>
      <c r="Y19" s="3638"/>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638"/>
      <c r="Q20" s="1805" t="str">
        <f>B20</f>
        <v>自然及人文环境</v>
      </c>
      <c r="R20" s="767" t="s">
        <v>17</v>
      </c>
      <c r="S20" s="768">
        <f>F20</f>
        <v>100</v>
      </c>
      <c r="T20" s="767" t="s">
        <v>17</v>
      </c>
      <c r="U20" s="768">
        <f>H20</f>
        <v>100</v>
      </c>
      <c r="V20" s="767" t="s">
        <v>17</v>
      </c>
      <c r="W20" s="768">
        <f>J20</f>
        <v>100</v>
      </c>
      <c r="X20" s="1808"/>
      <c r="Y20" s="3638"/>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638"/>
      <c r="Q21" s="1805"/>
      <c r="R21" s="767"/>
      <c r="S21" s="768"/>
      <c r="T21" s="767"/>
      <c r="U21" s="768"/>
      <c r="V21" s="767"/>
      <c r="W21" s="768"/>
      <c r="X21" s="1808"/>
      <c r="Y21" s="3638"/>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638"/>
      <c r="Q22" s="1805" t="str">
        <f>B22</f>
        <v>楼层</v>
      </c>
      <c r="R22" s="767" t="s">
        <v>17</v>
      </c>
      <c r="S22" s="768">
        <f>F22</f>
        <v>100</v>
      </c>
      <c r="T22" s="767" t="s">
        <v>17</v>
      </c>
      <c r="U22" s="768">
        <f>H22</f>
        <v>100</v>
      </c>
      <c r="V22" s="767" t="s">
        <v>17</v>
      </c>
      <c r="W22" s="768">
        <f>J22</f>
        <v>100</v>
      </c>
      <c r="X22" s="1808"/>
      <c r="Y22" s="3638"/>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638"/>
      <c r="Q23" s="1805">
        <f>B23</f>
        <v>111</v>
      </c>
      <c r="R23" s="767" t="s">
        <v>17</v>
      </c>
      <c r="S23" s="768">
        <f>F23</f>
        <v>100</v>
      </c>
      <c r="T23" s="767" t="s">
        <v>17</v>
      </c>
      <c r="U23" s="768">
        <f>H23</f>
        <v>100</v>
      </c>
      <c r="V23" s="767" t="s">
        <v>17</v>
      </c>
      <c r="W23" s="768">
        <f>J23</f>
        <v>100</v>
      </c>
      <c r="X23" s="1808"/>
      <c r="Y23" s="3638"/>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638"/>
      <c r="Q24" s="1805">
        <f t="shared" ref="Q24:Q34" si="8">B24</f>
        <v>111</v>
      </c>
      <c r="R24" s="767" t="s">
        <v>17</v>
      </c>
      <c r="S24" s="768">
        <f>F24</f>
        <v>100</v>
      </c>
      <c r="T24" s="767" t="s">
        <v>17</v>
      </c>
      <c r="U24" s="768">
        <f>H24</f>
        <v>100</v>
      </c>
      <c r="V24" s="767" t="s">
        <v>17</v>
      </c>
      <c r="W24" s="768">
        <f>J24</f>
        <v>100</v>
      </c>
      <c r="X24" s="1808"/>
      <c r="Y24" s="3638"/>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638"/>
      <c r="Q25" s="1790">
        <f t="shared" si="8"/>
        <v>111</v>
      </c>
      <c r="R25" s="763" t="s">
        <v>17</v>
      </c>
      <c r="S25" s="764">
        <f>F25</f>
        <v>100</v>
      </c>
      <c r="T25" s="763" t="s">
        <v>17</v>
      </c>
      <c r="U25" s="764">
        <f>H25</f>
        <v>100</v>
      </c>
      <c r="V25" s="763" t="s">
        <v>17</v>
      </c>
      <c r="W25" s="764">
        <f>J25</f>
        <v>100</v>
      </c>
      <c r="X25" s="765"/>
      <c r="Y25" s="3638"/>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695"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642"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642"/>
      <c r="Q27" s="769" t="str">
        <f t="shared" si="8"/>
        <v>成新率</v>
      </c>
      <c r="R27" s="770" t="s">
        <v>17</v>
      </c>
      <c r="S27" s="771" t="e">
        <f t="shared" si="9"/>
        <v>#N/A</v>
      </c>
      <c r="T27" s="770" t="s">
        <v>17</v>
      </c>
      <c r="U27" s="771" t="e">
        <f t="shared" si="10"/>
        <v>#N/A</v>
      </c>
      <c r="V27" s="770" t="s">
        <v>17</v>
      </c>
      <c r="W27" s="771" t="e">
        <f t="shared" si="11"/>
        <v>#N/A</v>
      </c>
      <c r="X27" s="772"/>
      <c r="Y27" s="3642"/>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642"/>
      <c r="Q28" s="1805" t="str">
        <f t="shared" si="8"/>
        <v>物业等级</v>
      </c>
      <c r="R28" s="767" t="s">
        <v>17</v>
      </c>
      <c r="S28" s="768">
        <f t="shared" si="9"/>
        <v>100</v>
      </c>
      <c r="T28" s="767" t="s">
        <v>17</v>
      </c>
      <c r="U28" s="768">
        <f t="shared" si="10"/>
        <v>100</v>
      </c>
      <c r="V28" s="767" t="s">
        <v>17</v>
      </c>
      <c r="W28" s="768">
        <f t="shared" si="11"/>
        <v>100</v>
      </c>
      <c r="X28" s="1808"/>
      <c r="Y28" s="3642"/>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642"/>
      <c r="Q29" s="1805" t="str">
        <f t="shared" si="8"/>
        <v>有无电梯</v>
      </c>
      <c r="R29" s="767" t="s">
        <v>17</v>
      </c>
      <c r="S29" s="768">
        <f t="shared" si="9"/>
        <v>100</v>
      </c>
      <c r="T29" s="767" t="s">
        <v>17</v>
      </c>
      <c r="U29" s="768">
        <f t="shared" si="10"/>
        <v>100</v>
      </c>
      <c r="V29" s="767" t="s">
        <v>17</v>
      </c>
      <c r="W29" s="768">
        <f t="shared" si="11"/>
        <v>100</v>
      </c>
      <c r="X29" s="1808"/>
      <c r="Y29" s="3642"/>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642"/>
      <c r="Q30" s="1805" t="str">
        <f t="shared" si="8"/>
        <v>建筑面积</v>
      </c>
      <c r="R30" s="767" t="s">
        <v>17</v>
      </c>
      <c r="S30" s="768" t="e">
        <f t="shared" si="9"/>
        <v>#N/A</v>
      </c>
      <c r="T30" s="767" t="s">
        <v>17</v>
      </c>
      <c r="U30" s="768" t="e">
        <f t="shared" si="10"/>
        <v>#N/A</v>
      </c>
      <c r="V30" s="767" t="s">
        <v>17</v>
      </c>
      <c r="W30" s="768" t="e">
        <f t="shared" si="11"/>
        <v>#N/A</v>
      </c>
      <c r="X30" s="1808"/>
      <c r="Y30" s="3642"/>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642"/>
      <c r="Q31" s="1790" t="str">
        <f t="shared" si="8"/>
        <v>是否封闭</v>
      </c>
      <c r="R31" s="763" t="s">
        <v>17</v>
      </c>
      <c r="S31" s="764">
        <f t="shared" si="9"/>
        <v>100</v>
      </c>
      <c r="T31" s="763" t="s">
        <v>17</v>
      </c>
      <c r="U31" s="764">
        <f t="shared" si="10"/>
        <v>100</v>
      </c>
      <c r="V31" s="763" t="s">
        <v>17</v>
      </c>
      <c r="W31" s="764">
        <f t="shared" si="11"/>
        <v>100</v>
      </c>
      <c r="X31" s="765"/>
      <c r="Y31" s="3642"/>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642" t="s">
        <v>2567</v>
      </c>
      <c r="Q32" s="1805">
        <f t="shared" si="8"/>
        <v>111</v>
      </c>
      <c r="R32" s="767" t="s">
        <v>17</v>
      </c>
      <c r="S32" s="768">
        <f t="shared" si="9"/>
        <v>100</v>
      </c>
      <c r="T32" s="767" t="s">
        <v>17</v>
      </c>
      <c r="U32" s="768">
        <f t="shared" si="10"/>
        <v>100</v>
      </c>
      <c r="V32" s="767" t="s">
        <v>17</v>
      </c>
      <c r="W32" s="768">
        <f t="shared" si="11"/>
        <v>100</v>
      </c>
      <c r="X32" s="1808"/>
      <c r="Y32" s="3642"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642"/>
      <c r="Q33" s="1805">
        <f t="shared" si="8"/>
        <v>111</v>
      </c>
      <c r="R33" s="767" t="s">
        <v>17</v>
      </c>
      <c r="S33" s="768">
        <f t="shared" si="9"/>
        <v>100</v>
      </c>
      <c r="T33" s="767" t="s">
        <v>17</v>
      </c>
      <c r="U33" s="768">
        <f t="shared" si="10"/>
        <v>100</v>
      </c>
      <c r="V33" s="767" t="s">
        <v>17</v>
      </c>
      <c r="W33" s="768">
        <f t="shared" si="11"/>
        <v>100</v>
      </c>
      <c r="X33" s="1808"/>
      <c r="Y33" s="3642"/>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642"/>
      <c r="Q34" s="1805">
        <f t="shared" si="8"/>
        <v>111</v>
      </c>
      <c r="R34" s="767" t="s">
        <v>17</v>
      </c>
      <c r="S34" s="768">
        <f t="shared" si="9"/>
        <v>100</v>
      </c>
      <c r="T34" s="767" t="s">
        <v>17</v>
      </c>
      <c r="U34" s="768">
        <f t="shared" si="10"/>
        <v>100</v>
      </c>
      <c r="V34" s="767" t="s">
        <v>17</v>
      </c>
      <c r="W34" s="768">
        <f t="shared" si="11"/>
        <v>100</v>
      </c>
      <c r="X34" s="1808"/>
      <c r="Y34" s="3642"/>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635" t="str">
        <f>A35</f>
        <v>成交单价（元/平方米）</v>
      </c>
      <c r="Q35" s="3635"/>
      <c r="R35" s="3636">
        <f>E35</f>
        <v>0</v>
      </c>
      <c r="S35" s="3636"/>
      <c r="T35" s="3636">
        <f>G35</f>
        <v>0</v>
      </c>
      <c r="U35" s="3636"/>
      <c r="V35" s="3636">
        <f>I35</f>
        <v>0</v>
      </c>
      <c r="W35" s="3636"/>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635" t="str">
        <f>A36</f>
        <v>比较价值（元/平方米）</v>
      </c>
      <c r="Q36" s="3635"/>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632" t="str">
        <f>A37</f>
        <v>估价对象XX用房的比较价值（楼面单价，元/平方米）</v>
      </c>
      <c r="Q37" s="3633"/>
      <c r="R37" s="3634" t="e">
        <f>IF(F1="售价",ROUND(AVERAGE(R36:V36),0),ROUND(AVERAGE(R36:V36),1))</f>
        <v>#DIV/0!</v>
      </c>
      <c r="S37" s="3634"/>
      <c r="T37" s="3634"/>
      <c r="U37" s="3634"/>
      <c r="V37" s="3634"/>
      <c r="W37" s="3634"/>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704" t="s">
        <v>2538</v>
      </c>
      <c r="D4" s="3705"/>
      <c r="E4" s="3706" t="s">
        <v>2539</v>
      </c>
      <c r="F4" s="3707"/>
      <c r="G4" s="3704" t="s">
        <v>2540</v>
      </c>
      <c r="H4" s="3705"/>
      <c r="I4" s="3704" t="s">
        <v>2541</v>
      </c>
      <c r="J4" s="3705"/>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01" t="s">
        <v>2650</v>
      </c>
      <c r="AC4" s="3600" t="s">
        <v>2651</v>
      </c>
    </row>
    <row r="5" spans="1:30" ht="54.75" customHeight="1">
      <c r="A5" s="2992"/>
      <c r="B5" s="2993"/>
      <c r="C5" s="3698" t="s">
        <v>3229</v>
      </c>
      <c r="D5" s="3699"/>
      <c r="E5" s="3696" t="str">
        <f>土地案例!H3</f>
        <v>大兴开发区北区1号地A、B组团土地一级开发项目DX00-0301-0029、0030、0039、0040、0146地块</v>
      </c>
      <c r="F5" s="3697"/>
      <c r="G5" s="3698" t="str">
        <f>土地案例!H4</f>
        <v>大兴区地铁亦庄线旧宫东站项目JG01-24等地块</v>
      </c>
      <c r="H5" s="3699"/>
      <c r="I5" s="3698" t="str">
        <f>土地案例!H7</f>
        <v>大兴区瀛海镇西区C1-C5土地一级开发项目YZ00-0803-6024、6025、6027、6028等地块</v>
      </c>
      <c r="J5" s="3699"/>
      <c r="K5" s="603"/>
      <c r="L5" s="1126"/>
      <c r="M5" s="1127"/>
      <c r="N5" s="1127"/>
      <c r="O5" s="1127"/>
      <c r="P5" s="3624"/>
      <c r="Q5" s="3625"/>
      <c r="R5" s="3607"/>
      <c r="S5" s="3608"/>
      <c r="T5" s="3607"/>
      <c r="U5" s="3608"/>
      <c r="V5" s="3630"/>
      <c r="W5" s="3630"/>
      <c r="X5" s="1808"/>
      <c r="Y5" s="3607"/>
      <c r="Z5" s="3608"/>
      <c r="AA5" s="3601"/>
      <c r="AB5" s="3601"/>
      <c r="AC5" s="3601"/>
    </row>
    <row r="6" spans="1:30" ht="15.75" thickBot="1">
      <c r="A6" s="2994"/>
      <c r="B6" s="2995"/>
      <c r="C6" s="3700"/>
      <c r="D6" s="3701"/>
      <c r="E6" s="3702"/>
      <c r="F6" s="3703"/>
      <c r="G6" s="3702"/>
      <c r="H6" s="3703"/>
      <c r="I6" s="3700"/>
      <c r="J6" s="3701"/>
      <c r="K6" s="603" t="s">
        <v>2549</v>
      </c>
      <c r="L6" s="1126"/>
      <c r="M6" s="1127"/>
      <c r="N6" s="1127"/>
      <c r="O6" s="1127"/>
      <c r="P6" s="3626"/>
      <c r="Q6" s="3627"/>
      <c r="R6" s="3607"/>
      <c r="S6" s="3608"/>
      <c r="T6" s="3628"/>
      <c r="U6" s="3629"/>
      <c r="V6" s="3630"/>
      <c r="W6" s="3630"/>
      <c r="X6" s="1808"/>
      <c r="Y6" s="3628"/>
      <c r="Z6" s="3629"/>
      <c r="AA6" s="3602"/>
      <c r="AB6" s="3602"/>
      <c r="AC6" s="3602"/>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603" t="s">
        <v>2551</v>
      </c>
      <c r="Q7" s="3631"/>
      <c r="R7" s="763" t="s">
        <v>17</v>
      </c>
      <c r="S7" s="764">
        <f t="shared" ref="S7:S15" si="0">F7</f>
        <v>0</v>
      </c>
      <c r="T7" s="763" t="s">
        <v>17</v>
      </c>
      <c r="U7" s="764">
        <f t="shared" ref="U7:U15" si="1">H7</f>
        <v>0</v>
      </c>
      <c r="V7" s="763" t="s">
        <v>17</v>
      </c>
      <c r="W7" s="764">
        <f t="shared" ref="W7:W15" si="2">J7</f>
        <v>0</v>
      </c>
      <c r="X7" s="765"/>
      <c r="Y7" s="3603" t="s">
        <v>2551</v>
      </c>
      <c r="Z7" s="3604"/>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603" t="s">
        <v>2554</v>
      </c>
      <c r="Q8" s="3604"/>
      <c r="R8" s="763" t="s">
        <v>17</v>
      </c>
      <c r="S8" s="764">
        <f t="shared" si="0"/>
        <v>100</v>
      </c>
      <c r="T8" s="763" t="s">
        <v>17</v>
      </c>
      <c r="U8" s="764">
        <f t="shared" si="1"/>
        <v>100</v>
      </c>
      <c r="V8" s="763" t="s">
        <v>17</v>
      </c>
      <c r="W8" s="764">
        <f t="shared" si="2"/>
        <v>100</v>
      </c>
      <c r="X8" s="765"/>
      <c r="Y8" s="3603" t="s">
        <v>2554</v>
      </c>
      <c r="Z8" s="3604"/>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635"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635"/>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635"/>
      <c r="Q11" s="1790" t="str">
        <f t="shared" si="6"/>
        <v>容积率</v>
      </c>
      <c r="R11" s="763" t="s">
        <v>17</v>
      </c>
      <c r="S11" s="764">
        <f t="shared" si="0"/>
        <v>100</v>
      </c>
      <c r="T11" s="763" t="s">
        <v>17</v>
      </c>
      <c r="U11" s="764">
        <f t="shared" si="1"/>
        <v>100</v>
      </c>
      <c r="V11" s="763" t="s">
        <v>17</v>
      </c>
      <c r="W11" s="764">
        <f t="shared" si="2"/>
        <v>100</v>
      </c>
      <c r="X11" s="765"/>
      <c r="Y11" s="3462"/>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35"/>
      <c r="Q12" s="1790" t="str">
        <f t="shared" si="6"/>
        <v>土地受让方</v>
      </c>
      <c r="R12" s="763" t="s">
        <v>17</v>
      </c>
      <c r="S12" s="764">
        <f t="shared" si="0"/>
        <v>100</v>
      </c>
      <c r="T12" s="763" t="s">
        <v>17</v>
      </c>
      <c r="U12" s="764">
        <f t="shared" si="1"/>
        <v>100</v>
      </c>
      <c r="V12" s="763" t="s">
        <v>17</v>
      </c>
      <c r="W12" s="764">
        <f t="shared" si="2"/>
        <v>100</v>
      </c>
      <c r="X12" s="765"/>
      <c r="Y12" s="3462"/>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635"/>
      <c r="Q13" s="1790">
        <f t="shared" si="6"/>
        <v>111</v>
      </c>
      <c r="R13" s="763" t="s">
        <v>17</v>
      </c>
      <c r="S13" s="764">
        <f t="shared" si="0"/>
        <v>100</v>
      </c>
      <c r="T13" s="763" t="s">
        <v>17</v>
      </c>
      <c r="U13" s="764">
        <f t="shared" si="1"/>
        <v>100</v>
      </c>
      <c r="V13" s="763" t="s">
        <v>17</v>
      </c>
      <c r="W13" s="764">
        <f t="shared" si="2"/>
        <v>100</v>
      </c>
      <c r="X13" s="765"/>
      <c r="Y13" s="3462"/>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635"/>
      <c r="Q14" s="1790">
        <f t="shared" si="6"/>
        <v>111</v>
      </c>
      <c r="R14" s="763" t="s">
        <v>17</v>
      </c>
      <c r="S14" s="764">
        <f t="shared" si="0"/>
        <v>100</v>
      </c>
      <c r="T14" s="763" t="s">
        <v>17</v>
      </c>
      <c r="U14" s="764">
        <f t="shared" si="1"/>
        <v>100</v>
      </c>
      <c r="V14" s="763" t="s">
        <v>17</v>
      </c>
      <c r="W14" s="764">
        <f t="shared" si="2"/>
        <v>100</v>
      </c>
      <c r="X14" s="765"/>
      <c r="Y14" s="3462"/>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637" t="s">
        <v>2562</v>
      </c>
      <c r="Q15" s="1805" t="str">
        <f t="shared" si="6"/>
        <v>居住社区成熟度</v>
      </c>
      <c r="R15" s="767" t="s">
        <v>17</v>
      </c>
      <c r="S15" s="768">
        <f t="shared" si="0"/>
        <v>103</v>
      </c>
      <c r="T15" s="767" t="s">
        <v>17</v>
      </c>
      <c r="U15" s="768">
        <f t="shared" si="1"/>
        <v>106</v>
      </c>
      <c r="V15" s="767" t="s">
        <v>17</v>
      </c>
      <c r="W15" s="768">
        <f t="shared" si="2"/>
        <v>100</v>
      </c>
      <c r="X15" s="1808"/>
      <c r="Y15" s="3637"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638"/>
      <c r="Q16" s="1805"/>
      <c r="R16" s="767"/>
      <c r="S16" s="768"/>
      <c r="T16" s="767"/>
      <c r="U16" s="768"/>
      <c r="V16" s="767"/>
      <c r="W16" s="768"/>
      <c r="X16" s="1808"/>
      <c r="Y16" s="3638"/>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638"/>
      <c r="Q17" s="1805" t="str">
        <f>B17</f>
        <v>商业繁华度</v>
      </c>
      <c r="R17" s="767" t="s">
        <v>17</v>
      </c>
      <c r="S17" s="768">
        <f>F17</f>
        <v>100</v>
      </c>
      <c r="T17" s="767" t="s">
        <v>17</v>
      </c>
      <c r="U17" s="768">
        <f>H17</f>
        <v>100</v>
      </c>
      <c r="V17" s="767" t="s">
        <v>17</v>
      </c>
      <c r="W17" s="768">
        <f>J17</f>
        <v>100</v>
      </c>
      <c r="X17" s="1808"/>
      <c r="Y17" s="3638"/>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638"/>
      <c r="Q18" s="1805"/>
      <c r="R18" s="767"/>
      <c r="S18" s="768"/>
      <c r="T18" s="767"/>
      <c r="U18" s="768"/>
      <c r="V18" s="767"/>
      <c r="W18" s="768"/>
      <c r="X18" s="1808"/>
      <c r="Y18" s="3638"/>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638"/>
      <c r="Q19" s="1805" t="str">
        <f>B19</f>
        <v>办公集聚程度</v>
      </c>
      <c r="R19" s="767" t="s">
        <v>17</v>
      </c>
      <c r="S19" s="768">
        <f>F19</f>
        <v>100</v>
      </c>
      <c r="T19" s="767" t="s">
        <v>17</v>
      </c>
      <c r="U19" s="768">
        <f>H19</f>
        <v>100</v>
      </c>
      <c r="V19" s="767" t="s">
        <v>17</v>
      </c>
      <c r="W19" s="768">
        <f>J19</f>
        <v>100</v>
      </c>
      <c r="X19" s="1808"/>
      <c r="Y19" s="3638"/>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638"/>
      <c r="Q20" s="1805"/>
      <c r="R20" s="767"/>
      <c r="S20" s="768"/>
      <c r="T20" s="767"/>
      <c r="U20" s="768"/>
      <c r="V20" s="767"/>
      <c r="W20" s="768"/>
      <c r="X20" s="1808"/>
      <c r="Y20" s="3638"/>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638"/>
      <c r="Q21" s="1805" t="str">
        <f>B21</f>
        <v>交通便捷度</v>
      </c>
      <c r="R21" s="767" t="s">
        <v>17</v>
      </c>
      <c r="S21" s="768">
        <f>F21</f>
        <v>100</v>
      </c>
      <c r="T21" s="767" t="s">
        <v>17</v>
      </c>
      <c r="U21" s="768">
        <f>H21</f>
        <v>100</v>
      </c>
      <c r="V21" s="767" t="s">
        <v>17</v>
      </c>
      <c r="W21" s="768">
        <f>J21</f>
        <v>100</v>
      </c>
      <c r="X21" s="1808"/>
      <c r="Y21" s="3638"/>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638"/>
      <c r="Q22" s="1805"/>
      <c r="R22" s="767"/>
      <c r="S22" s="768"/>
      <c r="T22" s="767"/>
      <c r="U22" s="768"/>
      <c r="V22" s="767"/>
      <c r="W22" s="768"/>
      <c r="X22" s="1808"/>
      <c r="Y22" s="3638"/>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638"/>
      <c r="Q23" s="1805" t="str">
        <f t="shared" ref="Q23:Q37" si="8">B23</f>
        <v>区域土地利用方向</v>
      </c>
      <c r="R23" s="767" t="s">
        <v>17</v>
      </c>
      <c r="S23" s="768">
        <f>F23</f>
        <v>100</v>
      </c>
      <c r="T23" s="767" t="s">
        <v>17</v>
      </c>
      <c r="U23" s="768">
        <f>H23</f>
        <v>100</v>
      </c>
      <c r="V23" s="767" t="s">
        <v>17</v>
      </c>
      <c r="W23" s="768">
        <f>J23</f>
        <v>100</v>
      </c>
      <c r="X23" s="1808"/>
      <c r="Y23" s="3638"/>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638"/>
      <c r="Q24" s="1805"/>
      <c r="R24" s="767"/>
      <c r="S24" s="768"/>
      <c r="T24" s="767"/>
      <c r="U24" s="768"/>
      <c r="V24" s="767"/>
      <c r="W24" s="768"/>
      <c r="X24" s="1808"/>
      <c r="Y24" s="3638"/>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638"/>
      <c r="Q25" s="1805" t="str">
        <f t="shared" si="8"/>
        <v>自然及人文环境状况</v>
      </c>
      <c r="R25" s="767" t="s">
        <v>17</v>
      </c>
      <c r="S25" s="768">
        <f>F25</f>
        <v>100</v>
      </c>
      <c r="T25" s="767" t="s">
        <v>17</v>
      </c>
      <c r="U25" s="768">
        <f>H25</f>
        <v>100</v>
      </c>
      <c r="V25" s="767" t="s">
        <v>17</v>
      </c>
      <c r="W25" s="768">
        <f>J25</f>
        <v>100</v>
      </c>
      <c r="X25" s="1808"/>
      <c r="Y25" s="3638"/>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638"/>
      <c r="Q26" s="1805"/>
      <c r="R26" s="767"/>
      <c r="S26" s="768"/>
      <c r="T26" s="767"/>
      <c r="U26" s="768"/>
      <c r="V26" s="767"/>
      <c r="W26" s="768"/>
      <c r="X26" s="1808"/>
      <c r="Y26" s="3638"/>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638"/>
      <c r="Q27" s="1790" t="str">
        <f t="shared" si="8"/>
        <v>公共配套设施</v>
      </c>
      <c r="R27" s="763" t="s">
        <v>17</v>
      </c>
      <c r="S27" s="764">
        <f>F27</f>
        <v>101</v>
      </c>
      <c r="T27" s="763" t="s">
        <v>17</v>
      </c>
      <c r="U27" s="764">
        <f>H27</f>
        <v>102</v>
      </c>
      <c r="V27" s="763" t="s">
        <v>17</v>
      </c>
      <c r="W27" s="764">
        <f>J27</f>
        <v>100</v>
      </c>
      <c r="X27" s="765"/>
      <c r="Y27" s="3638"/>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638"/>
      <c r="Q28" s="1790"/>
      <c r="R28" s="763"/>
      <c r="S28" s="764"/>
      <c r="T28" s="763"/>
      <c r="U28" s="764"/>
      <c r="V28" s="763"/>
      <c r="W28" s="764"/>
      <c r="X28" s="765"/>
      <c r="Y28" s="3638"/>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38"/>
      <c r="Q29" s="1790" t="str">
        <f>B29</f>
        <v>基础设施水平</v>
      </c>
      <c r="R29" s="763" t="s">
        <v>17</v>
      </c>
      <c r="S29" s="764">
        <f>F29</f>
        <v>100</v>
      </c>
      <c r="T29" s="763" t="s">
        <v>17</v>
      </c>
      <c r="U29" s="764">
        <f>H29</f>
        <v>100</v>
      </c>
      <c r="V29" s="763" t="s">
        <v>17</v>
      </c>
      <c r="W29" s="764">
        <f>J29</f>
        <v>100</v>
      </c>
      <c r="X29" s="765"/>
      <c r="Y29" s="3638"/>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638"/>
      <c r="Q30" s="1790"/>
      <c r="R30" s="763"/>
      <c r="S30" s="764"/>
      <c r="T30" s="763"/>
      <c r="U30" s="764"/>
      <c r="V30" s="763"/>
      <c r="W30" s="764"/>
      <c r="X30" s="765"/>
      <c r="Y30" s="3638"/>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38"/>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638"/>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638"/>
      <c r="Q32" s="1805" t="str">
        <f t="shared" si="8"/>
        <v>毗邻道路的类型与等级</v>
      </c>
      <c r="R32" s="767" t="s">
        <v>17</v>
      </c>
      <c r="S32" s="768">
        <f t="shared" si="9"/>
        <v>100</v>
      </c>
      <c r="T32" s="767" t="s">
        <v>17</v>
      </c>
      <c r="U32" s="768">
        <f t="shared" si="10"/>
        <v>94</v>
      </c>
      <c r="V32" s="767" t="s">
        <v>17</v>
      </c>
      <c r="W32" s="768">
        <f t="shared" si="11"/>
        <v>100</v>
      </c>
      <c r="X32" s="1808"/>
      <c r="Y32" s="3638"/>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638"/>
      <c r="Q33" s="1805"/>
      <c r="R33" s="767"/>
      <c r="S33" s="768"/>
      <c r="T33" s="767"/>
      <c r="U33" s="768"/>
      <c r="V33" s="767"/>
      <c r="W33" s="768"/>
      <c r="X33" s="1808"/>
      <c r="Y33" s="3638"/>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38"/>
      <c r="Q34" s="1805" t="str">
        <f t="shared" si="8"/>
        <v>土地级别</v>
      </c>
      <c r="R34" s="767" t="s">
        <v>17</v>
      </c>
      <c r="S34" s="768">
        <f t="shared" si="9"/>
        <v>100</v>
      </c>
      <c r="T34" s="767" t="s">
        <v>17</v>
      </c>
      <c r="U34" s="768">
        <f t="shared" si="10"/>
        <v>100</v>
      </c>
      <c r="V34" s="767" t="s">
        <v>17</v>
      </c>
      <c r="W34" s="768">
        <f t="shared" si="11"/>
        <v>100</v>
      </c>
      <c r="X34" s="1808"/>
      <c r="Y34" s="3638"/>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38"/>
      <c r="Q35" s="1805">
        <f t="shared" si="8"/>
        <v>111</v>
      </c>
      <c r="R35" s="767" t="s">
        <v>17</v>
      </c>
      <c r="S35" s="768">
        <f t="shared" si="9"/>
        <v>100</v>
      </c>
      <c r="T35" s="767" t="s">
        <v>17</v>
      </c>
      <c r="U35" s="768">
        <f t="shared" si="10"/>
        <v>100</v>
      </c>
      <c r="V35" s="767" t="s">
        <v>17</v>
      </c>
      <c r="W35" s="768">
        <f t="shared" si="11"/>
        <v>100</v>
      </c>
      <c r="X35" s="1808"/>
      <c r="Y35" s="3638"/>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5" t="s">
        <v>2567</v>
      </c>
      <c r="Q36" s="1805">
        <f t="shared" si="8"/>
        <v>111</v>
      </c>
      <c r="R36" s="767" t="s">
        <v>17</v>
      </c>
      <c r="S36" s="768">
        <f t="shared" si="9"/>
        <v>100</v>
      </c>
      <c r="T36" s="767" t="s">
        <v>17</v>
      </c>
      <c r="U36" s="768">
        <f t="shared" si="10"/>
        <v>100</v>
      </c>
      <c r="V36" s="767" t="s">
        <v>17</v>
      </c>
      <c r="W36" s="768">
        <f t="shared" si="11"/>
        <v>100</v>
      </c>
      <c r="X36" s="1808"/>
      <c r="Y36" s="3642"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42"/>
      <c r="Q37" s="1805">
        <f t="shared" si="8"/>
        <v>111</v>
      </c>
      <c r="R37" s="770" t="s">
        <v>17</v>
      </c>
      <c r="S37" s="771">
        <f t="shared" si="9"/>
        <v>100</v>
      </c>
      <c r="T37" s="770" t="s">
        <v>17</v>
      </c>
      <c r="U37" s="771">
        <f t="shared" si="10"/>
        <v>100</v>
      </c>
      <c r="V37" s="770" t="s">
        <v>17</v>
      </c>
      <c r="W37" s="771">
        <f t="shared" si="11"/>
        <v>100</v>
      </c>
      <c r="X37" s="772"/>
      <c r="Y37" s="3642"/>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642"/>
      <c r="Q38" s="1805" t="str">
        <f>B38</f>
        <v>宗地面积</v>
      </c>
      <c r="R38" s="767" t="s">
        <v>17</v>
      </c>
      <c r="S38" s="768" t="e">
        <f t="shared" si="9"/>
        <v>#REF!</v>
      </c>
      <c r="T38" s="767" t="s">
        <v>17</v>
      </c>
      <c r="U38" s="768" t="e">
        <f t="shared" si="10"/>
        <v>#REF!</v>
      </c>
      <c r="V38" s="767" t="s">
        <v>17</v>
      </c>
      <c r="W38" s="768" t="e">
        <f t="shared" si="11"/>
        <v>#REF!</v>
      </c>
      <c r="X38" s="1808"/>
      <c r="Y38" s="3642"/>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642"/>
      <c r="Q39" s="1805" t="str">
        <f t="shared" ref="Q39:Q45" si="13">B39</f>
        <v>宗地形状</v>
      </c>
      <c r="R39" s="767" t="s">
        <v>17</v>
      </c>
      <c r="S39" s="768">
        <f t="shared" si="9"/>
        <v>98</v>
      </c>
      <c r="T39" s="767" t="s">
        <v>17</v>
      </c>
      <c r="U39" s="768">
        <f t="shared" si="10"/>
        <v>100</v>
      </c>
      <c r="V39" s="767" t="s">
        <v>17</v>
      </c>
      <c r="W39" s="768">
        <f t="shared" si="11"/>
        <v>100</v>
      </c>
      <c r="X39" s="1808"/>
      <c r="Y39" s="3642"/>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642"/>
      <c r="Q40" s="1805" t="str">
        <f t="shared" si="13"/>
        <v>临街宽度及深度</v>
      </c>
      <c r="R40" s="767" t="s">
        <v>17</v>
      </c>
      <c r="S40" s="768">
        <f t="shared" si="9"/>
        <v>100</v>
      </c>
      <c r="T40" s="767" t="s">
        <v>17</v>
      </c>
      <c r="U40" s="768">
        <f t="shared" si="10"/>
        <v>100</v>
      </c>
      <c r="V40" s="767" t="s">
        <v>17</v>
      </c>
      <c r="W40" s="768">
        <f t="shared" si="11"/>
        <v>100</v>
      </c>
      <c r="X40" s="1808"/>
      <c r="Y40" s="3642"/>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642"/>
      <c r="Q41" s="1805" t="str">
        <f t="shared" si="13"/>
        <v>宗地开发程度</v>
      </c>
      <c r="R41" s="763" t="s">
        <v>17</v>
      </c>
      <c r="S41" s="764">
        <f t="shared" si="9"/>
        <v>103</v>
      </c>
      <c r="T41" s="763" t="s">
        <v>17</v>
      </c>
      <c r="U41" s="764">
        <f t="shared" si="10"/>
        <v>103</v>
      </c>
      <c r="V41" s="763" t="s">
        <v>17</v>
      </c>
      <c r="W41" s="764">
        <f t="shared" si="11"/>
        <v>105</v>
      </c>
      <c r="X41" s="765"/>
      <c r="Y41" s="3642"/>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42" t="s">
        <v>2567</v>
      </c>
      <c r="Q42" s="1805" t="str">
        <f t="shared" si="13"/>
        <v>工程地质条件</v>
      </c>
      <c r="R42" s="767" t="s">
        <v>17</v>
      </c>
      <c r="S42" s="768">
        <f t="shared" si="9"/>
        <v>100</v>
      </c>
      <c r="T42" s="767" t="s">
        <v>17</v>
      </c>
      <c r="U42" s="768">
        <f t="shared" si="10"/>
        <v>100</v>
      </c>
      <c r="V42" s="767" t="s">
        <v>17</v>
      </c>
      <c r="W42" s="768">
        <f t="shared" si="11"/>
        <v>100</v>
      </c>
      <c r="X42" s="1808"/>
      <c r="Y42" s="3642"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42"/>
      <c r="Q43" s="1805" t="str">
        <f t="shared" si="13"/>
        <v>宗地规划限制</v>
      </c>
      <c r="R43" s="767" t="s">
        <v>17</v>
      </c>
      <c r="S43" s="768">
        <f t="shared" si="9"/>
        <v>100</v>
      </c>
      <c r="T43" s="767" t="s">
        <v>17</v>
      </c>
      <c r="U43" s="768">
        <f t="shared" si="10"/>
        <v>100</v>
      </c>
      <c r="V43" s="767" t="s">
        <v>17</v>
      </c>
      <c r="W43" s="768">
        <f t="shared" si="11"/>
        <v>100</v>
      </c>
      <c r="X43" s="1808"/>
      <c r="Y43" s="3642"/>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42"/>
      <c r="Q44" s="1805">
        <f t="shared" si="13"/>
        <v>111</v>
      </c>
      <c r="R44" s="767" t="s">
        <v>17</v>
      </c>
      <c r="S44" s="768">
        <f t="shared" si="9"/>
        <v>100</v>
      </c>
      <c r="T44" s="767" t="s">
        <v>17</v>
      </c>
      <c r="U44" s="768">
        <f t="shared" si="10"/>
        <v>100</v>
      </c>
      <c r="V44" s="767" t="s">
        <v>17</v>
      </c>
      <c r="W44" s="768">
        <f t="shared" si="11"/>
        <v>100</v>
      </c>
      <c r="X44" s="1808"/>
      <c r="Y44" s="3642"/>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42"/>
      <c r="Q45" s="1805">
        <f t="shared" si="13"/>
        <v>111</v>
      </c>
      <c r="R45" s="770" t="s">
        <v>17</v>
      </c>
      <c r="S45" s="771">
        <f t="shared" si="9"/>
        <v>100</v>
      </c>
      <c r="T45" s="770" t="s">
        <v>17</v>
      </c>
      <c r="U45" s="771">
        <f t="shared" si="10"/>
        <v>100</v>
      </c>
      <c r="V45" s="770" t="s">
        <v>17</v>
      </c>
      <c r="W45" s="771">
        <f t="shared" si="11"/>
        <v>100</v>
      </c>
      <c r="X45" s="772"/>
      <c r="Y45" s="3642"/>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635" t="str">
        <f>A46</f>
        <v>成交单价</v>
      </c>
      <c r="Q46" s="3635"/>
      <c r="R46" s="3630">
        <f>E46</f>
        <v>2709.78</v>
      </c>
      <c r="S46" s="3630"/>
      <c r="T46" s="3630">
        <f>G46</f>
        <v>3122.95</v>
      </c>
      <c r="U46" s="3630"/>
      <c r="V46" s="3630">
        <f>I46</f>
        <v>3094.31</v>
      </c>
      <c r="W46" s="3630"/>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635" t="str">
        <f>A47</f>
        <v>比较价值（元/平方米）</v>
      </c>
      <c r="Q47" s="3635"/>
      <c r="R47" s="3708" t="e">
        <f>ROUND(PRODUCT(R46,AA7:AA45),0)</f>
        <v>#DIV/0!</v>
      </c>
      <c r="S47" s="3708"/>
      <c r="T47" s="3708" t="e">
        <f>ROUND(PRODUCT(T46,AB7:AB45),0)</f>
        <v>#DIV/0!</v>
      </c>
      <c r="U47" s="3708"/>
      <c r="V47" s="3708" t="e">
        <f>ROUND(PRODUCT(V46,AC7:AC45),0)</f>
        <v>#DIV/0!</v>
      </c>
      <c r="W47" s="3708"/>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632" t="str">
        <f>A48</f>
        <v>估价对象XX用房的比较价值（楼面单价，元/平方米）</v>
      </c>
      <c r="Q48" s="3633"/>
      <c r="R48" s="3709" t="e">
        <f>ROUND(AVERAGE(R47:V47),0)</f>
        <v>#DIV/0!</v>
      </c>
      <c r="S48" s="3709"/>
      <c r="T48" s="3709"/>
      <c r="U48" s="3709"/>
      <c r="V48" s="3709"/>
      <c r="W48" s="3709"/>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618" t="s">
        <v>2763</v>
      </c>
      <c r="H55" s="3710"/>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617"/>
      <c r="H56" s="3635"/>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711"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711"/>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711"/>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711"/>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05" t="s">
        <v>2649</v>
      </c>
      <c r="S4" s="3606"/>
      <c r="T4" s="3605" t="s">
        <v>2650</v>
      </c>
      <c r="U4" s="3606"/>
      <c r="V4" s="3630" t="s">
        <v>2651</v>
      </c>
      <c r="W4" s="3630"/>
      <c r="X4" s="1808"/>
      <c r="Y4" s="3605" t="s">
        <v>2653</v>
      </c>
      <c r="Z4" s="3606"/>
      <c r="AA4" s="3600" t="s">
        <v>2649</v>
      </c>
      <c r="AB4" s="3601" t="s">
        <v>2650</v>
      </c>
      <c r="AC4" s="3600" t="s">
        <v>2651</v>
      </c>
    </row>
    <row r="5" spans="1:29" ht="15">
      <c r="A5" s="399"/>
      <c r="B5" s="400"/>
      <c r="C5" s="3677" t="s">
        <v>2544</v>
      </c>
      <c r="D5" s="3612"/>
      <c r="E5" s="3676" t="s">
        <v>2545</v>
      </c>
      <c r="F5" s="3610"/>
      <c r="G5" s="3677" t="s">
        <v>2546</v>
      </c>
      <c r="H5" s="3612"/>
      <c r="I5" s="3677" t="s">
        <v>2547</v>
      </c>
      <c r="J5" s="3612"/>
      <c r="K5" s="603"/>
      <c r="L5" s="1126"/>
      <c r="M5" s="1127"/>
      <c r="N5" s="1127"/>
      <c r="O5" s="1127"/>
      <c r="P5" s="3624"/>
      <c r="Q5" s="3625"/>
      <c r="R5" s="3607"/>
      <c r="S5" s="3608"/>
      <c r="T5" s="3607"/>
      <c r="U5" s="3608"/>
      <c r="V5" s="3630"/>
      <c r="W5" s="3630"/>
      <c r="X5" s="1808"/>
      <c r="Y5" s="3607"/>
      <c r="Z5" s="3608"/>
      <c r="AA5" s="3601"/>
      <c r="AB5" s="3601"/>
      <c r="AC5" s="3601"/>
    </row>
    <row r="6" spans="1:29" ht="15.75" thickBot="1">
      <c r="A6" s="401"/>
      <c r="B6" s="402"/>
      <c r="C6" s="3712" t="s">
        <v>2796</v>
      </c>
      <c r="D6" s="3701"/>
      <c r="E6" s="3713" t="s">
        <v>2796</v>
      </c>
      <c r="F6" s="3703"/>
      <c r="G6" s="3712" t="s">
        <v>2796</v>
      </c>
      <c r="H6" s="3701"/>
      <c r="I6" s="3712" t="s">
        <v>2796</v>
      </c>
      <c r="J6" s="3701"/>
      <c r="K6" s="603" t="s">
        <v>2549</v>
      </c>
      <c r="L6" s="1126"/>
      <c r="M6" s="1127"/>
      <c r="N6" s="1127"/>
      <c r="O6" s="1127"/>
      <c r="P6" s="3626"/>
      <c r="Q6" s="3627"/>
      <c r="R6" s="3607"/>
      <c r="S6" s="3608"/>
      <c r="T6" s="3628"/>
      <c r="U6" s="3629"/>
      <c r="V6" s="3630"/>
      <c r="W6" s="3630"/>
      <c r="X6" s="1808"/>
      <c r="Y6" s="3628"/>
      <c r="Z6" s="3629"/>
      <c r="AA6" s="3602"/>
      <c r="AB6" s="3602"/>
      <c r="AC6" s="3602"/>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603" t="s">
        <v>2551</v>
      </c>
      <c r="Q7" s="3631"/>
      <c r="R7" s="763" t="s">
        <v>17</v>
      </c>
      <c r="S7" s="764">
        <f t="shared" ref="S7:S15" si="0">F7</f>
        <v>0</v>
      </c>
      <c r="T7" s="763" t="s">
        <v>17</v>
      </c>
      <c r="U7" s="764">
        <f t="shared" ref="U7:U15" si="1">H7</f>
        <v>0</v>
      </c>
      <c r="V7" s="763" t="s">
        <v>17</v>
      </c>
      <c r="W7" s="764">
        <f t="shared" ref="W7:W15" si="2">J7</f>
        <v>0</v>
      </c>
      <c r="X7" s="765"/>
      <c r="Y7" s="3603" t="s">
        <v>2551</v>
      </c>
      <c r="Z7" s="3604"/>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603" t="s">
        <v>2554</v>
      </c>
      <c r="Q8" s="3604"/>
      <c r="R8" s="763" t="s">
        <v>17</v>
      </c>
      <c r="S8" s="764">
        <f t="shared" si="0"/>
        <v>0</v>
      </c>
      <c r="T8" s="763" t="s">
        <v>17</v>
      </c>
      <c r="U8" s="764">
        <f t="shared" si="1"/>
        <v>0</v>
      </c>
      <c r="V8" s="763" t="s">
        <v>17</v>
      </c>
      <c r="W8" s="764">
        <f t="shared" si="2"/>
        <v>0</v>
      </c>
      <c r="X8" s="765"/>
      <c r="Y8" s="3603" t="s">
        <v>2554</v>
      </c>
      <c r="Z8" s="3604"/>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635" t="s">
        <v>2557</v>
      </c>
      <c r="Q9" s="1790" t="str">
        <f t="shared" ref="Q9:Q15" si="6">B9</f>
        <v>用途</v>
      </c>
      <c r="R9" s="763" t="s">
        <v>17</v>
      </c>
      <c r="S9" s="764">
        <f t="shared" si="0"/>
        <v>100</v>
      </c>
      <c r="T9" s="763" t="s">
        <v>17</v>
      </c>
      <c r="U9" s="764">
        <f t="shared" si="1"/>
        <v>100</v>
      </c>
      <c r="V9" s="763" t="s">
        <v>17</v>
      </c>
      <c r="W9" s="764">
        <f t="shared" si="2"/>
        <v>100</v>
      </c>
      <c r="X9" s="765"/>
      <c r="Y9" s="3462"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635"/>
      <c r="Q10" s="1790" t="str">
        <f t="shared" si="6"/>
        <v>土地使用年限（年）</v>
      </c>
      <c r="R10" s="763" t="s">
        <v>17</v>
      </c>
      <c r="S10" s="764">
        <f t="shared" si="0"/>
        <v>100</v>
      </c>
      <c r="T10" s="763" t="s">
        <v>17</v>
      </c>
      <c r="U10" s="764">
        <f t="shared" si="1"/>
        <v>100</v>
      </c>
      <c r="V10" s="763" t="s">
        <v>17</v>
      </c>
      <c r="W10" s="764">
        <f t="shared" si="2"/>
        <v>100</v>
      </c>
      <c r="X10" s="765"/>
      <c r="Y10" s="3462"/>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635"/>
      <c r="Q11" s="1790" t="str">
        <f t="shared" si="6"/>
        <v>容积率</v>
      </c>
      <c r="R11" s="763" t="s">
        <v>17</v>
      </c>
      <c r="S11" s="764" t="e">
        <f t="shared" si="0"/>
        <v>#N/A</v>
      </c>
      <c r="T11" s="763" t="s">
        <v>17</v>
      </c>
      <c r="U11" s="764" t="e">
        <f t="shared" si="1"/>
        <v>#N/A</v>
      </c>
      <c r="V11" s="763" t="s">
        <v>17</v>
      </c>
      <c r="W11" s="764" t="e">
        <f t="shared" si="2"/>
        <v>#N/A</v>
      </c>
      <c r="X11" s="765"/>
      <c r="Y11" s="3462"/>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635"/>
      <c r="Q12" s="1790">
        <f t="shared" si="6"/>
        <v>111</v>
      </c>
      <c r="R12" s="763" t="s">
        <v>17</v>
      </c>
      <c r="S12" s="764">
        <f t="shared" si="0"/>
        <v>100</v>
      </c>
      <c r="T12" s="763" t="s">
        <v>17</v>
      </c>
      <c r="U12" s="764">
        <f t="shared" si="1"/>
        <v>100</v>
      </c>
      <c r="V12" s="763" t="s">
        <v>17</v>
      </c>
      <c r="W12" s="764">
        <f t="shared" si="2"/>
        <v>100</v>
      </c>
      <c r="X12" s="765"/>
      <c r="Y12" s="3462"/>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635"/>
      <c r="Q13" s="1790">
        <f t="shared" si="6"/>
        <v>111</v>
      </c>
      <c r="R13" s="763" t="s">
        <v>17</v>
      </c>
      <c r="S13" s="764">
        <f t="shared" si="0"/>
        <v>100</v>
      </c>
      <c r="T13" s="763" t="s">
        <v>17</v>
      </c>
      <c r="U13" s="764">
        <f t="shared" si="1"/>
        <v>100</v>
      </c>
      <c r="V13" s="763" t="s">
        <v>17</v>
      </c>
      <c r="W13" s="764">
        <f t="shared" si="2"/>
        <v>100</v>
      </c>
      <c r="X13" s="765"/>
      <c r="Y13" s="3462"/>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635"/>
      <c r="Q14" s="1790">
        <f t="shared" si="6"/>
        <v>111</v>
      </c>
      <c r="R14" s="763" t="s">
        <v>17</v>
      </c>
      <c r="S14" s="764">
        <f t="shared" si="0"/>
        <v>100</v>
      </c>
      <c r="T14" s="763" t="s">
        <v>17</v>
      </c>
      <c r="U14" s="764">
        <f t="shared" si="1"/>
        <v>100</v>
      </c>
      <c r="V14" s="763" t="s">
        <v>17</v>
      </c>
      <c r="W14" s="764">
        <f t="shared" si="2"/>
        <v>100</v>
      </c>
      <c r="X14" s="765"/>
      <c r="Y14" s="3462"/>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637" t="s">
        <v>2562</v>
      </c>
      <c r="Q15" s="1805" t="str">
        <f t="shared" si="6"/>
        <v>产业集聚程度</v>
      </c>
      <c r="R15" s="767" t="s">
        <v>17</v>
      </c>
      <c r="S15" s="768">
        <f t="shared" si="0"/>
        <v>100</v>
      </c>
      <c r="T15" s="767" t="s">
        <v>17</v>
      </c>
      <c r="U15" s="768">
        <f t="shared" si="1"/>
        <v>100</v>
      </c>
      <c r="V15" s="767" t="s">
        <v>17</v>
      </c>
      <c r="W15" s="768">
        <f t="shared" si="2"/>
        <v>100</v>
      </c>
      <c r="X15" s="1808"/>
      <c r="Y15" s="3637"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638"/>
      <c r="Q16" s="1805"/>
      <c r="R16" s="767"/>
      <c r="S16" s="768"/>
      <c r="T16" s="767"/>
      <c r="U16" s="768"/>
      <c r="V16" s="767"/>
      <c r="W16" s="768"/>
      <c r="X16" s="1808"/>
      <c r="Y16" s="3638"/>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638"/>
      <c r="Q17" s="1805" t="str">
        <f>B17</f>
        <v>交通便捷度</v>
      </c>
      <c r="R17" s="767" t="s">
        <v>17</v>
      </c>
      <c r="S17" s="768">
        <f>F17</f>
        <v>100</v>
      </c>
      <c r="T17" s="767" t="s">
        <v>17</v>
      </c>
      <c r="U17" s="768">
        <f>H17</f>
        <v>100</v>
      </c>
      <c r="V17" s="767" t="s">
        <v>17</v>
      </c>
      <c r="W17" s="768">
        <f>J17</f>
        <v>100</v>
      </c>
      <c r="X17" s="1808"/>
      <c r="Y17" s="3638"/>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638"/>
      <c r="Q18" s="1805"/>
      <c r="R18" s="767"/>
      <c r="S18" s="768"/>
      <c r="T18" s="767"/>
      <c r="U18" s="768"/>
      <c r="V18" s="767"/>
      <c r="W18" s="768"/>
      <c r="X18" s="1808"/>
      <c r="Y18" s="3638"/>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638"/>
      <c r="Q19" s="1805" t="str">
        <f t="shared" ref="Q19:Q33" si="8">B19</f>
        <v>区域土地利用方向</v>
      </c>
      <c r="R19" s="767" t="s">
        <v>17</v>
      </c>
      <c r="S19" s="768">
        <f>F19</f>
        <v>100</v>
      </c>
      <c r="T19" s="767" t="s">
        <v>17</v>
      </c>
      <c r="U19" s="768">
        <f>H19</f>
        <v>100</v>
      </c>
      <c r="V19" s="767" t="s">
        <v>17</v>
      </c>
      <c r="W19" s="768">
        <f>J19</f>
        <v>100</v>
      </c>
      <c r="X19" s="1808"/>
      <c r="Y19" s="3638"/>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638"/>
      <c r="Q20" s="1805"/>
      <c r="R20" s="767"/>
      <c r="S20" s="768"/>
      <c r="T20" s="767"/>
      <c r="U20" s="768"/>
      <c r="V20" s="767"/>
      <c r="W20" s="768"/>
      <c r="X20" s="1808"/>
      <c r="Y20" s="3638"/>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638"/>
      <c r="Q21" s="1805" t="str">
        <f t="shared" si="8"/>
        <v>环境状况</v>
      </c>
      <c r="R21" s="767" t="s">
        <v>17</v>
      </c>
      <c r="S21" s="768">
        <f>F21</f>
        <v>100</v>
      </c>
      <c r="T21" s="767" t="s">
        <v>17</v>
      </c>
      <c r="U21" s="768">
        <f>H21</f>
        <v>100</v>
      </c>
      <c r="V21" s="767" t="s">
        <v>17</v>
      </c>
      <c r="W21" s="768">
        <f>J21</f>
        <v>100</v>
      </c>
      <c r="X21" s="1808"/>
      <c r="Y21" s="3638"/>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638"/>
      <c r="Q22" s="1805"/>
      <c r="R22" s="767"/>
      <c r="S22" s="768"/>
      <c r="T22" s="767"/>
      <c r="U22" s="768"/>
      <c r="V22" s="767"/>
      <c r="W22" s="768"/>
      <c r="X22" s="1808"/>
      <c r="Y22" s="3638"/>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638"/>
      <c r="Q23" s="1790" t="str">
        <f t="shared" si="8"/>
        <v>公共配套设施</v>
      </c>
      <c r="R23" s="763" t="s">
        <v>17</v>
      </c>
      <c r="S23" s="764">
        <f>F23</f>
        <v>100</v>
      </c>
      <c r="T23" s="763" t="s">
        <v>17</v>
      </c>
      <c r="U23" s="764">
        <f>H23</f>
        <v>100</v>
      </c>
      <c r="V23" s="763" t="s">
        <v>17</v>
      </c>
      <c r="W23" s="764">
        <f>J23</f>
        <v>100</v>
      </c>
      <c r="X23" s="765"/>
      <c r="Y23" s="3638"/>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638"/>
      <c r="Q24" s="1790"/>
      <c r="R24" s="763"/>
      <c r="S24" s="764"/>
      <c r="T24" s="763"/>
      <c r="U24" s="764"/>
      <c r="V24" s="763"/>
      <c r="W24" s="764"/>
      <c r="X24" s="765"/>
      <c r="Y24" s="3638"/>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638"/>
      <c r="Q25" s="1790" t="str">
        <f>B25</f>
        <v>基础设施水平</v>
      </c>
      <c r="R25" s="763" t="s">
        <v>17</v>
      </c>
      <c r="S25" s="764">
        <f>F25</f>
        <v>100</v>
      </c>
      <c r="T25" s="763" t="s">
        <v>17</v>
      </c>
      <c r="U25" s="764">
        <f>H25</f>
        <v>100</v>
      </c>
      <c r="V25" s="763" t="s">
        <v>17</v>
      </c>
      <c r="W25" s="764">
        <f>J25</f>
        <v>100</v>
      </c>
      <c r="X25" s="765"/>
      <c r="Y25" s="3638"/>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638"/>
      <c r="Q26" s="1790"/>
      <c r="R26" s="763"/>
      <c r="S26" s="764"/>
      <c r="T26" s="763"/>
      <c r="U26" s="764"/>
      <c r="V26" s="763"/>
      <c r="W26" s="764"/>
      <c r="X26" s="765"/>
      <c r="Y26" s="3638"/>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638"/>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638"/>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638"/>
      <c r="Q28" s="1805" t="str">
        <f t="shared" si="8"/>
        <v>毗邻道路的类型与等级</v>
      </c>
      <c r="R28" s="767" t="s">
        <v>17</v>
      </c>
      <c r="S28" s="768">
        <f t="shared" si="9"/>
        <v>100</v>
      </c>
      <c r="T28" s="767" t="s">
        <v>17</v>
      </c>
      <c r="U28" s="768">
        <f t="shared" si="10"/>
        <v>100</v>
      </c>
      <c r="V28" s="767" t="s">
        <v>17</v>
      </c>
      <c r="W28" s="768">
        <f t="shared" si="11"/>
        <v>100</v>
      </c>
      <c r="X28" s="1808"/>
      <c r="Y28" s="3638"/>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638"/>
      <c r="Q29" s="1805"/>
      <c r="R29" s="767"/>
      <c r="S29" s="768"/>
      <c r="T29" s="767"/>
      <c r="U29" s="768"/>
      <c r="V29" s="767"/>
      <c r="W29" s="768"/>
      <c r="X29" s="1808"/>
      <c r="Y29" s="3638"/>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638"/>
      <c r="Q30" s="1805" t="str">
        <f t="shared" si="8"/>
        <v>土地级别</v>
      </c>
      <c r="R30" s="767" t="s">
        <v>17</v>
      </c>
      <c r="S30" s="768">
        <f t="shared" si="9"/>
        <v>100</v>
      </c>
      <c r="T30" s="767" t="s">
        <v>17</v>
      </c>
      <c r="U30" s="768">
        <f t="shared" si="10"/>
        <v>100</v>
      </c>
      <c r="V30" s="767" t="s">
        <v>17</v>
      </c>
      <c r="W30" s="768">
        <f t="shared" si="11"/>
        <v>100</v>
      </c>
      <c r="X30" s="1808"/>
      <c r="Y30" s="3638"/>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638"/>
      <c r="Q31" s="1805">
        <f t="shared" si="8"/>
        <v>111</v>
      </c>
      <c r="R31" s="767" t="s">
        <v>17</v>
      </c>
      <c r="S31" s="768">
        <f t="shared" si="9"/>
        <v>100</v>
      </c>
      <c r="T31" s="767" t="s">
        <v>17</v>
      </c>
      <c r="U31" s="768">
        <f t="shared" si="10"/>
        <v>100</v>
      </c>
      <c r="V31" s="767" t="s">
        <v>17</v>
      </c>
      <c r="W31" s="768">
        <f t="shared" si="11"/>
        <v>100</v>
      </c>
      <c r="X31" s="1808"/>
      <c r="Y31" s="3638"/>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695" t="s">
        <v>2567</v>
      </c>
      <c r="Q32" s="1805">
        <f t="shared" si="8"/>
        <v>111</v>
      </c>
      <c r="R32" s="767" t="s">
        <v>17</v>
      </c>
      <c r="S32" s="768">
        <f t="shared" si="9"/>
        <v>100</v>
      </c>
      <c r="T32" s="767" t="s">
        <v>17</v>
      </c>
      <c r="U32" s="768">
        <f t="shared" si="10"/>
        <v>100</v>
      </c>
      <c r="V32" s="767" t="s">
        <v>17</v>
      </c>
      <c r="W32" s="768">
        <f t="shared" si="11"/>
        <v>100</v>
      </c>
      <c r="X32" s="1808"/>
      <c r="Y32" s="3642"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642"/>
      <c r="Q33" s="1805">
        <f t="shared" si="8"/>
        <v>111</v>
      </c>
      <c r="R33" s="770" t="s">
        <v>17</v>
      </c>
      <c r="S33" s="771">
        <f t="shared" si="9"/>
        <v>100</v>
      </c>
      <c r="T33" s="770" t="s">
        <v>17</v>
      </c>
      <c r="U33" s="771">
        <f t="shared" si="10"/>
        <v>100</v>
      </c>
      <c r="V33" s="770" t="s">
        <v>17</v>
      </c>
      <c r="W33" s="771">
        <f t="shared" si="11"/>
        <v>100</v>
      </c>
      <c r="X33" s="772"/>
      <c r="Y33" s="3642"/>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642"/>
      <c r="Q34" s="1805" t="str">
        <f>B34</f>
        <v>宗地面积</v>
      </c>
      <c r="R34" s="767" t="s">
        <v>17</v>
      </c>
      <c r="S34" s="768" t="e">
        <f t="shared" si="9"/>
        <v>#N/A</v>
      </c>
      <c r="T34" s="767" t="s">
        <v>17</v>
      </c>
      <c r="U34" s="768" t="e">
        <f t="shared" si="10"/>
        <v>#N/A</v>
      </c>
      <c r="V34" s="767" t="s">
        <v>17</v>
      </c>
      <c r="W34" s="768" t="e">
        <f t="shared" si="11"/>
        <v>#N/A</v>
      </c>
      <c r="X34" s="1808"/>
      <c r="Y34" s="3642"/>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642"/>
      <c r="Q35" s="1805" t="str">
        <f t="shared" ref="Q35:Q40" si="13">B35</f>
        <v>宗地形状</v>
      </c>
      <c r="R35" s="767" t="s">
        <v>17</v>
      </c>
      <c r="S35" s="768">
        <f t="shared" si="9"/>
        <v>100</v>
      </c>
      <c r="T35" s="767" t="s">
        <v>17</v>
      </c>
      <c r="U35" s="768">
        <f t="shared" si="10"/>
        <v>100</v>
      </c>
      <c r="V35" s="767" t="s">
        <v>17</v>
      </c>
      <c r="W35" s="768">
        <f t="shared" si="11"/>
        <v>100</v>
      </c>
      <c r="X35" s="1808"/>
      <c r="Y35" s="3642"/>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642"/>
      <c r="Q36" s="1805" t="str">
        <f t="shared" si="13"/>
        <v>宗地开发程度</v>
      </c>
      <c r="R36" s="763" t="s">
        <v>17</v>
      </c>
      <c r="S36" s="764">
        <f t="shared" si="9"/>
        <v>100</v>
      </c>
      <c r="T36" s="763" t="s">
        <v>17</v>
      </c>
      <c r="U36" s="764">
        <f t="shared" si="10"/>
        <v>100</v>
      </c>
      <c r="V36" s="763" t="s">
        <v>17</v>
      </c>
      <c r="W36" s="764">
        <f t="shared" si="11"/>
        <v>100</v>
      </c>
      <c r="X36" s="765"/>
      <c r="Y36" s="3642"/>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642" t="s">
        <v>2567</v>
      </c>
      <c r="Q37" s="1805" t="str">
        <f t="shared" si="13"/>
        <v>工程地质条件</v>
      </c>
      <c r="R37" s="767" t="s">
        <v>17</v>
      </c>
      <c r="S37" s="768">
        <f t="shared" si="9"/>
        <v>100</v>
      </c>
      <c r="T37" s="767" t="s">
        <v>17</v>
      </c>
      <c r="U37" s="768">
        <f t="shared" si="10"/>
        <v>100</v>
      </c>
      <c r="V37" s="767" t="s">
        <v>17</v>
      </c>
      <c r="W37" s="768">
        <f t="shared" si="11"/>
        <v>100</v>
      </c>
      <c r="X37" s="1808"/>
      <c r="Y37" s="3642"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642"/>
      <c r="Q38" s="1805">
        <f t="shared" si="13"/>
        <v>111</v>
      </c>
      <c r="R38" s="767" t="s">
        <v>17</v>
      </c>
      <c r="S38" s="768">
        <f t="shared" si="9"/>
        <v>100</v>
      </c>
      <c r="T38" s="767" t="s">
        <v>17</v>
      </c>
      <c r="U38" s="768">
        <f t="shared" si="10"/>
        <v>100</v>
      </c>
      <c r="V38" s="767" t="s">
        <v>17</v>
      </c>
      <c r="W38" s="768">
        <f t="shared" si="11"/>
        <v>100</v>
      </c>
      <c r="X38" s="1808"/>
      <c r="Y38" s="3642"/>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642"/>
      <c r="Q39" s="1805">
        <f t="shared" si="13"/>
        <v>111</v>
      </c>
      <c r="R39" s="767" t="s">
        <v>17</v>
      </c>
      <c r="S39" s="768">
        <f t="shared" si="9"/>
        <v>100</v>
      </c>
      <c r="T39" s="767" t="s">
        <v>17</v>
      </c>
      <c r="U39" s="768">
        <f t="shared" si="10"/>
        <v>100</v>
      </c>
      <c r="V39" s="767" t="s">
        <v>17</v>
      </c>
      <c r="W39" s="768">
        <f t="shared" si="11"/>
        <v>100</v>
      </c>
      <c r="X39" s="1808"/>
      <c r="Y39" s="3642"/>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642"/>
      <c r="Q40" s="1805">
        <f t="shared" si="13"/>
        <v>111</v>
      </c>
      <c r="R40" s="770" t="s">
        <v>17</v>
      </c>
      <c r="S40" s="771">
        <f t="shared" si="9"/>
        <v>100</v>
      </c>
      <c r="T40" s="770" t="s">
        <v>17</v>
      </c>
      <c r="U40" s="771">
        <f t="shared" si="10"/>
        <v>100</v>
      </c>
      <c r="V40" s="770" t="s">
        <v>17</v>
      </c>
      <c r="W40" s="771">
        <f t="shared" si="11"/>
        <v>100</v>
      </c>
      <c r="X40" s="772"/>
      <c r="Y40" s="3642"/>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635" t="str">
        <f>A41</f>
        <v>成交单价</v>
      </c>
      <c r="Q41" s="3635"/>
      <c r="R41" s="3630">
        <f>E41</f>
        <v>0</v>
      </c>
      <c r="S41" s="3630"/>
      <c r="T41" s="3630">
        <f>G41</f>
        <v>0</v>
      </c>
      <c r="U41" s="3630"/>
      <c r="V41" s="3630">
        <f>I41</f>
        <v>0</v>
      </c>
      <c r="W41" s="3630"/>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635" t="str">
        <f>A42</f>
        <v>比较价值（元/平方米）</v>
      </c>
      <c r="Q42" s="3635"/>
      <c r="R42" s="3708" t="e">
        <f>ROUND(PRODUCT(R41,AA7:AA40),0)</f>
        <v>#DIV/0!</v>
      </c>
      <c r="S42" s="3708"/>
      <c r="T42" s="3708" t="e">
        <f>ROUND(PRODUCT(T41,AB7:AB40),0)</f>
        <v>#DIV/0!</v>
      </c>
      <c r="U42" s="3708"/>
      <c r="V42" s="3708" t="e">
        <f>ROUND(PRODUCT(V41,AC7:AC40),0)</f>
        <v>#DIV/0!</v>
      </c>
      <c r="W42" s="3708"/>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632" t="str">
        <f>A43</f>
        <v>估价对象XX用房的比较价值（楼面单价，元/平方米）</v>
      </c>
      <c r="Q43" s="3633"/>
      <c r="R43" s="3709" t="e">
        <f>ROUND(AVERAGE(R42:V42),0)</f>
        <v>#DIV/0!</v>
      </c>
      <c r="S43" s="3709"/>
      <c r="T43" s="3709"/>
      <c r="U43" s="3709"/>
      <c r="V43" s="3709"/>
      <c r="W43" s="3709"/>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618" t="s">
        <v>2763</v>
      </c>
      <c r="H50" s="3710"/>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617"/>
      <c r="H51" s="3635"/>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711"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711"/>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711"/>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711"/>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3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9"/>
      <c r="C2" s="3399"/>
      <c r="D2" s="3399"/>
      <c r="E2" s="3399"/>
    </row>
    <row r="3" spans="1:5" ht="18">
      <c r="A3" s="3400" t="str">
        <f>IF(项目基本情况!B9="房地产市场价值","估价结果一览表（市场价值不需“结果表-1”）","估价结果一览表")</f>
        <v>估价结果一览表（市场价值不需“结果表-1”）</v>
      </c>
      <c r="B3" s="3400"/>
      <c r="C3" s="3400"/>
      <c r="D3" s="3400"/>
      <c r="E3" s="3400"/>
    </row>
    <row r="4" spans="1:5" ht="19.5" thickBot="1">
      <c r="A4" s="1956"/>
      <c r="B4" s="3398" t="s">
        <v>1630</v>
      </c>
      <c r="C4" s="3398"/>
      <c r="D4" s="3398"/>
      <c r="E4" s="1956"/>
    </row>
    <row r="5" spans="1:5" ht="16.5" thickTop="1">
      <c r="A5" s="1954"/>
      <c r="B5" s="3396" t="s">
        <v>1622</v>
      </c>
      <c r="C5" s="1957" t="s">
        <v>1623</v>
      </c>
      <c r="D5" s="1036">
        <f ca="1">结果表!H101</f>
        <v>2</v>
      </c>
      <c r="E5" s="1954"/>
    </row>
    <row r="6" spans="1:5" ht="15.75">
      <c r="A6" s="1954"/>
      <c r="B6" s="3396"/>
      <c r="C6" s="1957" t="s">
        <v>1624</v>
      </c>
      <c r="D6" s="1036" t="str">
        <f ca="1">NUMBERSTRING(INT(D5*10000),2)&amp;"元整"</f>
        <v>贰万元整</v>
      </c>
      <c r="E6" s="1954"/>
    </row>
    <row r="7" spans="1:5" ht="15.75">
      <c r="A7" s="1954"/>
      <c r="B7" s="3401"/>
      <c r="C7" s="1958" t="s">
        <v>1625</v>
      </c>
      <c r="D7" s="1037" t="e">
        <f ca="1">结果表!H102</f>
        <v>#DIV/0!</v>
      </c>
      <c r="E7" s="1954"/>
    </row>
    <row r="8" spans="1:5" ht="15.75">
      <c r="A8" s="1954"/>
      <c r="B8" s="3402" t="str">
        <f>结果表!E103</f>
        <v>2.估价师知悉的法定优先受偿款</v>
      </c>
      <c r="C8" s="1959" t="s">
        <v>1626</v>
      </c>
      <c r="D8" s="1037">
        <f>结果表!H103</f>
        <v>0</v>
      </c>
      <c r="E8" s="1954"/>
    </row>
    <row r="9" spans="1:5" ht="15.75">
      <c r="A9" s="1954"/>
      <c r="B9" s="3404"/>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395" t="str">
        <f>结果表!E107</f>
        <v>3.房地产抵押价值</v>
      </c>
      <c r="C13" s="1962" t="s">
        <v>1623</v>
      </c>
      <c r="D13" s="1039">
        <f ca="1">结果表!H107</f>
        <v>2</v>
      </c>
      <c r="E13" s="1954"/>
    </row>
    <row r="14" spans="1:5" ht="15.75">
      <c r="A14" s="1954"/>
      <c r="B14" s="3396"/>
      <c r="C14" s="1957" t="s">
        <v>1624</v>
      </c>
      <c r="D14" s="1036" t="str">
        <f ca="1">NUMBERSTRING(INT(D13*10000),2)&amp;"元整"</f>
        <v>贰万元整</v>
      </c>
      <c r="E14" s="1954"/>
    </row>
    <row r="15" spans="1:5" ht="15">
      <c r="A15" s="1954"/>
      <c r="B15" s="3401"/>
      <c r="C15" s="1958" t="s">
        <v>1634</v>
      </c>
      <c r="D15" s="1048">
        <f ca="1">结果表!H108</f>
        <v>20000</v>
      </c>
      <c r="E15" s="1954"/>
    </row>
    <row r="16" spans="1:5" ht="15">
      <c r="A16" s="1954"/>
      <c r="B16" s="3402" t="str">
        <f>结果表!E109</f>
        <v>——</v>
      </c>
      <c r="C16" s="1962" t="s">
        <v>1635</v>
      </c>
      <c r="D16" s="1963" t="str">
        <f>结果表!H109</f>
        <v>——</v>
      </c>
      <c r="E16" s="1954"/>
    </row>
    <row r="17" spans="1:5" ht="15.75">
      <c r="A17" s="1954"/>
      <c r="B17" s="3403"/>
      <c r="C17" s="1957" t="s">
        <v>1636</v>
      </c>
      <c r="D17" s="1036" t="e">
        <f>NUMBERSTRING(INT(D16*10000),2)&amp;"元整"</f>
        <v>#VALUE!</v>
      </c>
      <c r="E17" s="1954"/>
    </row>
    <row r="18" spans="1:5" ht="15">
      <c r="A18" s="1954"/>
      <c r="B18" s="3404"/>
      <c r="C18" s="1958" t="s">
        <v>1625</v>
      </c>
      <c r="D18" s="1048" t="str">
        <f>结果表!H110</f>
        <v>——</v>
      </c>
      <c r="E18" s="1954"/>
    </row>
    <row r="19" spans="1:5" ht="15.75">
      <c r="A19" s="1954"/>
      <c r="B19" s="3395" t="str">
        <f>结果表!E111</f>
        <v>——</v>
      </c>
      <c r="C19" s="1962" t="s">
        <v>1623</v>
      </c>
      <c r="D19" s="1037" t="str">
        <f>结果表!H111</f>
        <v>——</v>
      </c>
      <c r="E19" s="1954"/>
    </row>
    <row r="20" spans="1:5" ht="15.75">
      <c r="A20" s="1954"/>
      <c r="B20" s="3396"/>
      <c r="C20" s="1957" t="s">
        <v>1636</v>
      </c>
      <c r="D20" s="1036" t="e">
        <f>NUMBERSTRING(INT(D19*10000),2)&amp;"元整"</f>
        <v>#VALUE!</v>
      </c>
      <c r="E20" s="1954"/>
    </row>
    <row r="21" spans="1:5" ht="15.75" thickBot="1">
      <c r="A21" s="1954"/>
      <c r="B21" s="3397"/>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728"/>
      <c r="B4" s="3729"/>
      <c r="C4" s="3729"/>
      <c r="D4" s="3730"/>
      <c r="E4" s="3730"/>
      <c r="F4" s="3730"/>
      <c r="G4" s="3730"/>
      <c r="H4" s="3730"/>
      <c r="I4" s="3730"/>
      <c r="J4" s="3731"/>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714"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715"/>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725" t="s">
        <v>2839</v>
      </c>
      <c r="X8" s="3726"/>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715"/>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727"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15"/>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72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15"/>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727"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714"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727"/>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32"/>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727"/>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732"/>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733"/>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714"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715"/>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722"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23"/>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23"/>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724"/>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716" t="s">
        <v>2973</v>
      </c>
      <c r="B90" s="3716"/>
      <c r="C90" s="3716"/>
      <c r="D90" s="3716"/>
      <c r="E90" s="3716"/>
      <c r="F90" s="3716"/>
      <c r="G90" s="3716"/>
      <c r="H90" s="3716"/>
      <c r="I90" s="3716"/>
      <c r="J90" s="3716"/>
      <c r="K90" s="2890"/>
      <c r="L90" s="2890"/>
      <c r="M90" s="2890"/>
      <c r="N90" s="2890"/>
    </row>
    <row r="91" spans="1:37">
      <c r="A91" s="3718" t="s">
        <v>2974</v>
      </c>
      <c r="B91" s="3718" t="s">
        <v>2975</v>
      </c>
      <c r="C91" s="2844" t="s">
        <v>2976</v>
      </c>
      <c r="D91" s="2845"/>
      <c r="E91" s="2845"/>
      <c r="F91" s="2845"/>
      <c r="G91" s="2845"/>
      <c r="H91" s="2845"/>
      <c r="I91" s="2845"/>
      <c r="J91" s="2891"/>
      <c r="K91" s="2892"/>
      <c r="L91" s="2892"/>
      <c r="M91" s="2892"/>
      <c r="N91" s="2892"/>
    </row>
    <row r="92" spans="1:37">
      <c r="A92" s="3718"/>
      <c r="B92" s="3718"/>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719"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2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2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2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2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2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20"/>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72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19"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720"/>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720"/>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720"/>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720"/>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720"/>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720"/>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720"/>
      <c r="B108" s="3527"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721"/>
      <c r="B109" s="3528"/>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717" t="s">
        <v>2981</v>
      </c>
      <c r="B110" s="3717"/>
      <c r="C110" s="3717"/>
      <c r="D110" s="3717"/>
      <c r="E110" s="3717"/>
      <c r="F110" s="3717"/>
      <c r="G110" s="3717"/>
      <c r="H110" s="3717"/>
      <c r="I110" s="3717"/>
      <c r="J110" s="3717"/>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734" t="s">
        <v>183</v>
      </c>
      <c r="B18" s="875" t="s">
        <v>560</v>
      </c>
      <c r="C18" s="876" t="s">
        <v>561</v>
      </c>
      <c r="D18" s="877"/>
      <c r="E18" s="875">
        <v>1</v>
      </c>
      <c r="F18" s="878" t="s">
        <v>562</v>
      </c>
      <c r="G18" s="879"/>
      <c r="H18" s="871"/>
      <c r="I18" s="871"/>
    </row>
    <row r="19" spans="1:9" s="880" customFormat="1" ht="19.5" customHeight="1">
      <c r="A19" s="3734"/>
      <c r="B19" s="3734" t="s">
        <v>563</v>
      </c>
      <c r="C19" s="876" t="s">
        <v>564</v>
      </c>
      <c r="D19" s="877"/>
      <c r="E19" s="875">
        <v>0.9</v>
      </c>
      <c r="F19" s="878" t="s">
        <v>565</v>
      </c>
      <c r="G19" s="879"/>
      <c r="H19" s="871"/>
      <c r="I19" s="871"/>
    </row>
    <row r="20" spans="1:9" s="880" customFormat="1" ht="19.5" customHeight="1">
      <c r="A20" s="3734"/>
      <c r="B20" s="3734"/>
      <c r="C20" s="876" t="s">
        <v>566</v>
      </c>
      <c r="D20" s="877"/>
      <c r="E20" s="875">
        <v>1.1000000000000001</v>
      </c>
      <c r="F20" s="878" t="s">
        <v>567</v>
      </c>
      <c r="G20" s="879"/>
      <c r="H20" s="871"/>
      <c r="I20" s="871"/>
    </row>
    <row r="21" spans="1:9" s="880" customFormat="1" ht="19.5" customHeight="1">
      <c r="A21" s="3734"/>
      <c r="B21" s="3734"/>
      <c r="C21" s="876" t="s">
        <v>568</v>
      </c>
      <c r="D21" s="877"/>
      <c r="E21" s="875">
        <v>0.8</v>
      </c>
      <c r="F21" s="878" t="s">
        <v>569</v>
      </c>
      <c r="G21" s="879"/>
      <c r="H21" s="871"/>
      <c r="I21" s="871"/>
    </row>
    <row r="22" spans="1:9" s="880" customFormat="1" ht="19.5" customHeight="1">
      <c r="A22" s="3734"/>
      <c r="B22" s="3734"/>
      <c r="C22" s="876" t="s">
        <v>570</v>
      </c>
      <c r="D22" s="877"/>
      <c r="E22" s="875">
        <v>0.5</v>
      </c>
      <c r="F22" s="878"/>
      <c r="G22" s="879"/>
      <c r="H22" s="871"/>
      <c r="I22" s="871"/>
    </row>
    <row r="23" spans="1:9" s="880" customFormat="1" ht="19.5" customHeight="1">
      <c r="A23" s="3734" t="s">
        <v>184</v>
      </c>
      <c r="B23" s="875" t="s">
        <v>560</v>
      </c>
      <c r="C23" s="876" t="s">
        <v>571</v>
      </c>
      <c r="D23" s="877"/>
      <c r="E23" s="875">
        <v>1</v>
      </c>
      <c r="F23" s="878" t="s">
        <v>572</v>
      </c>
      <c r="G23" s="879"/>
      <c r="H23" s="871"/>
      <c r="I23" s="871"/>
    </row>
    <row r="24" spans="1:9" s="880" customFormat="1" ht="19.5" customHeight="1">
      <c r="A24" s="3734"/>
      <c r="B24" s="3734" t="s">
        <v>563</v>
      </c>
      <c r="C24" s="876" t="s">
        <v>573</v>
      </c>
      <c r="D24" s="877"/>
      <c r="E24" s="875">
        <v>0.5</v>
      </c>
      <c r="F24" s="878"/>
      <c r="G24" s="879"/>
      <c r="H24" s="871"/>
      <c r="I24" s="871"/>
    </row>
    <row r="25" spans="1:9" s="880" customFormat="1" ht="19.5" customHeight="1">
      <c r="A25" s="3734"/>
      <c r="B25" s="3734"/>
      <c r="C25" s="876" t="s">
        <v>574</v>
      </c>
      <c r="D25" s="877"/>
      <c r="E25" s="875">
        <v>1.1000000000000001</v>
      </c>
      <c r="F25" s="878"/>
      <c r="G25" s="879"/>
      <c r="H25" s="871"/>
      <c r="I25" s="871"/>
    </row>
    <row r="26" spans="1:9" s="880" customFormat="1" ht="19.5" customHeight="1">
      <c r="A26" s="3734"/>
      <c r="B26" s="3734"/>
      <c r="C26" s="876" t="s">
        <v>575</v>
      </c>
      <c r="D26" s="877"/>
      <c r="E26" s="875">
        <v>1.1000000000000001</v>
      </c>
      <c r="F26" s="878"/>
      <c r="G26" s="879"/>
      <c r="H26" s="871"/>
      <c r="I26" s="871"/>
    </row>
    <row r="27" spans="1:9" s="880" customFormat="1" ht="19.5" customHeight="1">
      <c r="A27" s="3734"/>
      <c r="B27" s="3734"/>
      <c r="C27" s="876" t="s">
        <v>576</v>
      </c>
      <c r="D27" s="877"/>
      <c r="E27" s="875">
        <v>0.9</v>
      </c>
      <c r="F27" s="878" t="s">
        <v>577</v>
      </c>
      <c r="G27" s="879"/>
      <c r="H27" s="871"/>
      <c r="I27" s="871"/>
    </row>
    <row r="28" spans="1:9" s="880" customFormat="1" ht="19.5" customHeight="1">
      <c r="A28" s="3734"/>
      <c r="B28" s="3734"/>
      <c r="C28" s="876" t="s">
        <v>578</v>
      </c>
      <c r="D28" s="877"/>
      <c r="E28" s="875">
        <v>0.9</v>
      </c>
      <c r="F28" s="878" t="s">
        <v>579</v>
      </c>
      <c r="G28" s="879"/>
      <c r="H28" s="871"/>
      <c r="I28" s="871"/>
    </row>
    <row r="29" spans="1:9" s="880" customFormat="1" ht="19.5" customHeight="1">
      <c r="A29" s="3734"/>
      <c r="B29" s="3734"/>
      <c r="C29" s="876" t="s">
        <v>580</v>
      </c>
      <c r="D29" s="877"/>
      <c r="E29" s="875">
        <v>0.9</v>
      </c>
      <c r="F29" s="878" t="s">
        <v>581</v>
      </c>
      <c r="G29" s="879"/>
      <c r="H29" s="871"/>
      <c r="I29" s="871"/>
    </row>
    <row r="30" spans="1:9" s="880" customFormat="1" ht="19.5" customHeight="1">
      <c r="A30" s="3734"/>
      <c r="B30" s="3734"/>
      <c r="C30" s="876" t="s">
        <v>582</v>
      </c>
      <c r="D30" s="877"/>
      <c r="E30" s="875">
        <v>0.9</v>
      </c>
      <c r="F30" s="878" t="s">
        <v>583</v>
      </c>
      <c r="G30" s="879"/>
      <c r="H30" s="871"/>
      <c r="I30" s="871"/>
    </row>
    <row r="31" spans="1:9" s="880" customFormat="1" ht="19.5" customHeight="1">
      <c r="A31" s="3734"/>
      <c r="B31" s="3734"/>
      <c r="C31" s="876" t="s">
        <v>584</v>
      </c>
      <c r="D31" s="877"/>
      <c r="E31" s="875">
        <v>0.8</v>
      </c>
      <c r="F31" s="878" t="s">
        <v>585</v>
      </c>
      <c r="G31" s="879"/>
      <c r="H31" s="871"/>
      <c r="I31" s="871"/>
    </row>
    <row r="32" spans="1:9" s="880" customFormat="1" ht="19.5" customHeight="1">
      <c r="A32" s="3734"/>
      <c r="B32" s="3734"/>
      <c r="C32" s="876" t="s">
        <v>586</v>
      </c>
      <c r="D32" s="877"/>
      <c r="E32" s="875">
        <v>0.8</v>
      </c>
      <c r="F32" s="878" t="s">
        <v>587</v>
      </c>
      <c r="G32" s="879"/>
      <c r="H32" s="871"/>
      <c r="I32" s="871"/>
    </row>
    <row r="33" spans="1:9" s="880" customFormat="1" ht="19.5" customHeight="1">
      <c r="A33" s="3734" t="s">
        <v>185</v>
      </c>
      <c r="B33" s="875" t="s">
        <v>560</v>
      </c>
      <c r="C33" s="876" t="s">
        <v>588</v>
      </c>
      <c r="D33" s="877"/>
      <c r="E33" s="875">
        <v>1</v>
      </c>
      <c r="F33" s="878" t="s">
        <v>589</v>
      </c>
      <c r="G33" s="879"/>
      <c r="H33" s="871"/>
      <c r="I33" s="871"/>
    </row>
    <row r="34" spans="1:9" s="880" customFormat="1" ht="19.5" customHeight="1">
      <c r="A34" s="3734"/>
      <c r="B34" s="875" t="s">
        <v>563</v>
      </c>
      <c r="C34" s="876" t="s">
        <v>590</v>
      </c>
      <c r="D34" s="877"/>
      <c r="E34" s="875">
        <v>1.5</v>
      </c>
      <c r="F34" s="878" t="s">
        <v>591</v>
      </c>
      <c r="G34" s="879"/>
      <c r="H34" s="871"/>
      <c r="I34" s="871"/>
    </row>
    <row r="35" spans="1:9" s="880" customFormat="1" ht="19.5" customHeight="1">
      <c r="A35" s="3734" t="s">
        <v>186</v>
      </c>
      <c r="B35" s="875" t="s">
        <v>560</v>
      </c>
      <c r="C35" s="876" t="s">
        <v>592</v>
      </c>
      <c r="D35" s="877"/>
      <c r="E35" s="875">
        <v>1</v>
      </c>
      <c r="F35" s="878" t="s">
        <v>593</v>
      </c>
      <c r="G35" s="879"/>
      <c r="H35" s="871"/>
      <c r="I35" s="871"/>
    </row>
    <row r="36" spans="1:9" s="880" customFormat="1" ht="19.5" customHeight="1">
      <c r="A36" s="3734"/>
      <c r="B36" s="3734" t="s">
        <v>563</v>
      </c>
      <c r="C36" s="876" t="s">
        <v>594</v>
      </c>
      <c r="D36" s="877"/>
      <c r="E36" s="875">
        <v>1</v>
      </c>
      <c r="F36" s="878" t="s">
        <v>595</v>
      </c>
      <c r="G36" s="879"/>
      <c r="H36" s="871"/>
      <c r="I36" s="871"/>
    </row>
    <row r="37" spans="1:9" s="880" customFormat="1" ht="19.5" customHeight="1">
      <c r="A37" s="3734"/>
      <c r="B37" s="3734"/>
      <c r="C37" s="876" t="s">
        <v>596</v>
      </c>
      <c r="D37" s="877"/>
      <c r="E37" s="875">
        <v>1.5</v>
      </c>
      <c r="F37" s="878" t="s">
        <v>597</v>
      </c>
      <c r="G37" s="879"/>
      <c r="H37" s="871"/>
      <c r="I37" s="871"/>
    </row>
    <row r="38" spans="1:9" s="880" customFormat="1" ht="19.5" customHeight="1">
      <c r="A38" s="3734"/>
      <c r="B38" s="3734"/>
      <c r="C38" s="876" t="s">
        <v>598</v>
      </c>
      <c r="D38" s="877"/>
      <c r="E38" s="875">
        <v>1</v>
      </c>
      <c r="F38" s="878" t="s">
        <v>599</v>
      </c>
      <c r="G38" s="879"/>
      <c r="H38" s="871"/>
      <c r="I38" s="871"/>
    </row>
    <row r="39" spans="1:9" s="880" customFormat="1" ht="19.5" customHeight="1">
      <c r="A39" s="3734"/>
      <c r="B39" s="373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734" t="s">
        <v>614</v>
      </c>
      <c r="C61" s="811" t="s">
        <v>615</v>
      </c>
      <c r="D61" s="811" t="s">
        <v>616</v>
      </c>
      <c r="E61" s="888">
        <v>0.5</v>
      </c>
      <c r="F61" s="875">
        <v>80</v>
      </c>
    </row>
    <row r="62" spans="1:8" s="871" customFormat="1" ht="24">
      <c r="A62" s="875">
        <v>2</v>
      </c>
      <c r="B62" s="3734"/>
      <c r="C62" s="811" t="s">
        <v>617</v>
      </c>
      <c r="D62" s="811" t="s">
        <v>618</v>
      </c>
      <c r="E62" s="888">
        <v>0.5</v>
      </c>
      <c r="F62" s="875">
        <v>80</v>
      </c>
    </row>
    <row r="63" spans="1:8" s="871" customFormat="1" ht="36">
      <c r="A63" s="875">
        <v>3</v>
      </c>
      <c r="B63" s="3734"/>
      <c r="C63" s="811" t="s">
        <v>619</v>
      </c>
      <c r="D63" s="811" t="s">
        <v>620</v>
      </c>
      <c r="E63" s="888">
        <v>0.5</v>
      </c>
      <c r="F63" s="875">
        <v>80</v>
      </c>
    </row>
    <row r="64" spans="1:8" s="871" customFormat="1" ht="36">
      <c r="A64" s="875">
        <v>4</v>
      </c>
      <c r="B64" s="3734"/>
      <c r="C64" s="811" t="s">
        <v>621</v>
      </c>
      <c r="D64" s="811" t="s">
        <v>622</v>
      </c>
      <c r="E64" s="888">
        <v>0.4</v>
      </c>
      <c r="F64" s="875">
        <v>60</v>
      </c>
    </row>
    <row r="65" spans="1:6" s="871" customFormat="1" ht="36">
      <c r="A65" s="875">
        <v>5</v>
      </c>
      <c r="B65" s="3734"/>
      <c r="C65" s="811" t="s">
        <v>623</v>
      </c>
      <c r="D65" s="811" t="s">
        <v>624</v>
      </c>
      <c r="E65" s="888">
        <v>0.2</v>
      </c>
      <c r="F65" s="875">
        <v>30</v>
      </c>
    </row>
    <row r="66" spans="1:6" s="871" customFormat="1" ht="36">
      <c r="A66" s="875">
        <v>6</v>
      </c>
      <c r="B66" s="3734"/>
      <c r="C66" s="811" t="s">
        <v>625</v>
      </c>
      <c r="D66" s="811" t="s">
        <v>626</v>
      </c>
      <c r="E66" s="888">
        <v>0.3</v>
      </c>
      <c r="F66" s="875">
        <v>50</v>
      </c>
    </row>
    <row r="67" spans="1:6" s="871" customFormat="1" ht="36">
      <c r="A67" s="875">
        <v>7</v>
      </c>
      <c r="B67" s="3734"/>
      <c r="C67" s="811" t="s">
        <v>627</v>
      </c>
      <c r="D67" s="811" t="s">
        <v>628</v>
      </c>
      <c r="E67" s="888">
        <v>0.2</v>
      </c>
      <c r="F67" s="875">
        <v>30</v>
      </c>
    </row>
    <row r="68" spans="1:6" s="871" customFormat="1" ht="36">
      <c r="A68" s="875">
        <v>8</v>
      </c>
      <c r="B68" s="3734"/>
      <c r="C68" s="811" t="s">
        <v>629</v>
      </c>
      <c r="D68" s="811" t="s">
        <v>630</v>
      </c>
      <c r="E68" s="888">
        <v>0.2</v>
      </c>
      <c r="F68" s="875">
        <v>30</v>
      </c>
    </row>
    <row r="69" spans="1:6" s="871" customFormat="1" ht="36">
      <c r="A69" s="875">
        <v>9</v>
      </c>
      <c r="B69" s="3734"/>
      <c r="C69" s="811" t="s">
        <v>631</v>
      </c>
      <c r="D69" s="811" t="s">
        <v>632</v>
      </c>
      <c r="E69" s="888">
        <v>0.2</v>
      </c>
      <c r="F69" s="875">
        <v>30</v>
      </c>
    </row>
    <row r="70" spans="1:6" s="871" customFormat="1" ht="48">
      <c r="A70" s="875">
        <v>10</v>
      </c>
      <c r="B70" s="3734"/>
      <c r="C70" s="811" t="s">
        <v>633</v>
      </c>
      <c r="D70" s="811" t="s">
        <v>634</v>
      </c>
      <c r="E70" s="888">
        <v>0.2</v>
      </c>
      <c r="F70" s="875">
        <v>30</v>
      </c>
    </row>
    <row r="71" spans="1:6" s="871" customFormat="1" ht="48">
      <c r="A71" s="875">
        <v>11</v>
      </c>
      <c r="B71" s="3734"/>
      <c r="C71" s="811" t="s">
        <v>635</v>
      </c>
      <c r="D71" s="811" t="s">
        <v>636</v>
      </c>
      <c r="E71" s="888">
        <v>0.2</v>
      </c>
      <c r="F71" s="875">
        <v>30</v>
      </c>
    </row>
    <row r="72" spans="1:6" s="871" customFormat="1" ht="36">
      <c r="A72" s="875">
        <v>12</v>
      </c>
      <c r="B72" s="3734"/>
      <c r="C72" s="811" t="s">
        <v>637</v>
      </c>
      <c r="D72" s="811" t="s">
        <v>638</v>
      </c>
      <c r="E72" s="888">
        <v>0.5</v>
      </c>
      <c r="F72" s="875">
        <v>80</v>
      </c>
    </row>
    <row r="73" spans="1:6" s="871" customFormat="1" ht="24">
      <c r="A73" s="875">
        <v>13</v>
      </c>
      <c r="B73" s="3734"/>
      <c r="C73" s="811" t="s">
        <v>639</v>
      </c>
      <c r="D73" s="811" t="s">
        <v>640</v>
      </c>
      <c r="E73" s="888">
        <v>0.4</v>
      </c>
      <c r="F73" s="875">
        <v>60</v>
      </c>
    </row>
    <row r="74" spans="1:6" s="871" customFormat="1" ht="24">
      <c r="A74" s="875">
        <v>14</v>
      </c>
      <c r="B74" s="3734"/>
      <c r="C74" s="811" t="s">
        <v>641</v>
      </c>
      <c r="D74" s="811" t="s">
        <v>642</v>
      </c>
      <c r="E74" s="888">
        <v>0.2</v>
      </c>
      <c r="F74" s="875">
        <v>30</v>
      </c>
    </row>
    <row r="75" spans="1:6" s="871" customFormat="1" ht="24">
      <c r="A75" s="875">
        <v>15</v>
      </c>
      <c r="B75" s="3734"/>
      <c r="C75" s="811" t="s">
        <v>643</v>
      </c>
      <c r="D75" s="811" t="s">
        <v>644</v>
      </c>
      <c r="E75" s="888">
        <v>0.2</v>
      </c>
      <c r="F75" s="875">
        <v>30</v>
      </c>
    </row>
    <row r="76" spans="1:6" s="871" customFormat="1" ht="24">
      <c r="A76" s="875">
        <v>16</v>
      </c>
      <c r="B76" s="3734" t="s">
        <v>645</v>
      </c>
      <c r="C76" s="811" t="s">
        <v>646</v>
      </c>
      <c r="D76" s="811" t="s">
        <v>647</v>
      </c>
      <c r="E76" s="888">
        <v>0.5</v>
      </c>
      <c r="F76" s="875">
        <v>80</v>
      </c>
    </row>
    <row r="77" spans="1:6" s="871" customFormat="1" ht="24">
      <c r="A77" s="875">
        <v>17</v>
      </c>
      <c r="B77" s="3734"/>
      <c r="C77" s="811" t="s">
        <v>648</v>
      </c>
      <c r="D77" s="811" t="s">
        <v>649</v>
      </c>
      <c r="E77" s="888">
        <v>0.5</v>
      </c>
      <c r="F77" s="875">
        <v>80</v>
      </c>
    </row>
    <row r="78" spans="1:6" s="871" customFormat="1" ht="24">
      <c r="A78" s="875">
        <v>18</v>
      </c>
      <c r="B78" s="3734"/>
      <c r="C78" s="811" t="s">
        <v>650</v>
      </c>
      <c r="D78" s="811" t="s">
        <v>651</v>
      </c>
      <c r="E78" s="888">
        <v>0.2</v>
      </c>
      <c r="F78" s="875">
        <v>30</v>
      </c>
    </row>
    <row r="79" spans="1:6" s="871" customFormat="1" ht="24">
      <c r="A79" s="875">
        <v>19</v>
      </c>
      <c r="B79" s="3734"/>
      <c r="C79" s="811" t="s">
        <v>652</v>
      </c>
      <c r="D79" s="811" t="s">
        <v>653</v>
      </c>
      <c r="E79" s="888">
        <v>0.5</v>
      </c>
      <c r="F79" s="875">
        <v>80</v>
      </c>
    </row>
    <row r="80" spans="1:6" s="871" customFormat="1" ht="36">
      <c r="A80" s="875">
        <v>20</v>
      </c>
      <c r="B80" s="3734"/>
      <c r="C80" s="811" t="s">
        <v>654</v>
      </c>
      <c r="D80" s="811" t="s">
        <v>655</v>
      </c>
      <c r="E80" s="888">
        <v>0.2</v>
      </c>
      <c r="F80" s="875">
        <v>30</v>
      </c>
    </row>
    <row r="81" spans="1:6" s="871" customFormat="1" ht="36">
      <c r="A81" s="875">
        <v>21</v>
      </c>
      <c r="B81" s="3734"/>
      <c r="C81" s="811" t="s">
        <v>656</v>
      </c>
      <c r="D81" s="811" t="s">
        <v>657</v>
      </c>
      <c r="E81" s="888">
        <v>0.2</v>
      </c>
      <c r="F81" s="875">
        <v>30</v>
      </c>
    </row>
    <row r="82" spans="1:6" s="871" customFormat="1" ht="48">
      <c r="A82" s="875">
        <v>22</v>
      </c>
      <c r="B82" s="3734"/>
      <c r="C82" s="811" t="s">
        <v>658</v>
      </c>
      <c r="D82" s="811" t="s">
        <v>659</v>
      </c>
      <c r="E82" s="888">
        <v>0.2</v>
      </c>
      <c r="F82" s="875">
        <v>30</v>
      </c>
    </row>
    <row r="83" spans="1:6" s="871" customFormat="1" ht="48">
      <c r="A83" s="875">
        <v>23</v>
      </c>
      <c r="B83" s="3734"/>
      <c r="C83" s="811" t="s">
        <v>660</v>
      </c>
      <c r="D83" s="811" t="s">
        <v>661</v>
      </c>
      <c r="E83" s="888">
        <v>0.2</v>
      </c>
      <c r="F83" s="875">
        <v>30</v>
      </c>
    </row>
    <row r="84" spans="1:6" s="871" customFormat="1" ht="36">
      <c r="A84" s="875">
        <v>24</v>
      </c>
      <c r="B84" s="3734"/>
      <c r="C84" s="811" t="s">
        <v>662</v>
      </c>
      <c r="D84" s="811" t="s">
        <v>663</v>
      </c>
      <c r="E84" s="888">
        <v>0.2</v>
      </c>
      <c r="F84" s="875">
        <v>30</v>
      </c>
    </row>
    <row r="85" spans="1:6" s="871" customFormat="1" ht="36">
      <c r="A85" s="875">
        <v>25</v>
      </c>
      <c r="B85" s="3734"/>
      <c r="C85" s="811" t="s">
        <v>664</v>
      </c>
      <c r="D85" s="811" t="s">
        <v>665</v>
      </c>
      <c r="E85" s="888">
        <v>0.5</v>
      </c>
      <c r="F85" s="875">
        <v>80</v>
      </c>
    </row>
    <row r="86" spans="1:6" s="871" customFormat="1" ht="36">
      <c r="A86" s="875">
        <v>26</v>
      </c>
      <c r="B86" s="3734"/>
      <c r="C86" s="811" t="s">
        <v>666</v>
      </c>
      <c r="D86" s="811" t="s">
        <v>667</v>
      </c>
      <c r="E86" s="888">
        <v>0.2</v>
      </c>
      <c r="F86" s="875">
        <v>30</v>
      </c>
    </row>
    <row r="87" spans="1:6" s="871" customFormat="1" ht="36">
      <c r="A87" s="875">
        <v>27</v>
      </c>
      <c r="B87" s="3734"/>
      <c r="C87" s="811" t="s">
        <v>668</v>
      </c>
      <c r="D87" s="811" t="s">
        <v>669</v>
      </c>
      <c r="E87" s="888">
        <v>0.2</v>
      </c>
      <c r="F87" s="875">
        <v>30</v>
      </c>
    </row>
    <row r="88" spans="1:6" s="871" customFormat="1" ht="36">
      <c r="A88" s="875">
        <v>28</v>
      </c>
      <c r="B88" s="3734"/>
      <c r="C88" s="811" t="s">
        <v>670</v>
      </c>
      <c r="D88" s="811" t="s">
        <v>671</v>
      </c>
      <c r="E88" s="888">
        <v>0.2</v>
      </c>
      <c r="F88" s="875">
        <v>30</v>
      </c>
    </row>
    <row r="89" spans="1:6" s="871" customFormat="1" ht="24">
      <c r="A89" s="875">
        <v>29</v>
      </c>
      <c r="B89" s="3734"/>
      <c r="C89" s="811" t="s">
        <v>672</v>
      </c>
      <c r="D89" s="811" t="s">
        <v>673</v>
      </c>
      <c r="E89" s="888">
        <v>0.2</v>
      </c>
      <c r="F89" s="875">
        <v>30</v>
      </c>
    </row>
    <row r="90" spans="1:6" s="871" customFormat="1" ht="24">
      <c r="A90" s="875">
        <v>30</v>
      </c>
      <c r="B90" s="3734"/>
      <c r="C90" s="811" t="s">
        <v>674</v>
      </c>
      <c r="D90" s="811" t="s">
        <v>675</v>
      </c>
      <c r="E90" s="888">
        <v>0.2</v>
      </c>
      <c r="F90" s="875">
        <v>30</v>
      </c>
    </row>
    <row r="91" spans="1:6" s="871" customFormat="1" ht="36">
      <c r="A91" s="875">
        <v>31</v>
      </c>
      <c r="B91" s="3734"/>
      <c r="C91" s="811" t="s">
        <v>676</v>
      </c>
      <c r="D91" s="811" t="s">
        <v>677</v>
      </c>
      <c r="E91" s="888">
        <v>0.2</v>
      </c>
      <c r="F91" s="875">
        <v>30</v>
      </c>
    </row>
    <row r="92" spans="1:6" s="871" customFormat="1" ht="24">
      <c r="A92" s="875">
        <v>32</v>
      </c>
      <c r="B92" s="3734" t="s">
        <v>678</v>
      </c>
      <c r="C92" s="875" t="s">
        <v>679</v>
      </c>
      <c r="D92" s="811" t="s">
        <v>680</v>
      </c>
      <c r="E92" s="888">
        <v>0.2</v>
      </c>
      <c r="F92" s="875">
        <v>30</v>
      </c>
    </row>
    <row r="93" spans="1:6" s="871" customFormat="1" ht="36">
      <c r="A93" s="875">
        <v>33</v>
      </c>
      <c r="B93" s="3734"/>
      <c r="C93" s="875" t="s">
        <v>681</v>
      </c>
      <c r="D93" s="811" t="s">
        <v>682</v>
      </c>
      <c r="E93" s="888">
        <v>0.2</v>
      </c>
      <c r="F93" s="875">
        <v>30</v>
      </c>
    </row>
    <row r="94" spans="1:6" s="871" customFormat="1" ht="48">
      <c r="A94" s="875">
        <v>34</v>
      </c>
      <c r="B94" s="3734"/>
      <c r="C94" s="875" t="s">
        <v>683</v>
      </c>
      <c r="D94" s="811" t="s">
        <v>684</v>
      </c>
      <c r="E94" s="888">
        <v>0.2</v>
      </c>
      <c r="F94" s="875">
        <v>30</v>
      </c>
    </row>
    <row r="95" spans="1:6" s="871" customFormat="1" ht="36">
      <c r="A95" s="875">
        <v>35</v>
      </c>
      <c r="B95" s="3734"/>
      <c r="C95" s="875" t="s">
        <v>685</v>
      </c>
      <c r="D95" s="811" t="s">
        <v>686</v>
      </c>
      <c r="E95" s="888">
        <v>0.2</v>
      </c>
      <c r="F95" s="875">
        <v>30</v>
      </c>
    </row>
    <row r="96" spans="1:6" s="871" customFormat="1" ht="48">
      <c r="A96" s="875">
        <v>36</v>
      </c>
      <c r="B96" s="3734"/>
      <c r="C96" s="811" t="s">
        <v>687</v>
      </c>
      <c r="D96" s="811" t="s">
        <v>688</v>
      </c>
      <c r="E96" s="888">
        <v>0.2</v>
      </c>
      <c r="F96" s="875">
        <v>30</v>
      </c>
    </row>
    <row r="97" spans="1:6" s="871" customFormat="1" ht="36">
      <c r="A97" s="875">
        <v>37</v>
      </c>
      <c r="B97" s="3734"/>
      <c r="C97" s="875" t="s">
        <v>689</v>
      </c>
      <c r="D97" s="811" t="s">
        <v>690</v>
      </c>
      <c r="E97" s="888">
        <v>0.2</v>
      </c>
      <c r="F97" s="875">
        <v>30</v>
      </c>
    </row>
    <row r="98" spans="1:6" s="871" customFormat="1" ht="36">
      <c r="A98" s="875">
        <v>38</v>
      </c>
      <c r="B98" s="3734"/>
      <c r="C98" s="875" t="s">
        <v>691</v>
      </c>
      <c r="D98" s="811" t="s">
        <v>692</v>
      </c>
      <c r="E98" s="888">
        <v>0.2</v>
      </c>
      <c r="F98" s="875">
        <v>30</v>
      </c>
    </row>
    <row r="99" spans="1:6" s="871" customFormat="1" ht="36">
      <c r="A99" s="875">
        <v>39</v>
      </c>
      <c r="B99" s="3734" t="s">
        <v>693</v>
      </c>
      <c r="C99" s="875" t="s">
        <v>694</v>
      </c>
      <c r="D99" s="811" t="s">
        <v>695</v>
      </c>
      <c r="E99" s="888">
        <v>0.3</v>
      </c>
      <c r="F99" s="875">
        <v>50</v>
      </c>
    </row>
    <row r="100" spans="1:6" s="871" customFormat="1" ht="24">
      <c r="A100" s="875">
        <v>40</v>
      </c>
      <c r="B100" s="3734"/>
      <c r="C100" s="875" t="s">
        <v>696</v>
      </c>
      <c r="D100" s="811" t="s">
        <v>697</v>
      </c>
      <c r="E100" s="888">
        <v>0.2</v>
      </c>
      <c r="F100" s="875">
        <v>30</v>
      </c>
    </row>
    <row r="101" spans="1:6" s="871" customFormat="1" ht="36">
      <c r="A101" s="875">
        <v>41</v>
      </c>
      <c r="B101" s="373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734" t="s">
        <v>708</v>
      </c>
      <c r="C105" s="875" t="s">
        <v>709</v>
      </c>
      <c r="D105" s="811" t="s">
        <v>710</v>
      </c>
      <c r="E105" s="888">
        <v>0.2</v>
      </c>
      <c r="F105" s="875">
        <v>30</v>
      </c>
    </row>
    <row r="106" spans="1:6" s="871" customFormat="1" ht="36">
      <c r="A106" s="875">
        <v>46</v>
      </c>
      <c r="B106" s="3734"/>
      <c r="C106" s="875" t="s">
        <v>711</v>
      </c>
      <c r="D106" s="811" t="s">
        <v>712</v>
      </c>
      <c r="E106" s="888">
        <v>0.2</v>
      </c>
      <c r="F106" s="875">
        <v>30</v>
      </c>
    </row>
    <row r="107" spans="1:6" s="871" customFormat="1" ht="36">
      <c r="A107" s="875">
        <v>47</v>
      </c>
      <c r="B107" s="3734" t="s">
        <v>713</v>
      </c>
      <c r="C107" s="875" t="s">
        <v>714</v>
      </c>
      <c r="D107" s="811" t="s">
        <v>715</v>
      </c>
      <c r="E107" s="888">
        <v>0.3</v>
      </c>
      <c r="F107" s="875">
        <v>50</v>
      </c>
    </row>
    <row r="108" spans="1:6" s="871" customFormat="1" ht="36">
      <c r="A108" s="875">
        <v>48</v>
      </c>
      <c r="B108" s="373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734" t="s">
        <v>724</v>
      </c>
      <c r="C111" s="875" t="s">
        <v>725</v>
      </c>
      <c r="D111" s="811" t="s">
        <v>726</v>
      </c>
      <c r="E111" s="888">
        <v>0.2</v>
      </c>
      <c r="F111" s="875">
        <v>30</v>
      </c>
    </row>
    <row r="112" spans="1:6" s="871" customFormat="1" ht="24">
      <c r="A112" s="875">
        <v>52</v>
      </c>
      <c r="B112" s="3734"/>
      <c r="C112" s="875" t="s">
        <v>727</v>
      </c>
      <c r="D112" s="811" t="s">
        <v>728</v>
      </c>
      <c r="E112" s="888">
        <v>0.2</v>
      </c>
      <c r="F112" s="875">
        <v>30</v>
      </c>
    </row>
    <row r="113" spans="1:6" s="871" customFormat="1" ht="24">
      <c r="A113" s="875">
        <v>53</v>
      </c>
      <c r="B113" s="373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734" t="s">
        <v>737</v>
      </c>
      <c r="C116" s="875" t="s">
        <v>738</v>
      </c>
      <c r="D116" s="811" t="s">
        <v>739</v>
      </c>
      <c r="E116" s="888">
        <v>0.2</v>
      </c>
      <c r="F116" s="875">
        <v>30</v>
      </c>
    </row>
    <row r="117" spans="1:6" ht="36">
      <c r="A117" s="875">
        <v>57</v>
      </c>
      <c r="B117" s="373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topLeftCell="A2" zoomScale="80" zoomScaleNormal="80" workbookViewId="0">
      <selection activeCell="C5" sqref="C5:J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704" t="s">
        <v>2538</v>
      </c>
      <c r="D4" s="3705"/>
      <c r="E4" s="3706" t="s">
        <v>2539</v>
      </c>
      <c r="F4" s="3707"/>
      <c r="G4" s="3704" t="s">
        <v>2540</v>
      </c>
      <c r="H4" s="3705"/>
      <c r="I4" s="3704" t="s">
        <v>2541</v>
      </c>
      <c r="J4" s="3705"/>
      <c r="K4" s="603" t="s">
        <v>2542</v>
      </c>
      <c r="L4" s="1126"/>
      <c r="M4" s="1127"/>
      <c r="N4" s="1127"/>
      <c r="O4" s="1127"/>
      <c r="P4" s="3622" t="s">
        <v>2543</v>
      </c>
      <c r="Q4" s="3623"/>
      <c r="R4" s="3605" t="s">
        <v>2539</v>
      </c>
      <c r="S4" s="3606"/>
      <c r="T4" s="3605" t="s">
        <v>2540</v>
      </c>
      <c r="U4" s="3606"/>
      <c r="V4" s="3630" t="s">
        <v>2541</v>
      </c>
      <c r="W4" s="3630"/>
      <c r="X4" s="3029"/>
      <c r="Y4" s="3605" t="s">
        <v>2543</v>
      </c>
      <c r="Z4" s="3606"/>
      <c r="AA4" s="3600" t="s">
        <v>2539</v>
      </c>
      <c r="AB4" s="3601" t="s">
        <v>2540</v>
      </c>
      <c r="AC4" s="3600" t="s">
        <v>2541</v>
      </c>
    </row>
    <row r="5" spans="1:30" ht="54.75" customHeight="1">
      <c r="A5" s="2992"/>
      <c r="B5" s="2993"/>
      <c r="C5" s="3698" t="str">
        <f>'比较法-住宅'!C5:D5</f>
        <v>大兴区魏善庄集体经营性建设用地DX07-0303-0011、0012地块</v>
      </c>
      <c r="D5" s="3699"/>
      <c r="E5" s="3696" t="str">
        <f>招拍挂案例!C4</f>
        <v>集体建设用地区级统筹大兴区瀛海镇YZ00-0803-2009、2012A、2012B、2015地块</v>
      </c>
      <c r="F5" s="3697"/>
      <c r="G5" s="3698" t="str">
        <f>招拍挂案例!C5</f>
        <v>集体建设用地区级统筹大兴区瀛海镇YZ00-0803-2003、2004、2005A、2005B、2008地块</v>
      </c>
      <c r="H5" s="3699"/>
      <c r="I5" s="3698" t="str">
        <f>招拍挂案例!C9</f>
        <v>集体建设用地区级统筹大兴区瀛海镇YZ00-0803-2010、2013A、2013B、2014、2016地块</v>
      </c>
      <c r="J5" s="3699"/>
      <c r="K5" s="603"/>
      <c r="L5" s="3247">
        <f>ROUND((1+1.11%)*(1+0.95%)*(1+0.48%)*(1+1.17%)*(1+0.96%)*(1+1.05%),4)</f>
        <v>1.0586</v>
      </c>
      <c r="M5" s="3247">
        <f>ROUND((1+2.35%)*(1+1.11%)*(1+0.95%)*(1+0.48%)*(1+1.17%)*(1+0.96%)*(1+1.05%),4)</f>
        <v>1.0833999999999999</v>
      </c>
      <c r="N5" s="3247">
        <f>ROUND((1+0.54%)*(1+0.21%)*(1+0.5%)*(1+0.49%)*(1+2.35%)*(1+1.11%)*(1+0.95%)*(1+0.48%)*(1+1.17%)*(1+0.96%)*(1+1.05%),4)</f>
        <v>1.1024</v>
      </c>
      <c r="O5" s="3248"/>
      <c r="P5" s="3624"/>
      <c r="Q5" s="3625"/>
      <c r="R5" s="3607"/>
      <c r="S5" s="3608"/>
      <c r="T5" s="3607"/>
      <c r="U5" s="3608"/>
      <c r="V5" s="3630"/>
      <c r="W5" s="3630"/>
      <c r="X5" s="3029"/>
      <c r="Y5" s="3607"/>
      <c r="Z5" s="3608"/>
      <c r="AA5" s="3601"/>
      <c r="AB5" s="3601"/>
      <c r="AC5" s="3601"/>
    </row>
    <row r="6" spans="1:30" ht="15.75" thickBot="1">
      <c r="A6" s="2994"/>
      <c r="B6" s="2995"/>
      <c r="C6" s="3700"/>
      <c r="D6" s="3701"/>
      <c r="E6" s="3702" t="s">
        <v>3634</v>
      </c>
      <c r="F6" s="3703"/>
      <c r="G6" s="3702" t="s">
        <v>3635</v>
      </c>
      <c r="H6" s="3703"/>
      <c r="I6" s="3700" t="s">
        <v>3643</v>
      </c>
      <c r="J6" s="3701"/>
      <c r="K6" s="603" t="s">
        <v>2549</v>
      </c>
      <c r="L6" s="1126">
        <f>1/L5</f>
        <v>0.94464386926128852</v>
      </c>
      <c r="M6" s="1126">
        <f t="shared" ref="M6:N6" si="0">1/M5</f>
        <v>0.92302012183865612</v>
      </c>
      <c r="N6" s="1126">
        <f t="shared" si="0"/>
        <v>0.90711175616835993</v>
      </c>
      <c r="O6" s="1127"/>
      <c r="P6" s="3626"/>
      <c r="Q6" s="3627"/>
      <c r="R6" s="3607"/>
      <c r="S6" s="3608"/>
      <c r="T6" s="3628"/>
      <c r="U6" s="3629"/>
      <c r="V6" s="3630"/>
      <c r="W6" s="3630"/>
      <c r="X6" s="3029"/>
      <c r="Y6" s="3628"/>
      <c r="Z6" s="3629"/>
      <c r="AA6" s="3602"/>
      <c r="AB6" s="3602"/>
      <c r="AC6" s="3602"/>
    </row>
    <row r="7" spans="1:30" s="116" customFormat="1" ht="15.75" thickBot="1">
      <c r="A7" s="3002" t="s">
        <v>3142</v>
      </c>
      <c r="B7" s="3003"/>
      <c r="C7" s="2968">
        <f>'数据-取费表'!B2</f>
        <v>44832</v>
      </c>
      <c r="D7" s="2969">
        <v>100</v>
      </c>
      <c r="E7" s="3194">
        <f>招拍挂案例!N4</f>
        <v>44237.000497685185</v>
      </c>
      <c r="F7" s="3197">
        <v>94.5</v>
      </c>
      <c r="G7" s="3195">
        <f>招拍挂案例!N5</f>
        <v>44190.000497685185</v>
      </c>
      <c r="H7" s="3198">
        <v>92.3</v>
      </c>
      <c r="I7" s="3195">
        <f>招拍挂案例!N9</f>
        <v>43720.000497685185</v>
      </c>
      <c r="J7" s="3198">
        <v>90.7</v>
      </c>
      <c r="K7" s="604"/>
      <c r="L7" s="1128"/>
      <c r="M7" s="1129"/>
      <c r="N7" s="1129"/>
      <c r="O7" s="1129"/>
      <c r="P7" s="3603" t="s">
        <v>2551</v>
      </c>
      <c r="Q7" s="3631"/>
      <c r="R7" s="763" t="s">
        <v>17</v>
      </c>
      <c r="S7" s="764">
        <f t="shared" ref="S7:S15" si="1">F7</f>
        <v>94.5</v>
      </c>
      <c r="T7" s="763" t="s">
        <v>17</v>
      </c>
      <c r="U7" s="764">
        <f t="shared" ref="U7:U15" si="2">H7</f>
        <v>92.3</v>
      </c>
      <c r="V7" s="763" t="s">
        <v>17</v>
      </c>
      <c r="W7" s="764">
        <f t="shared" ref="W7:W15" si="3">J7</f>
        <v>90.7</v>
      </c>
      <c r="X7" s="765"/>
      <c r="Y7" s="3603" t="s">
        <v>2551</v>
      </c>
      <c r="Z7" s="3604"/>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603" t="s">
        <v>2554</v>
      </c>
      <c r="Q8" s="3604"/>
      <c r="R8" s="763" t="s">
        <v>17</v>
      </c>
      <c r="S8" s="764">
        <f t="shared" si="1"/>
        <v>100</v>
      </c>
      <c r="T8" s="763" t="s">
        <v>17</v>
      </c>
      <c r="U8" s="764">
        <f t="shared" si="2"/>
        <v>100</v>
      </c>
      <c r="V8" s="763" t="s">
        <v>17</v>
      </c>
      <c r="W8" s="764">
        <f t="shared" si="3"/>
        <v>100</v>
      </c>
      <c r="X8" s="765"/>
      <c r="Y8" s="3603" t="s">
        <v>2554</v>
      </c>
      <c r="Z8" s="3604"/>
      <c r="AA8" s="766">
        <f t="shared" ref="AA8:AA45" si="4">D8/F8</f>
        <v>1</v>
      </c>
      <c r="AB8" s="766">
        <f t="shared" ref="AB8:AB45" si="5">D8/H8</f>
        <v>1</v>
      </c>
      <c r="AC8" s="766">
        <f t="shared" ref="AC8:AC45" si="6">D8/J8</f>
        <v>1</v>
      </c>
    </row>
    <row r="9" spans="1:30" s="116" customFormat="1" ht="43.5" customHeight="1">
      <c r="A9" s="2998" t="s">
        <v>2590</v>
      </c>
      <c r="B9" s="3035" t="s">
        <v>3144</v>
      </c>
      <c r="C9" s="3079" t="s">
        <v>3630</v>
      </c>
      <c r="D9" s="2973">
        <v>100</v>
      </c>
      <c r="E9" s="3101" t="s">
        <v>3630</v>
      </c>
      <c r="F9" s="3102">
        <v>100</v>
      </c>
      <c r="G9" s="3103" t="s">
        <v>3631</v>
      </c>
      <c r="H9" s="3102">
        <v>100</v>
      </c>
      <c r="I9" s="3103" t="str">
        <f>G9</f>
        <v>F81 绿隔产业
用地（建设共有
产权住房）</v>
      </c>
      <c r="J9" s="3102">
        <f>F9</f>
        <v>100</v>
      </c>
      <c r="K9" s="604"/>
      <c r="L9" s="1128"/>
      <c r="M9" s="1129"/>
      <c r="N9" s="1129"/>
      <c r="O9" s="1130"/>
      <c r="P9" s="3635" t="s">
        <v>2557</v>
      </c>
      <c r="Q9" s="3027" t="str">
        <f t="shared" ref="Q9:Q15" si="7">B9</f>
        <v>用途</v>
      </c>
      <c r="R9" s="763" t="s">
        <v>17</v>
      </c>
      <c r="S9" s="764">
        <f t="shared" si="1"/>
        <v>100</v>
      </c>
      <c r="T9" s="763" t="s">
        <v>17</v>
      </c>
      <c r="U9" s="764">
        <f t="shared" si="2"/>
        <v>100</v>
      </c>
      <c r="V9" s="763" t="s">
        <v>17</v>
      </c>
      <c r="W9" s="764">
        <f t="shared" si="3"/>
        <v>100</v>
      </c>
      <c r="X9" s="765"/>
      <c r="Y9" s="3462" t="s">
        <v>2558</v>
      </c>
      <c r="Z9" s="3028" t="str">
        <f t="shared" ref="Z9:Z15" si="8">Q9</f>
        <v>用途</v>
      </c>
      <c r="AA9" s="766">
        <f t="shared" si="4"/>
        <v>1</v>
      </c>
      <c r="AB9" s="766">
        <f t="shared" si="5"/>
        <v>1</v>
      </c>
      <c r="AC9" s="766">
        <f t="shared" si="6"/>
        <v>1</v>
      </c>
    </row>
    <row r="10" spans="1:30" s="422" customFormat="1" ht="27">
      <c r="A10" s="2996"/>
      <c r="B10" s="3005" t="s">
        <v>3145</v>
      </c>
      <c r="C10" s="2963">
        <v>70</v>
      </c>
      <c r="D10" s="2974">
        <v>100</v>
      </c>
      <c r="E10" s="3193" t="s">
        <v>3065</v>
      </c>
      <c r="F10" s="3192">
        <v>100</v>
      </c>
      <c r="G10" s="3105" t="s">
        <v>3065</v>
      </c>
      <c r="H10" s="3192">
        <v>100</v>
      </c>
      <c r="I10" s="3105" t="s">
        <v>3065</v>
      </c>
      <c r="J10" s="3192">
        <v>100</v>
      </c>
      <c r="K10" s="665"/>
      <c r="L10" s="1131"/>
      <c r="M10" s="1132"/>
      <c r="N10" s="1132"/>
      <c r="O10" s="1133"/>
      <c r="P10" s="3635"/>
      <c r="Q10" s="3027" t="str">
        <f t="shared" si="7"/>
        <v>土地使用年限（年）</v>
      </c>
      <c r="R10" s="763" t="s">
        <v>17</v>
      </c>
      <c r="S10" s="764">
        <f t="shared" si="1"/>
        <v>100</v>
      </c>
      <c r="T10" s="763" t="s">
        <v>17</v>
      </c>
      <c r="U10" s="764">
        <f t="shared" si="2"/>
        <v>100</v>
      </c>
      <c r="V10" s="763" t="s">
        <v>17</v>
      </c>
      <c r="W10" s="764">
        <f t="shared" si="3"/>
        <v>100</v>
      </c>
      <c r="X10" s="765"/>
      <c r="Y10" s="3462"/>
      <c r="Z10" s="3028"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21">
        <v>100</v>
      </c>
      <c r="K11" s="605">
        <v>0</v>
      </c>
      <c r="L11" s="1134"/>
      <c r="M11" s="1127"/>
      <c r="N11" s="1127"/>
      <c r="O11" s="1135"/>
      <c r="P11" s="3635"/>
      <c r="Q11" s="3027" t="str">
        <f t="shared" si="7"/>
        <v>容积率</v>
      </c>
      <c r="R11" s="763" t="s">
        <v>17</v>
      </c>
      <c r="S11" s="764">
        <f t="shared" si="1"/>
        <v>100</v>
      </c>
      <c r="T11" s="763" t="s">
        <v>17</v>
      </c>
      <c r="U11" s="764">
        <f t="shared" si="2"/>
        <v>100</v>
      </c>
      <c r="V11" s="763" t="s">
        <v>17</v>
      </c>
      <c r="W11" s="764">
        <f t="shared" si="3"/>
        <v>100</v>
      </c>
      <c r="X11" s="765"/>
      <c r="Y11" s="3462"/>
      <c r="Z11" s="3028"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35"/>
      <c r="Q12" s="3027" t="str">
        <f t="shared" si="7"/>
        <v>土地受让方</v>
      </c>
      <c r="R12" s="763" t="s">
        <v>17</v>
      </c>
      <c r="S12" s="764">
        <f t="shared" si="1"/>
        <v>100</v>
      </c>
      <c r="T12" s="763" t="s">
        <v>17</v>
      </c>
      <c r="U12" s="764">
        <f t="shared" si="2"/>
        <v>100</v>
      </c>
      <c r="V12" s="763" t="s">
        <v>17</v>
      </c>
      <c r="W12" s="764">
        <f t="shared" si="3"/>
        <v>100</v>
      </c>
      <c r="X12" s="765"/>
      <c r="Y12" s="3462"/>
      <c r="Z12" s="3028"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635"/>
      <c r="Q13" s="3027">
        <f t="shared" si="7"/>
        <v>0</v>
      </c>
      <c r="R13" s="763" t="s">
        <v>17</v>
      </c>
      <c r="S13" s="764">
        <f t="shared" si="1"/>
        <v>100</v>
      </c>
      <c r="T13" s="763" t="s">
        <v>17</v>
      </c>
      <c r="U13" s="764">
        <f t="shared" si="2"/>
        <v>100</v>
      </c>
      <c r="V13" s="763" t="s">
        <v>17</v>
      </c>
      <c r="W13" s="764">
        <f t="shared" si="3"/>
        <v>100</v>
      </c>
      <c r="X13" s="765"/>
      <c r="Y13" s="3462"/>
      <c r="Z13" s="3028">
        <f t="shared" si="8"/>
        <v>0</v>
      </c>
      <c r="AA13" s="766">
        <f>D13/F13</f>
        <v>1</v>
      </c>
      <c r="AB13" s="766">
        <f>D13/H13</f>
        <v>1</v>
      </c>
      <c r="AC13" s="766">
        <f>D13/J13</f>
        <v>1</v>
      </c>
    </row>
    <row r="14" spans="1:30" ht="15.75" hidden="1" thickBot="1">
      <c r="A14" s="2997"/>
      <c r="B14" s="3086"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635"/>
      <c r="Q14" s="3027" t="str">
        <f t="shared" si="7"/>
        <v>年期修正</v>
      </c>
      <c r="R14" s="763" t="s">
        <v>17</v>
      </c>
      <c r="S14" s="764">
        <f t="shared" si="1"/>
        <v>100</v>
      </c>
      <c r="T14" s="763" t="s">
        <v>17</v>
      </c>
      <c r="U14" s="764">
        <f t="shared" si="2"/>
        <v>100</v>
      </c>
      <c r="V14" s="763" t="s">
        <v>17</v>
      </c>
      <c r="W14" s="764">
        <f t="shared" si="3"/>
        <v>100</v>
      </c>
      <c r="X14" s="765"/>
      <c r="Y14" s="3462"/>
      <c r="Z14" s="3028" t="str">
        <f t="shared" si="8"/>
        <v>年期修正</v>
      </c>
      <c r="AA14" s="766">
        <f>D14/F14</f>
        <v>1</v>
      </c>
      <c r="AB14" s="766">
        <f>D14/H14</f>
        <v>1</v>
      </c>
      <c r="AC14" s="766">
        <f>D14/J14</f>
        <v>1</v>
      </c>
    </row>
    <row r="15" spans="1:30" ht="69.75" customHeight="1">
      <c r="A15" s="2998" t="s">
        <v>2561</v>
      </c>
      <c r="B15" s="3090" t="s">
        <v>3297</v>
      </c>
      <c r="C15" s="2977"/>
      <c r="D15" s="2978">
        <v>100</v>
      </c>
      <c r="E15" s="437"/>
      <c r="F15" s="3167">
        <v>100.5</v>
      </c>
      <c r="G15" s="3163"/>
      <c r="H15" s="3167">
        <f>F15</f>
        <v>100.5</v>
      </c>
      <c r="I15" s="3164"/>
      <c r="J15" s="3167">
        <f>F15</f>
        <v>100.5</v>
      </c>
      <c r="K15" s="666">
        <v>0.5</v>
      </c>
      <c r="L15" s="1136"/>
      <c r="M15" s="1127"/>
      <c r="N15" s="1127"/>
      <c r="O15" s="1135"/>
      <c r="P15" s="3637" t="s">
        <v>2562</v>
      </c>
      <c r="Q15" s="3031" t="str">
        <f t="shared" si="7"/>
        <v>居住社区成熟度</v>
      </c>
      <c r="R15" s="767" t="s">
        <v>17</v>
      </c>
      <c r="S15" s="768">
        <f t="shared" si="1"/>
        <v>100.5</v>
      </c>
      <c r="T15" s="767" t="s">
        <v>17</v>
      </c>
      <c r="U15" s="768">
        <f t="shared" si="2"/>
        <v>100.5</v>
      </c>
      <c r="V15" s="767" t="s">
        <v>17</v>
      </c>
      <c r="W15" s="768">
        <f t="shared" si="3"/>
        <v>100.5</v>
      </c>
      <c r="X15" s="3029"/>
      <c r="Y15" s="3637" t="s">
        <v>2562</v>
      </c>
      <c r="Z15" s="3030" t="str">
        <f t="shared" si="8"/>
        <v>居住社区成熟度</v>
      </c>
      <c r="AA15" s="3032">
        <f t="shared" si="4"/>
        <v>0.99502487562189057</v>
      </c>
      <c r="AB15" s="3032">
        <f t="shared" si="5"/>
        <v>0.99502487562189057</v>
      </c>
      <c r="AC15" s="3032">
        <f t="shared" si="6"/>
        <v>0.99502487562189057</v>
      </c>
    </row>
    <row r="16" spans="1:30" ht="15">
      <c r="A16" s="2996"/>
      <c r="B16" s="2999"/>
      <c r="C16" s="2963" t="str">
        <f>'比较法-住宅'!C16</f>
        <v>较差</v>
      </c>
      <c r="D16" s="2979"/>
      <c r="E16" s="2965" t="s">
        <v>3071</v>
      </c>
      <c r="F16" s="3168"/>
      <c r="G16" s="3105" t="s">
        <v>3071</v>
      </c>
      <c r="H16" s="3169"/>
      <c r="I16" s="3105" t="s">
        <v>3071</v>
      </c>
      <c r="J16" s="3168"/>
      <c r="K16" s="665"/>
      <c r="L16" s="1136"/>
      <c r="M16" s="1127"/>
      <c r="N16" s="1127"/>
      <c r="O16" s="1135"/>
      <c r="P16" s="3638"/>
      <c r="Q16" s="3031"/>
      <c r="R16" s="767"/>
      <c r="S16" s="768"/>
      <c r="T16" s="767"/>
      <c r="U16" s="768"/>
      <c r="V16" s="767"/>
      <c r="W16" s="768"/>
      <c r="X16" s="3029"/>
      <c r="Y16" s="3638"/>
      <c r="Z16" s="3030"/>
      <c r="AA16" s="3032">
        <v>1</v>
      </c>
      <c r="AB16" s="3032">
        <v>1</v>
      </c>
      <c r="AC16" s="3032">
        <v>1</v>
      </c>
    </row>
    <row r="17" spans="1:29" ht="57" hidden="1">
      <c r="A17" s="2996"/>
      <c r="B17" s="3009" t="s">
        <v>3148</v>
      </c>
      <c r="C17" s="2981" t="str">
        <f>估价对象房地状况!C16</f>
        <v>估价对象位于XX商圈，周边商业氛围成熟，人流量大，商业繁华度好</v>
      </c>
      <c r="D17" s="2980">
        <v>100</v>
      </c>
      <c r="E17" s="447"/>
      <c r="F17" s="3169">
        <f>SUMIF(90:90,E18,91:91)-SUMIF(90:90,C18,91:91)+100</f>
        <v>100</v>
      </c>
      <c r="G17" s="3165"/>
      <c r="H17" s="3170">
        <f>SUMIF(90:90,G18,91:91)-SUMIF(90:90,C18,91:91)+100</f>
        <v>100</v>
      </c>
      <c r="I17" s="3166"/>
      <c r="J17" s="3170">
        <f>SUMIF(90:90,I18,91:91)-SUMIF(90:90,C18,91:91)+100</f>
        <v>100</v>
      </c>
      <c r="K17" s="666"/>
      <c r="L17" s="1136"/>
      <c r="M17" s="1127"/>
      <c r="N17" s="1127"/>
      <c r="O17" s="1135"/>
      <c r="P17" s="3638"/>
      <c r="Q17" s="3031" t="str">
        <f>B17</f>
        <v>商业繁华度</v>
      </c>
      <c r="R17" s="767" t="s">
        <v>17</v>
      </c>
      <c r="S17" s="768">
        <f>F17</f>
        <v>100</v>
      </c>
      <c r="T17" s="767" t="s">
        <v>17</v>
      </c>
      <c r="U17" s="768">
        <f>H17</f>
        <v>100</v>
      </c>
      <c r="V17" s="767" t="s">
        <v>17</v>
      </c>
      <c r="W17" s="768">
        <f>J17</f>
        <v>100</v>
      </c>
      <c r="X17" s="3029"/>
      <c r="Y17" s="3638"/>
      <c r="Z17" s="3030" t="str">
        <f>Q17</f>
        <v>商业繁华度</v>
      </c>
      <c r="AA17" s="3032">
        <f t="shared" si="4"/>
        <v>1</v>
      </c>
      <c r="AB17" s="3032">
        <f t="shared" si="5"/>
        <v>1</v>
      </c>
      <c r="AC17" s="3032">
        <f t="shared" si="6"/>
        <v>1</v>
      </c>
    </row>
    <row r="18" spans="1:29" ht="15" hidden="1">
      <c r="A18" s="2996"/>
      <c r="B18" s="3010"/>
      <c r="C18" s="2983" t="s">
        <v>3072</v>
      </c>
      <c r="D18" s="2980"/>
      <c r="E18" s="447" t="s">
        <v>3072</v>
      </c>
      <c r="F18" s="3169"/>
      <c r="G18" s="3165" t="s">
        <v>3072</v>
      </c>
      <c r="H18" s="3168"/>
      <c r="I18" s="3166" t="s">
        <v>3072</v>
      </c>
      <c r="J18" s="3168"/>
      <c r="K18" s="665"/>
      <c r="L18" s="1136"/>
      <c r="M18" s="1127"/>
      <c r="N18" s="1127"/>
      <c r="O18" s="1135"/>
      <c r="P18" s="3638"/>
      <c r="Q18" s="3031"/>
      <c r="R18" s="767"/>
      <c r="S18" s="768"/>
      <c r="T18" s="767"/>
      <c r="U18" s="768"/>
      <c r="V18" s="767"/>
      <c r="W18" s="768"/>
      <c r="X18" s="3029"/>
      <c r="Y18" s="3638"/>
      <c r="Z18" s="3030"/>
      <c r="AA18" s="3032">
        <v>1</v>
      </c>
      <c r="AB18" s="3032">
        <v>1</v>
      </c>
      <c r="AC18" s="3032">
        <v>1</v>
      </c>
    </row>
    <row r="19" spans="1:29" ht="57" hidden="1">
      <c r="A19" s="2996"/>
      <c r="B19" s="3009" t="s">
        <v>3149</v>
      </c>
      <c r="C19" s="2981" t="str">
        <f>估价对象房地状况!C17</f>
        <v>估价对象位于XX商圈，周边办公楼项目较多，入驻率高，办公集聚程度较好</v>
      </c>
      <c r="D19" s="2982">
        <v>100</v>
      </c>
      <c r="E19" s="452"/>
      <c r="F19" s="3170">
        <f>SUMIF(92:92,E20,93:93)-SUMIF(92:92,C20,93:93)+100</f>
        <v>100</v>
      </c>
      <c r="G19" s="3171"/>
      <c r="H19" s="3169">
        <f>SUMIF(92:92,G20,93:93)-SUMIF(92:92,C20,93:93)+100</f>
        <v>100</v>
      </c>
      <c r="I19" s="3172"/>
      <c r="J19" s="3169">
        <f>SUMIF(92:92,I20,93:93)-SUMIF(92:92,C20,93:93)+100</f>
        <v>100</v>
      </c>
      <c r="K19" s="666"/>
      <c r="L19" s="1136"/>
      <c r="M19" s="1127"/>
      <c r="N19" s="1127"/>
      <c r="O19" s="1135"/>
      <c r="P19" s="3638"/>
      <c r="Q19" s="3031" t="str">
        <f>B19</f>
        <v>办公集聚程度</v>
      </c>
      <c r="R19" s="767" t="s">
        <v>17</v>
      </c>
      <c r="S19" s="768">
        <f>F19</f>
        <v>100</v>
      </c>
      <c r="T19" s="767" t="s">
        <v>17</v>
      </c>
      <c r="U19" s="768">
        <f>H19</f>
        <v>100</v>
      </c>
      <c r="V19" s="767" t="s">
        <v>17</v>
      </c>
      <c r="W19" s="768">
        <f>J19</f>
        <v>100</v>
      </c>
      <c r="X19" s="3029"/>
      <c r="Y19" s="3638"/>
      <c r="Z19" s="3030" t="str">
        <f>Q19</f>
        <v>办公集聚程度</v>
      </c>
      <c r="AA19" s="3032">
        <f t="shared" si="4"/>
        <v>1</v>
      </c>
      <c r="AB19" s="3032">
        <f t="shared" si="5"/>
        <v>1</v>
      </c>
      <c r="AC19" s="3032">
        <f t="shared" si="6"/>
        <v>1</v>
      </c>
    </row>
    <row r="20" spans="1:29" ht="15" hidden="1">
      <c r="A20" s="2996"/>
      <c r="B20" s="3010"/>
      <c r="C20" s="2963" t="s">
        <v>3072</v>
      </c>
      <c r="D20" s="2979"/>
      <c r="E20" s="2965" t="s">
        <v>3072</v>
      </c>
      <c r="F20" s="3168"/>
      <c r="G20" s="3105" t="s">
        <v>3072</v>
      </c>
      <c r="H20" s="3168"/>
      <c r="I20" s="3104" t="s">
        <v>3072</v>
      </c>
      <c r="J20" s="3168"/>
      <c r="K20" s="665"/>
      <c r="L20" s="1136"/>
      <c r="M20" s="1127"/>
      <c r="N20" s="1127"/>
      <c r="O20" s="1135"/>
      <c r="P20" s="3638"/>
      <c r="Q20" s="3031"/>
      <c r="R20" s="767"/>
      <c r="S20" s="768"/>
      <c r="T20" s="767"/>
      <c r="U20" s="768"/>
      <c r="V20" s="767"/>
      <c r="W20" s="768"/>
      <c r="X20" s="3029"/>
      <c r="Y20" s="3638"/>
      <c r="Z20" s="3030"/>
      <c r="AA20" s="3032">
        <v>1</v>
      </c>
      <c r="AB20" s="3032">
        <v>1</v>
      </c>
      <c r="AC20" s="3032">
        <v>1</v>
      </c>
    </row>
    <row r="21" spans="1:29" ht="15">
      <c r="A21" s="2996"/>
      <c r="B21" s="3009" t="s">
        <v>3150</v>
      </c>
      <c r="C21" s="2984"/>
      <c r="D21" s="2980">
        <v>100</v>
      </c>
      <c r="E21" s="447"/>
      <c r="F21" s="3170">
        <v>100.5</v>
      </c>
      <c r="G21" s="3165"/>
      <c r="H21" s="3169">
        <f>F21</f>
        <v>100.5</v>
      </c>
      <c r="I21" s="3166"/>
      <c r="J21" s="3169">
        <f>F21</f>
        <v>100.5</v>
      </c>
      <c r="K21" s="666">
        <v>0.5</v>
      </c>
      <c r="L21" s="1136"/>
      <c r="M21" s="1127"/>
      <c r="N21" s="1127"/>
      <c r="O21" s="1135"/>
      <c r="P21" s="3638"/>
      <c r="Q21" s="3031" t="str">
        <f>B21</f>
        <v>交通便捷度</v>
      </c>
      <c r="R21" s="767" t="s">
        <v>17</v>
      </c>
      <c r="S21" s="768">
        <f>F21</f>
        <v>100.5</v>
      </c>
      <c r="T21" s="767" t="s">
        <v>17</v>
      </c>
      <c r="U21" s="768">
        <f>H21</f>
        <v>100.5</v>
      </c>
      <c r="V21" s="767" t="s">
        <v>17</v>
      </c>
      <c r="W21" s="768">
        <f>J21</f>
        <v>100.5</v>
      </c>
      <c r="X21" s="3029"/>
      <c r="Y21" s="3638"/>
      <c r="Z21" s="3030" t="str">
        <f>Q21</f>
        <v>交通便捷度</v>
      </c>
      <c r="AA21" s="3032">
        <f t="shared" si="4"/>
        <v>0.99502487562189057</v>
      </c>
      <c r="AB21" s="3032">
        <f t="shared" si="5"/>
        <v>0.99502487562189057</v>
      </c>
      <c r="AC21" s="3032">
        <f t="shared" si="6"/>
        <v>0.99502487562189057</v>
      </c>
    </row>
    <row r="22" spans="1:29" ht="15">
      <c r="A22" s="2996"/>
      <c r="B22" s="3011"/>
      <c r="C22" s="2965" t="s">
        <v>3071</v>
      </c>
      <c r="D22" s="2980"/>
      <c r="E22" s="2965" t="s">
        <v>3070</v>
      </c>
      <c r="F22" s="3168"/>
      <c r="G22" s="3105" t="s">
        <v>3070</v>
      </c>
      <c r="H22" s="3168"/>
      <c r="I22" s="3105" t="s">
        <v>3070</v>
      </c>
      <c r="J22" s="3168"/>
      <c r="K22" s="665"/>
      <c r="L22" s="1136"/>
      <c r="M22" s="1127"/>
      <c r="N22" s="1127"/>
      <c r="O22" s="1135"/>
      <c r="P22" s="3638"/>
      <c r="Q22" s="3031"/>
      <c r="R22" s="767"/>
      <c r="S22" s="768"/>
      <c r="T22" s="767"/>
      <c r="U22" s="768"/>
      <c r="V22" s="767"/>
      <c r="W22" s="768"/>
      <c r="X22" s="3029"/>
      <c r="Y22" s="3638"/>
      <c r="Z22" s="3030"/>
      <c r="AA22" s="3032">
        <v>1</v>
      </c>
      <c r="AB22" s="3032">
        <v>1</v>
      </c>
      <c r="AC22" s="3032">
        <v>1</v>
      </c>
    </row>
    <row r="23" spans="1:29" ht="15">
      <c r="A23" s="2992"/>
      <c r="B23" s="3009" t="s">
        <v>3151</v>
      </c>
      <c r="C23" s="2985">
        <f>估价对象房地状况!C19</f>
        <v>0</v>
      </c>
      <c r="D23" s="2982">
        <v>100</v>
      </c>
      <c r="E23" s="447"/>
      <c r="F23" s="3170">
        <f>SUMIF(96:96,E24,97:97)-SUMIF(96:96,C24,97:97)+100</f>
        <v>100</v>
      </c>
      <c r="G23" s="3166"/>
      <c r="H23" s="3170">
        <f>SUMIF(96:96,G24,97:97)-SUMIF(96:96,C24,97:97)+100</f>
        <v>100</v>
      </c>
      <c r="I23" s="3166"/>
      <c r="J23" s="3170">
        <f>SUMIF(96:96,I24,97:97)-SUMIF(96:96,C24,97:97)+100</f>
        <v>100</v>
      </c>
      <c r="K23" s="666"/>
      <c r="L23" s="1136"/>
      <c r="M23" s="1127"/>
      <c r="N23" s="1127"/>
      <c r="O23" s="1135"/>
      <c r="P23" s="3638"/>
      <c r="Q23" s="3031" t="str">
        <f t="shared" ref="Q23:Q37" si="9">B23</f>
        <v>区域土地利用方向</v>
      </c>
      <c r="R23" s="767" t="s">
        <v>17</v>
      </c>
      <c r="S23" s="768">
        <f>F23</f>
        <v>100</v>
      </c>
      <c r="T23" s="767" t="s">
        <v>17</v>
      </c>
      <c r="U23" s="768">
        <f>H23</f>
        <v>100</v>
      </c>
      <c r="V23" s="767" t="s">
        <v>17</v>
      </c>
      <c r="W23" s="768">
        <f>J23</f>
        <v>100</v>
      </c>
      <c r="X23" s="3029"/>
      <c r="Y23" s="3638"/>
      <c r="Z23" s="3030" t="str">
        <f>Q23</f>
        <v>区域土地利用方向</v>
      </c>
      <c r="AA23" s="3032">
        <f t="shared" si="4"/>
        <v>1</v>
      </c>
      <c r="AB23" s="3032">
        <f t="shared" si="5"/>
        <v>1</v>
      </c>
      <c r="AC23" s="3032">
        <f t="shared" si="6"/>
        <v>1</v>
      </c>
    </row>
    <row r="24" spans="1:29" ht="15">
      <c r="A24" s="2992"/>
      <c r="B24" s="3010"/>
      <c r="C24" s="429" t="s">
        <v>3071</v>
      </c>
      <c r="D24" s="2979"/>
      <c r="E24" s="2965" t="s">
        <v>3071</v>
      </c>
      <c r="F24" s="3168"/>
      <c r="G24" s="3104" t="s">
        <v>3071</v>
      </c>
      <c r="H24" s="3168"/>
      <c r="I24" s="3104" t="s">
        <v>3071</v>
      </c>
      <c r="J24" s="3168"/>
      <c r="K24" s="805"/>
      <c r="L24" s="1136"/>
      <c r="M24" s="1127"/>
      <c r="N24" s="1127"/>
      <c r="O24" s="1135"/>
      <c r="P24" s="3638"/>
      <c r="Q24" s="3031"/>
      <c r="R24" s="767"/>
      <c r="S24" s="768"/>
      <c r="T24" s="767"/>
      <c r="U24" s="768"/>
      <c r="V24" s="767"/>
      <c r="W24" s="768"/>
      <c r="X24" s="3029"/>
      <c r="Y24" s="3638"/>
      <c r="Z24" s="3030"/>
      <c r="AA24" s="3032"/>
      <c r="AB24" s="3032"/>
      <c r="AC24" s="3032"/>
    </row>
    <row r="25" spans="1:29" ht="27">
      <c r="A25" s="2992"/>
      <c r="B25" s="3011" t="s">
        <v>3152</v>
      </c>
      <c r="C25" s="2981"/>
      <c r="D25" s="2980">
        <v>100</v>
      </c>
      <c r="E25" s="447"/>
      <c r="F25" s="3169">
        <f>SUMIF(98:98,E26,99:99)-SUMIF(98:98,C26,99:99)+100</f>
        <v>100</v>
      </c>
      <c r="G25" s="3165"/>
      <c r="H25" s="3169">
        <f>SUMIF(98:98,G26,99:99)-SUMIF(98:98,C26,99:99)+100</f>
        <v>100</v>
      </c>
      <c r="I25" s="3166"/>
      <c r="J25" s="3169">
        <f>SUMIF(98:98,I26,99:99)-SUMIF(98:98,C26,99:99)+100</f>
        <v>100</v>
      </c>
      <c r="K25" s="605">
        <v>1</v>
      </c>
      <c r="L25" s="1136"/>
      <c r="M25" s="1127"/>
      <c r="N25" s="1127"/>
      <c r="O25" s="1135"/>
      <c r="P25" s="3638"/>
      <c r="Q25" s="3031" t="str">
        <f t="shared" si="9"/>
        <v>自然及人文环境状况</v>
      </c>
      <c r="R25" s="767" t="s">
        <v>17</v>
      </c>
      <c r="S25" s="768">
        <f>F25</f>
        <v>100</v>
      </c>
      <c r="T25" s="767" t="s">
        <v>17</v>
      </c>
      <c r="U25" s="768">
        <f>H25</f>
        <v>100</v>
      </c>
      <c r="V25" s="767" t="s">
        <v>17</v>
      </c>
      <c r="W25" s="768">
        <f>J25</f>
        <v>100</v>
      </c>
      <c r="X25" s="3029"/>
      <c r="Y25" s="3638"/>
      <c r="Z25" s="3030" t="str">
        <f>Q25</f>
        <v>自然及人文环境状况</v>
      </c>
      <c r="AA25" s="3032">
        <f t="shared" si="4"/>
        <v>1</v>
      </c>
      <c r="AB25" s="3032">
        <f t="shared" si="5"/>
        <v>1</v>
      </c>
      <c r="AC25" s="3032">
        <f t="shared" si="6"/>
        <v>1</v>
      </c>
    </row>
    <row r="26" spans="1:29" ht="15">
      <c r="A26" s="2992"/>
      <c r="B26" s="3010"/>
      <c r="C26" s="2963" t="s">
        <v>3071</v>
      </c>
      <c r="D26" s="2979"/>
      <c r="E26" s="2986" t="s">
        <v>3071</v>
      </c>
      <c r="F26" s="3168"/>
      <c r="G26" s="3173" t="s">
        <v>3071</v>
      </c>
      <c r="H26" s="3168"/>
      <c r="I26" s="3174" t="s">
        <v>3071</v>
      </c>
      <c r="J26" s="3168"/>
      <c r="K26" s="665"/>
      <c r="L26" s="1136"/>
      <c r="M26" s="1127"/>
      <c r="N26" s="1127"/>
      <c r="O26" s="1135"/>
      <c r="P26" s="3638"/>
      <c r="Q26" s="3031"/>
      <c r="R26" s="767"/>
      <c r="S26" s="768"/>
      <c r="T26" s="767"/>
      <c r="U26" s="768"/>
      <c r="V26" s="767"/>
      <c r="W26" s="768"/>
      <c r="X26" s="3029"/>
      <c r="Y26" s="3638"/>
      <c r="Z26" s="3030"/>
      <c r="AA26" s="3032">
        <v>1</v>
      </c>
      <c r="AB26" s="3032">
        <v>1</v>
      </c>
      <c r="AC26" s="3032">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6">
        <v>100</v>
      </c>
      <c r="G27" s="3165"/>
      <c r="H27" s="3196">
        <f>F27</f>
        <v>100</v>
      </c>
      <c r="I27" s="3166"/>
      <c r="J27" s="3196">
        <f>F27</f>
        <v>100</v>
      </c>
      <c r="K27" s="666">
        <v>1</v>
      </c>
      <c r="L27" s="1128"/>
      <c r="M27" s="1129"/>
      <c r="N27" s="1129"/>
      <c r="O27" s="1130"/>
      <c r="P27" s="3638"/>
      <c r="Q27" s="3027" t="str">
        <f t="shared" si="9"/>
        <v>公共配套设施</v>
      </c>
      <c r="R27" s="763" t="s">
        <v>17</v>
      </c>
      <c r="S27" s="764">
        <f>F27</f>
        <v>100</v>
      </c>
      <c r="T27" s="763" t="s">
        <v>17</v>
      </c>
      <c r="U27" s="764">
        <f>H27</f>
        <v>100</v>
      </c>
      <c r="V27" s="763" t="s">
        <v>17</v>
      </c>
      <c r="W27" s="764">
        <f>J27</f>
        <v>100</v>
      </c>
      <c r="X27" s="765"/>
      <c r="Y27" s="3638"/>
      <c r="Z27" s="3028" t="str">
        <f>Q27</f>
        <v>公共配套设施</v>
      </c>
      <c r="AA27" s="3032">
        <f>D27/F27</f>
        <v>1</v>
      </c>
      <c r="AB27" s="3032">
        <f>D27/H27</f>
        <v>1</v>
      </c>
      <c r="AC27" s="3032">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638"/>
      <c r="Q28" s="3027"/>
      <c r="R28" s="763"/>
      <c r="S28" s="764"/>
      <c r="T28" s="763"/>
      <c r="U28" s="764"/>
      <c r="V28" s="763"/>
      <c r="W28" s="764"/>
      <c r="X28" s="765"/>
      <c r="Y28" s="3638"/>
      <c r="Z28" s="3028"/>
      <c r="AA28" s="3032">
        <v>1</v>
      </c>
      <c r="AB28" s="3032">
        <v>1</v>
      </c>
      <c r="AC28" s="3032">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38"/>
      <c r="Q29" s="3027" t="str">
        <f>B29</f>
        <v>基础设施水平</v>
      </c>
      <c r="R29" s="763" t="s">
        <v>17</v>
      </c>
      <c r="S29" s="764">
        <f>F29</f>
        <v>100</v>
      </c>
      <c r="T29" s="763" t="s">
        <v>17</v>
      </c>
      <c r="U29" s="764">
        <f>H29</f>
        <v>100</v>
      </c>
      <c r="V29" s="763" t="s">
        <v>17</v>
      </c>
      <c r="W29" s="764">
        <f>J29</f>
        <v>100</v>
      </c>
      <c r="X29" s="765"/>
      <c r="Y29" s="3638"/>
      <c r="Z29" s="3028" t="str">
        <f>Q29</f>
        <v>基础设施水平</v>
      </c>
      <c r="AA29" s="3032">
        <f>D29/F29</f>
        <v>1</v>
      </c>
      <c r="AB29" s="3032">
        <f>D29/H29</f>
        <v>1</v>
      </c>
      <c r="AC29" s="3032">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638"/>
      <c r="Q30" s="3027"/>
      <c r="R30" s="763"/>
      <c r="S30" s="764"/>
      <c r="T30" s="763"/>
      <c r="U30" s="764"/>
      <c r="V30" s="763"/>
      <c r="W30" s="764"/>
      <c r="X30" s="765"/>
      <c r="Y30" s="3638"/>
      <c r="Z30" s="3028"/>
      <c r="AA30" s="3032">
        <v>1</v>
      </c>
      <c r="AB30" s="3032">
        <v>1</v>
      </c>
      <c r="AC30" s="3032">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38"/>
      <c r="Q31" s="3031" t="str">
        <f t="shared" si="9"/>
        <v>临街状况</v>
      </c>
      <c r="R31" s="767" t="s">
        <v>17</v>
      </c>
      <c r="S31" s="768">
        <f t="shared" ref="S31:S45" si="10">F31</f>
        <v>100</v>
      </c>
      <c r="T31" s="767" t="s">
        <v>17</v>
      </c>
      <c r="U31" s="768">
        <f t="shared" ref="U31:U45" si="11">H31</f>
        <v>100</v>
      </c>
      <c r="V31" s="767" t="s">
        <v>17</v>
      </c>
      <c r="W31" s="768">
        <f t="shared" ref="W31:W45" si="12">J31</f>
        <v>100</v>
      </c>
      <c r="X31" s="3029"/>
      <c r="Y31" s="3638"/>
      <c r="Z31" s="3030" t="str">
        <f t="shared" ref="Z31:Z45" si="13">Q31</f>
        <v>临街状况</v>
      </c>
      <c r="AA31" s="3032">
        <f t="shared" si="4"/>
        <v>1</v>
      </c>
      <c r="AB31" s="3032">
        <f t="shared" si="5"/>
        <v>1</v>
      </c>
      <c r="AC31" s="3032">
        <f t="shared" si="6"/>
        <v>1</v>
      </c>
    </row>
    <row r="32" spans="1:29" ht="27">
      <c r="A32" s="2996"/>
      <c r="B32" s="3011" t="s">
        <v>3156</v>
      </c>
      <c r="C32" s="449"/>
      <c r="D32" s="2980">
        <v>100</v>
      </c>
      <c r="E32" s="447"/>
      <c r="F32" s="3196">
        <f>SUMIF(106:106,E33,107:107)-SUMIF(106:106,C33,107:107)+100</f>
        <v>101</v>
      </c>
      <c r="G32" s="447"/>
      <c r="H32" s="3196">
        <f>SUMIF(106:106,G33,107:107)-SUMIF(106:106,C33,107:107)+100</f>
        <v>101</v>
      </c>
      <c r="I32" s="449"/>
      <c r="J32" s="2980">
        <f>SUMIF(106:106,I33,107:107)-SUMIF(106:106,C33,107:107)+100</f>
        <v>101</v>
      </c>
      <c r="K32" s="3207">
        <v>0.5</v>
      </c>
      <c r="L32" s="1136"/>
      <c r="M32" s="1127"/>
      <c r="N32" s="1127"/>
      <c r="O32" s="1135"/>
      <c r="P32" s="3638"/>
      <c r="Q32" s="3031" t="str">
        <f t="shared" si="9"/>
        <v>毗邻道路的类型与等级</v>
      </c>
      <c r="R32" s="767" t="s">
        <v>17</v>
      </c>
      <c r="S32" s="768">
        <f t="shared" si="10"/>
        <v>101</v>
      </c>
      <c r="T32" s="767" t="s">
        <v>17</v>
      </c>
      <c r="U32" s="768">
        <f t="shared" si="11"/>
        <v>101</v>
      </c>
      <c r="V32" s="767" t="s">
        <v>17</v>
      </c>
      <c r="W32" s="768">
        <f t="shared" si="12"/>
        <v>101</v>
      </c>
      <c r="X32" s="3029"/>
      <c r="Y32" s="3638"/>
      <c r="Z32" s="3030" t="str">
        <f t="shared" si="13"/>
        <v>毗邻道路的类型与等级</v>
      </c>
      <c r="AA32" s="3032">
        <f t="shared" si="4"/>
        <v>0.99009900990099009</v>
      </c>
      <c r="AB32" s="3032">
        <f t="shared" si="5"/>
        <v>0.99009900990099009</v>
      </c>
      <c r="AC32" s="3032">
        <f t="shared" si="6"/>
        <v>0.99009900990099009</v>
      </c>
    </row>
    <row r="33" spans="1:29" ht="15.75" thickBot="1">
      <c r="A33" s="2996"/>
      <c r="B33" s="3010"/>
      <c r="C33" s="3089" t="s">
        <v>3164</v>
      </c>
      <c r="D33" s="2979"/>
      <c r="E33" s="2986" t="s">
        <v>3510</v>
      </c>
      <c r="F33" s="2979"/>
      <c r="G33" s="2986" t="s">
        <v>3510</v>
      </c>
      <c r="H33" s="2979"/>
      <c r="I33" s="3089" t="s">
        <v>3510</v>
      </c>
      <c r="J33" s="2979"/>
      <c r="K33" s="606"/>
      <c r="L33" s="1136"/>
      <c r="M33" s="1127"/>
      <c r="N33" s="1127"/>
      <c r="O33" s="1135"/>
      <c r="P33" s="3638"/>
      <c r="Q33" s="3031"/>
      <c r="R33" s="767"/>
      <c r="S33" s="768"/>
      <c r="T33" s="767"/>
      <c r="U33" s="768"/>
      <c r="V33" s="767"/>
      <c r="W33" s="768"/>
      <c r="X33" s="3029"/>
      <c r="Y33" s="3638"/>
      <c r="Z33" s="3030"/>
      <c r="AA33" s="3032">
        <v>1</v>
      </c>
      <c r="AB33" s="3032">
        <v>1</v>
      </c>
      <c r="AC33" s="3032">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38"/>
      <c r="Q34" s="3031" t="str">
        <f t="shared" si="9"/>
        <v>土地级别</v>
      </c>
      <c r="R34" s="767" t="s">
        <v>17</v>
      </c>
      <c r="S34" s="768">
        <f t="shared" si="10"/>
        <v>100</v>
      </c>
      <c r="T34" s="767" t="s">
        <v>17</v>
      </c>
      <c r="U34" s="768">
        <f t="shared" si="11"/>
        <v>100</v>
      </c>
      <c r="V34" s="767" t="s">
        <v>17</v>
      </c>
      <c r="W34" s="768">
        <f t="shared" si="12"/>
        <v>100</v>
      </c>
      <c r="X34" s="3029"/>
      <c r="Y34" s="3638"/>
      <c r="Z34" s="3030" t="str">
        <f t="shared" si="13"/>
        <v>土地级别</v>
      </c>
      <c r="AA34" s="3032">
        <f t="shared" si="4"/>
        <v>1</v>
      </c>
      <c r="AB34" s="3032">
        <f t="shared" si="5"/>
        <v>1</v>
      </c>
      <c r="AC34" s="3032">
        <f t="shared" si="6"/>
        <v>1</v>
      </c>
    </row>
    <row r="35" spans="1:29" ht="15.75" hidden="1" thickBot="1">
      <c r="A35" s="2992"/>
      <c r="B35" s="3034">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38"/>
      <c r="Q35" s="3031">
        <f t="shared" si="9"/>
        <v>111</v>
      </c>
      <c r="R35" s="767" t="s">
        <v>17</v>
      </c>
      <c r="S35" s="768">
        <f t="shared" si="10"/>
        <v>100</v>
      </c>
      <c r="T35" s="767" t="s">
        <v>17</v>
      </c>
      <c r="U35" s="768">
        <f t="shared" si="11"/>
        <v>100</v>
      </c>
      <c r="V35" s="767" t="s">
        <v>17</v>
      </c>
      <c r="W35" s="768">
        <f t="shared" si="12"/>
        <v>100</v>
      </c>
      <c r="X35" s="3029"/>
      <c r="Y35" s="3638"/>
      <c r="Z35" s="3030">
        <f t="shared" si="13"/>
        <v>111</v>
      </c>
      <c r="AA35" s="3032">
        <f t="shared" si="4"/>
        <v>1</v>
      </c>
      <c r="AB35" s="3032">
        <f t="shared" si="5"/>
        <v>1</v>
      </c>
      <c r="AC35" s="3032">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5" t="s">
        <v>2567</v>
      </c>
      <c r="Q36" s="3031">
        <f t="shared" si="9"/>
        <v>111</v>
      </c>
      <c r="R36" s="767" t="s">
        <v>17</v>
      </c>
      <c r="S36" s="768">
        <f t="shared" si="10"/>
        <v>100</v>
      </c>
      <c r="T36" s="767" t="s">
        <v>17</v>
      </c>
      <c r="U36" s="768">
        <f t="shared" si="11"/>
        <v>100</v>
      </c>
      <c r="V36" s="767" t="s">
        <v>17</v>
      </c>
      <c r="W36" s="768">
        <f t="shared" si="12"/>
        <v>100</v>
      </c>
      <c r="X36" s="3029"/>
      <c r="Y36" s="3642" t="s">
        <v>2567</v>
      </c>
      <c r="Z36" s="3030">
        <f t="shared" si="13"/>
        <v>111</v>
      </c>
      <c r="AA36" s="3032">
        <f t="shared" si="4"/>
        <v>1</v>
      </c>
      <c r="AB36" s="3032">
        <f t="shared" si="5"/>
        <v>1</v>
      </c>
      <c r="AC36" s="3032">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42"/>
      <c r="Q37" s="3031">
        <f t="shared" si="9"/>
        <v>111</v>
      </c>
      <c r="R37" s="770" t="s">
        <v>17</v>
      </c>
      <c r="S37" s="771">
        <f t="shared" si="10"/>
        <v>100</v>
      </c>
      <c r="T37" s="770" t="s">
        <v>17</v>
      </c>
      <c r="U37" s="771">
        <f t="shared" si="11"/>
        <v>100</v>
      </c>
      <c r="V37" s="770" t="s">
        <v>17</v>
      </c>
      <c r="W37" s="771">
        <f t="shared" si="12"/>
        <v>100</v>
      </c>
      <c r="X37" s="772"/>
      <c r="Y37" s="3642"/>
      <c r="Z37" s="773">
        <f t="shared" si="13"/>
        <v>111</v>
      </c>
      <c r="AA37" s="3032">
        <f t="shared" si="4"/>
        <v>1</v>
      </c>
      <c r="AB37" s="3032">
        <f t="shared" si="5"/>
        <v>1</v>
      </c>
      <c r="AC37" s="3032">
        <f t="shared" si="6"/>
        <v>1</v>
      </c>
    </row>
    <row r="38" spans="1:29" ht="28.5">
      <c r="A38" s="3001" t="s">
        <v>2565</v>
      </c>
      <c r="B38" s="3010" t="s">
        <v>3158</v>
      </c>
      <c r="C38" s="2989" t="s">
        <v>3525</v>
      </c>
      <c r="D38" s="2973">
        <v>100</v>
      </c>
      <c r="E38" s="3200">
        <f>招拍挂案例!F4</f>
        <v>41000.75</v>
      </c>
      <c r="F38" s="3206">
        <v>102</v>
      </c>
      <c r="G38" s="3200">
        <f>招拍挂案例!F5</f>
        <v>62136.68</v>
      </c>
      <c r="H38" s="3206">
        <v>101</v>
      </c>
      <c r="I38" s="3201">
        <f>招拍挂案例!F2</f>
        <v>40082.199999999997</v>
      </c>
      <c r="J38" s="3206">
        <v>102</v>
      </c>
      <c r="K38" s="3202"/>
      <c r="L38" s="1136"/>
      <c r="M38" s="1127"/>
      <c r="N38" s="1127"/>
      <c r="O38" s="1135"/>
      <c r="P38" s="3642"/>
      <c r="Q38" s="3031" t="str">
        <f>B38</f>
        <v>宗地面积</v>
      </c>
      <c r="R38" s="767" t="s">
        <v>17</v>
      </c>
      <c r="S38" s="768">
        <f t="shared" si="10"/>
        <v>102</v>
      </c>
      <c r="T38" s="767" t="s">
        <v>17</v>
      </c>
      <c r="U38" s="768">
        <f t="shared" si="11"/>
        <v>101</v>
      </c>
      <c r="V38" s="767" t="s">
        <v>17</v>
      </c>
      <c r="W38" s="768">
        <f t="shared" si="12"/>
        <v>102</v>
      </c>
      <c r="X38" s="3029"/>
      <c r="Y38" s="3642"/>
      <c r="Z38" s="3030" t="str">
        <f t="shared" si="13"/>
        <v>宗地面积</v>
      </c>
      <c r="AA38" s="3032">
        <f t="shared" si="4"/>
        <v>0.98039215686274506</v>
      </c>
      <c r="AB38" s="3032">
        <f t="shared" si="5"/>
        <v>0.99009900990099009</v>
      </c>
      <c r="AC38" s="3032">
        <f t="shared" si="6"/>
        <v>0.98039215686274506</v>
      </c>
    </row>
    <row r="39" spans="1:29" ht="15">
      <c r="A39" s="3001"/>
      <c r="B39" s="3005" t="s">
        <v>3159</v>
      </c>
      <c r="C39" s="3147" t="s">
        <v>3524</v>
      </c>
      <c r="D39" s="2974">
        <v>100</v>
      </c>
      <c r="E39" s="3203" t="s">
        <v>3101</v>
      </c>
      <c r="F39" s="3192">
        <f>SUMIF(119:119,E39,120:120)-SUMIF(119:119,C39,120:120)+100</f>
        <v>100</v>
      </c>
      <c r="G39" s="3203" t="s">
        <v>3101</v>
      </c>
      <c r="H39" s="3192">
        <f>SUMIF(119:119,G39,120:120)-SUMIF(119:119,C39,120:120)+100</f>
        <v>100</v>
      </c>
      <c r="I39" s="3203" t="s">
        <v>3101</v>
      </c>
      <c r="J39" s="3192">
        <f>SUMIF(119:119,I39,120:120)-SUMIF(119:119,C39,120:120)+100</f>
        <v>100</v>
      </c>
      <c r="K39" s="3204">
        <v>1</v>
      </c>
      <c r="L39" s="1136"/>
      <c r="M39" s="1127"/>
      <c r="N39" s="1127"/>
      <c r="O39" s="1135"/>
      <c r="P39" s="3642"/>
      <c r="Q39" s="3031" t="str">
        <f t="shared" ref="Q39:Q45" si="14">B39</f>
        <v>宗地形状</v>
      </c>
      <c r="R39" s="767" t="s">
        <v>17</v>
      </c>
      <c r="S39" s="768">
        <f t="shared" si="10"/>
        <v>100</v>
      </c>
      <c r="T39" s="767" t="s">
        <v>17</v>
      </c>
      <c r="U39" s="768">
        <f t="shared" si="11"/>
        <v>100</v>
      </c>
      <c r="V39" s="767" t="s">
        <v>17</v>
      </c>
      <c r="W39" s="768">
        <f t="shared" si="12"/>
        <v>100</v>
      </c>
      <c r="X39" s="3029"/>
      <c r="Y39" s="3642"/>
      <c r="Z39" s="3030" t="str">
        <f t="shared" si="13"/>
        <v>宗地形状</v>
      </c>
      <c r="AA39" s="3032">
        <f t="shared" si="4"/>
        <v>1</v>
      </c>
      <c r="AB39" s="3032">
        <f t="shared" si="5"/>
        <v>1</v>
      </c>
      <c r="AC39" s="3032">
        <f t="shared" si="6"/>
        <v>1</v>
      </c>
    </row>
    <row r="40" spans="1:29" ht="15" hidden="1">
      <c r="A40" s="3001"/>
      <c r="B40" s="3005" t="s">
        <v>3160</v>
      </c>
      <c r="C40" s="2989"/>
      <c r="D40" s="2974">
        <v>100</v>
      </c>
      <c r="E40" s="3203"/>
      <c r="F40" s="3192">
        <f>SUMIF(121:121,E40,122:122)-SUMIF(121:121,C40,122:122)+100</f>
        <v>100</v>
      </c>
      <c r="G40" s="3203"/>
      <c r="H40" s="3192">
        <f>SUMIF(121:121,G40,122:122)-SUMIF(121:121,C40,122:122)+100</f>
        <v>100</v>
      </c>
      <c r="I40" s="3203"/>
      <c r="J40" s="3192">
        <f>SUMIF(121:121,I40,122:122)-SUMIF(121:121,C40,122:122)+100</f>
        <v>100</v>
      </c>
      <c r="K40" s="3204"/>
      <c r="L40" s="1136"/>
      <c r="M40" s="1127"/>
      <c r="N40" s="1127"/>
      <c r="O40" s="1135"/>
      <c r="P40" s="3642"/>
      <c r="Q40" s="3031" t="str">
        <f t="shared" si="14"/>
        <v>临街宽度及深度</v>
      </c>
      <c r="R40" s="767" t="s">
        <v>17</v>
      </c>
      <c r="S40" s="768">
        <f t="shared" si="10"/>
        <v>100</v>
      </c>
      <c r="T40" s="767" t="s">
        <v>17</v>
      </c>
      <c r="U40" s="768">
        <f t="shared" si="11"/>
        <v>100</v>
      </c>
      <c r="V40" s="767" t="s">
        <v>17</v>
      </c>
      <c r="W40" s="768">
        <f t="shared" si="12"/>
        <v>100</v>
      </c>
      <c r="X40" s="3029"/>
      <c r="Y40" s="3642"/>
      <c r="Z40" s="3030" t="str">
        <f t="shared" si="13"/>
        <v>临街宽度及深度</v>
      </c>
      <c r="AA40" s="3032">
        <f t="shared" si="4"/>
        <v>1</v>
      </c>
      <c r="AB40" s="3032">
        <f t="shared" si="5"/>
        <v>1</v>
      </c>
      <c r="AC40" s="3032">
        <f t="shared" si="6"/>
        <v>1</v>
      </c>
    </row>
    <row r="41" spans="1:29" s="116" customFormat="1" ht="15">
      <c r="A41" s="3001"/>
      <c r="B41" s="3005" t="s">
        <v>3161</v>
      </c>
      <c r="C41" s="3021" t="s">
        <v>3167</v>
      </c>
      <c r="D41" s="2974">
        <v>100</v>
      </c>
      <c r="E41" s="3205" t="s">
        <v>3167</v>
      </c>
      <c r="F41" s="3192">
        <f>SUMIF(123:123,E41,124:124)-SUMIF(123:123,C41,124:124)+100</f>
        <v>100</v>
      </c>
      <c r="G41" s="3205" t="s">
        <v>3167</v>
      </c>
      <c r="H41" s="3192">
        <f>SUMIF(123:123,G41,124:124)-SUMIF(123:123,C41,124:124)+100</f>
        <v>100</v>
      </c>
      <c r="I41" s="3208" t="s">
        <v>3167</v>
      </c>
      <c r="J41" s="3199">
        <f>SUMIF(123:123,I41,124:124)-SUMIF(123:123,C41,124:124)+100</f>
        <v>100</v>
      </c>
      <c r="K41" s="3204">
        <v>0.5</v>
      </c>
      <c r="L41" s="1128"/>
      <c r="M41" s="1129"/>
      <c r="N41" s="1129"/>
      <c r="O41" s="1130"/>
      <c r="P41" s="3642"/>
      <c r="Q41" s="3031" t="str">
        <f t="shared" si="14"/>
        <v>宗地开发程度</v>
      </c>
      <c r="R41" s="763" t="s">
        <v>17</v>
      </c>
      <c r="S41" s="764">
        <f t="shared" si="10"/>
        <v>100</v>
      </c>
      <c r="T41" s="763" t="s">
        <v>17</v>
      </c>
      <c r="U41" s="764">
        <f t="shared" si="11"/>
        <v>100</v>
      </c>
      <c r="V41" s="763" t="s">
        <v>17</v>
      </c>
      <c r="W41" s="764">
        <f t="shared" si="12"/>
        <v>100</v>
      </c>
      <c r="X41" s="765"/>
      <c r="Y41" s="3642"/>
      <c r="Z41" s="3028"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42" t="s">
        <v>2567</v>
      </c>
      <c r="Q42" s="3031" t="str">
        <f t="shared" si="14"/>
        <v>工程地质条件</v>
      </c>
      <c r="R42" s="767" t="s">
        <v>17</v>
      </c>
      <c r="S42" s="768">
        <f t="shared" si="10"/>
        <v>100</v>
      </c>
      <c r="T42" s="767" t="s">
        <v>17</v>
      </c>
      <c r="U42" s="768">
        <f t="shared" si="11"/>
        <v>100</v>
      </c>
      <c r="V42" s="767" t="s">
        <v>17</v>
      </c>
      <c r="W42" s="768">
        <f t="shared" si="12"/>
        <v>100</v>
      </c>
      <c r="X42" s="3029"/>
      <c r="Y42" s="3642" t="s">
        <v>2567</v>
      </c>
      <c r="Z42" s="3030" t="str">
        <f t="shared" si="13"/>
        <v>工程地质条件</v>
      </c>
      <c r="AA42" s="3032">
        <f t="shared" si="4"/>
        <v>1</v>
      </c>
      <c r="AB42" s="3032">
        <f t="shared" si="5"/>
        <v>1</v>
      </c>
      <c r="AC42" s="3032">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42"/>
      <c r="Q43" s="3031" t="str">
        <f t="shared" si="14"/>
        <v>宗地规划限制</v>
      </c>
      <c r="R43" s="767" t="s">
        <v>17</v>
      </c>
      <c r="S43" s="768">
        <f t="shared" si="10"/>
        <v>100</v>
      </c>
      <c r="T43" s="767" t="s">
        <v>17</v>
      </c>
      <c r="U43" s="768">
        <f t="shared" si="11"/>
        <v>100</v>
      </c>
      <c r="V43" s="767" t="s">
        <v>17</v>
      </c>
      <c r="W43" s="768">
        <f t="shared" si="12"/>
        <v>100</v>
      </c>
      <c r="X43" s="3029"/>
      <c r="Y43" s="3642"/>
      <c r="Z43" s="3030" t="str">
        <f t="shared" si="13"/>
        <v>宗地规划限制</v>
      </c>
      <c r="AA43" s="3032">
        <f t="shared" si="4"/>
        <v>1</v>
      </c>
      <c r="AB43" s="3032">
        <f t="shared" si="5"/>
        <v>1</v>
      </c>
      <c r="AC43" s="3032">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42"/>
      <c r="Q44" s="3031">
        <f t="shared" si="14"/>
        <v>111</v>
      </c>
      <c r="R44" s="767" t="s">
        <v>17</v>
      </c>
      <c r="S44" s="768">
        <f t="shared" si="10"/>
        <v>100</v>
      </c>
      <c r="T44" s="767" t="s">
        <v>17</v>
      </c>
      <c r="U44" s="768">
        <f t="shared" si="11"/>
        <v>100</v>
      </c>
      <c r="V44" s="767" t="s">
        <v>17</v>
      </c>
      <c r="W44" s="768">
        <f t="shared" si="12"/>
        <v>100</v>
      </c>
      <c r="X44" s="3029"/>
      <c r="Y44" s="3642"/>
      <c r="Z44" s="3030">
        <f t="shared" si="13"/>
        <v>111</v>
      </c>
      <c r="AA44" s="3032">
        <f t="shared" si="4"/>
        <v>1</v>
      </c>
      <c r="AB44" s="3032">
        <f t="shared" si="5"/>
        <v>1</v>
      </c>
      <c r="AC44" s="3032">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42"/>
      <c r="Q45" s="3031">
        <f t="shared" si="14"/>
        <v>111</v>
      </c>
      <c r="R45" s="770" t="s">
        <v>17</v>
      </c>
      <c r="S45" s="771">
        <f t="shared" si="10"/>
        <v>100</v>
      </c>
      <c r="T45" s="770" t="s">
        <v>17</v>
      </c>
      <c r="U45" s="771">
        <f t="shared" si="11"/>
        <v>100</v>
      </c>
      <c r="V45" s="770" t="s">
        <v>17</v>
      </c>
      <c r="W45" s="771">
        <f t="shared" si="12"/>
        <v>100</v>
      </c>
      <c r="X45" s="772"/>
      <c r="Y45" s="3642"/>
      <c r="Z45" s="773">
        <f t="shared" si="13"/>
        <v>111</v>
      </c>
      <c r="AA45" s="3032">
        <f t="shared" si="4"/>
        <v>1</v>
      </c>
      <c r="AB45" s="3032">
        <f t="shared" si="5"/>
        <v>1</v>
      </c>
      <c r="AC45" s="3032">
        <f t="shared" si="6"/>
        <v>1</v>
      </c>
    </row>
    <row r="46" spans="1:29" ht="15">
      <c r="A46" s="472" t="s">
        <v>2722</v>
      </c>
      <c r="B46" s="2702" t="s">
        <v>2755</v>
      </c>
      <c r="C46" s="675" t="s">
        <v>1</v>
      </c>
      <c r="D46" s="474"/>
      <c r="E46" s="475">
        <f>招拍挂案例!U4</f>
        <v>14300</v>
      </c>
      <c r="F46" s="476"/>
      <c r="G46" s="3080">
        <f>招拍挂案例!U5</f>
        <v>14000</v>
      </c>
      <c r="H46" s="478"/>
      <c r="I46" s="3081">
        <f>招拍挂案例!$U$9</f>
        <v>14000</v>
      </c>
      <c r="J46" s="478"/>
      <c r="K46" s="776"/>
      <c r="L46" s="1139"/>
      <c r="M46" s="1140"/>
      <c r="N46" s="1127"/>
      <c r="O46" s="1140"/>
      <c r="P46" s="3635" t="str">
        <f>A46</f>
        <v>成交单价</v>
      </c>
      <c r="Q46" s="3635"/>
      <c r="R46" s="3630">
        <f>E46</f>
        <v>14300</v>
      </c>
      <c r="S46" s="3630"/>
      <c r="T46" s="3630">
        <f>G46</f>
        <v>14000</v>
      </c>
      <c r="U46" s="3630"/>
      <c r="V46" s="3630">
        <f>I46</f>
        <v>14000</v>
      </c>
      <c r="W46" s="3630"/>
      <c r="X46" s="752"/>
      <c r="Y46" s="774"/>
      <c r="Z46" s="752"/>
      <c r="AA46" s="752"/>
      <c r="AB46" s="752"/>
      <c r="AC46" s="752"/>
    </row>
    <row r="47" spans="1:29" ht="15.75" thickBot="1">
      <c r="A47" s="479" t="s">
        <v>2580</v>
      </c>
      <c r="B47" s="676"/>
      <c r="C47" s="483">
        <f>R48</f>
        <v>14699</v>
      </c>
      <c r="D47" s="482"/>
      <c r="E47" s="483">
        <f>R47</f>
        <v>14543</v>
      </c>
      <c r="F47" s="484"/>
      <c r="G47" s="481">
        <f>T47</f>
        <v>14721</v>
      </c>
      <c r="H47" s="482"/>
      <c r="I47" s="483">
        <f>V47</f>
        <v>14834</v>
      </c>
      <c r="J47" s="482"/>
      <c r="K47" s="777"/>
      <c r="L47" s="1139"/>
      <c r="M47" s="1140"/>
      <c r="N47" s="1140"/>
      <c r="O47" s="1140"/>
      <c r="P47" s="3635" t="str">
        <f>A47</f>
        <v>比较价值（元/平方米）</v>
      </c>
      <c r="Q47" s="3635"/>
      <c r="R47" s="3708">
        <f>ROUND(PRODUCT(R46,AA7:AA45),0)</f>
        <v>14543</v>
      </c>
      <c r="S47" s="3708"/>
      <c r="T47" s="3708">
        <f>ROUND(PRODUCT(T46,AB7:AB45),0)</f>
        <v>14721</v>
      </c>
      <c r="U47" s="3708"/>
      <c r="V47" s="3708">
        <f>ROUND(PRODUCT(V46,AC7:AC45),0)</f>
        <v>14834</v>
      </c>
      <c r="W47" s="3708"/>
      <c r="X47" s="752"/>
      <c r="Y47" s="752"/>
      <c r="Z47" s="752"/>
      <c r="AA47" s="752"/>
      <c r="AB47" s="752"/>
      <c r="AC47" s="752"/>
    </row>
    <row r="48" spans="1:29" ht="15.75" thickBot="1">
      <c r="A48" s="485" t="s">
        <v>2756</v>
      </c>
      <c r="B48" s="486"/>
      <c r="C48" s="487">
        <f>R48</f>
        <v>14699</v>
      </c>
      <c r="D48" s="487"/>
      <c r="E48" s="487"/>
      <c r="F48" s="487"/>
      <c r="G48" s="487"/>
      <c r="H48" s="487"/>
      <c r="I48" s="487"/>
      <c r="J48" s="487"/>
      <c r="K48" s="778"/>
      <c r="L48" s="1139"/>
      <c r="M48" s="1140"/>
      <c r="N48" s="1140"/>
      <c r="O48" s="1140"/>
      <c r="P48" s="3632" t="str">
        <f>A48</f>
        <v>估价对象XX用房的比较价值（楼面单价，元/平方米）</v>
      </c>
      <c r="Q48" s="3633"/>
      <c r="R48" s="3709">
        <f>ROUND(AVERAGE(R47:V47),0)</f>
        <v>14699</v>
      </c>
      <c r="S48" s="3709"/>
      <c r="T48" s="3709"/>
      <c r="U48" s="3709"/>
      <c r="V48" s="3709"/>
      <c r="W48" s="3709"/>
      <c r="X48" s="752"/>
      <c r="Y48" s="752"/>
      <c r="Z48" s="752"/>
      <c r="AA48" s="752"/>
      <c r="AB48" s="752"/>
      <c r="AC48" s="752"/>
    </row>
    <row r="49" spans="1:15">
      <c r="A49" s="1140"/>
      <c r="B49" s="1140"/>
      <c r="C49" s="1140"/>
      <c r="D49" s="1140"/>
      <c r="E49" s="1140">
        <f>E47/E46</f>
        <v>1.0169930069930071</v>
      </c>
      <c r="F49" s="1140"/>
      <c r="G49" s="1140">
        <f>G47/G46</f>
        <v>1.0515000000000001</v>
      </c>
      <c r="H49" s="1140"/>
      <c r="I49" s="1140">
        <f>I47/I46</f>
        <v>1.0595714285714286</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1.6993006993007098E-2</v>
      </c>
      <c r="F51" s="493" t="str">
        <f>IF(OR(E51&gt;=0.3,E51&lt;=-0.3),"超过30%","")</f>
        <v/>
      </c>
      <c r="G51" s="492">
        <f>IF(G46&lt;G47,G47/G46-1,G46/G47-1)</f>
        <v>5.1500000000000101E-2</v>
      </c>
      <c r="H51" s="493" t="str">
        <f>IF(OR(G51&gt;=0.3,G51&lt;=-0.3),"超过30%","")</f>
        <v/>
      </c>
      <c r="I51" s="492">
        <f>IF(I46&lt;I47,I47/I46-1,I46/I47-1)</f>
        <v>5.9571428571428608E-2</v>
      </c>
      <c r="J51" s="493" t="str">
        <f>IF(OR(I51&gt;=0.3,I51&lt;=-0.3),"超过30%","")</f>
        <v/>
      </c>
      <c r="K51" s="1101"/>
      <c r="L51" s="1102"/>
      <c r="M51" s="1140"/>
      <c r="N51" s="1140"/>
      <c r="O51" s="1140"/>
    </row>
    <row r="52" spans="1:15" ht="13.5" customHeight="1">
      <c r="A52" s="1140"/>
      <c r="B52" s="1140"/>
      <c r="C52" s="490" t="s">
        <v>2583</v>
      </c>
      <c r="D52" s="494"/>
      <c r="E52" s="492">
        <f>IF(E47&lt;G47,G47/E47-1,E47/G47-1)</f>
        <v>1.2239565426665822E-2</v>
      </c>
      <c r="F52" s="493" t="str">
        <f>IF(OR(E52&gt;=0.2,E52&lt;=-0.2),"超过20%","")</f>
        <v/>
      </c>
      <c r="G52" s="492">
        <f>IF(G47&lt;I47,I47/G47-1,G47/I47-1)</f>
        <v>7.6761089599890475E-3</v>
      </c>
      <c r="H52" s="493" t="str">
        <f>IF(OR(G52&gt;=0.2,G52&lt;=-0.2),"超过20%","")</f>
        <v/>
      </c>
      <c r="I52" s="492">
        <f>IF(I47&lt;E47,E47/I47-1,I47/E47-1)</f>
        <v>2.0009626624492904E-2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3" t="s">
        <v>2761</v>
      </c>
      <c r="F55" s="1103" t="s">
        <v>2762</v>
      </c>
      <c r="G55" s="3618" t="s">
        <v>2763</v>
      </c>
      <c r="H55" s="3710"/>
      <c r="I55" s="140" t="s">
        <v>2764</v>
      </c>
      <c r="J55" s="2705">
        <f>项目基本情况!F35</f>
        <v>0</v>
      </c>
      <c r="K55" s="2706" t="s">
        <v>2765</v>
      </c>
      <c r="L55" s="1102"/>
      <c r="M55" s="1140"/>
      <c r="N55" s="1140"/>
      <c r="O55" s="1140"/>
    </row>
    <row r="56" spans="1:15" s="685" customFormat="1">
      <c r="A56" s="681" t="s">
        <v>2766</v>
      </c>
      <c r="B56" s="682">
        <f>C48</f>
        <v>14699</v>
      </c>
      <c r="C56" s="683">
        <v>1</v>
      </c>
      <c r="D56" s="1159">
        <v>1</v>
      </c>
      <c r="E56" s="683">
        <f>'数据-汇总表'!E8+'数据-汇总表'!E9</f>
        <v>1</v>
      </c>
      <c r="F56" s="1099">
        <f t="shared" ref="F56:F65" si="15">ROUND(B56*E56/10000,0)</f>
        <v>1</v>
      </c>
      <c r="G56" s="3617"/>
      <c r="H56" s="3635"/>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711"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711"/>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711"/>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711"/>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6"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551</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6"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99.5</v>
      </c>
      <c r="E89" s="537">
        <f>D89-$K15</f>
        <v>99</v>
      </c>
      <c r="F89" s="537">
        <f>E89-$K15</f>
        <v>98.5</v>
      </c>
      <c r="G89" s="537">
        <f>F89-$K15</f>
        <v>98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99.5</v>
      </c>
      <c r="E95" s="537">
        <f>D95-$K21</f>
        <v>99</v>
      </c>
      <c r="F95" s="537">
        <f>E95-$K21</f>
        <v>98.5</v>
      </c>
      <c r="G95" s="537">
        <f>F95-$K21</f>
        <v>98</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99.5</v>
      </c>
      <c r="E107" s="537">
        <f t="shared" ref="E107:M107" si="23">D107-$K32</f>
        <v>99</v>
      </c>
      <c r="F107" s="537">
        <f t="shared" si="23"/>
        <v>98.5</v>
      </c>
      <c r="G107" s="537">
        <f t="shared" si="23"/>
        <v>98</v>
      </c>
      <c r="H107" s="537">
        <f t="shared" si="23"/>
        <v>97.5</v>
      </c>
      <c r="I107" s="537">
        <f t="shared" si="23"/>
        <v>97</v>
      </c>
      <c r="J107" s="537">
        <f t="shared" si="23"/>
        <v>96.5</v>
      </c>
      <c r="K107" s="537">
        <f t="shared" si="23"/>
        <v>96</v>
      </c>
      <c r="L107" s="537">
        <f t="shared" si="23"/>
        <v>95.5</v>
      </c>
      <c r="M107" s="537">
        <f t="shared" si="23"/>
        <v>95</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disablePrompts="1"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F19" sqref="F19"/>
    </sheetView>
  </sheetViews>
  <sheetFormatPr defaultColWidth="9" defaultRowHeight="12.75"/>
  <cols>
    <col min="1" max="7" width="9" style="3274"/>
    <col min="8" max="8" width="9" style="3285"/>
    <col min="9" max="11" width="9" style="3274"/>
    <col min="12" max="12" width="9" style="3370"/>
    <col min="13" max="13" width="9" style="3274"/>
    <col min="14" max="14" width="2.5" style="3284" customWidth="1"/>
    <col min="15" max="15" width="9" style="3285"/>
    <col min="16" max="18" width="9" style="3274"/>
    <col min="19" max="19" width="2.75" style="3284" customWidth="1"/>
    <col min="20" max="20" width="7.125" style="3285" customWidth="1"/>
    <col min="21" max="23" width="7.125" style="3274" customWidth="1"/>
    <col min="24" max="24" width="2.5" style="3284" customWidth="1"/>
    <col min="25" max="30" width="9.75" style="3274" customWidth="1"/>
    <col min="31" max="31" width="2.5" style="3284" customWidth="1"/>
    <col min="32" max="37" width="9.5" style="3274" customWidth="1"/>
    <col min="38" max="16384" width="9" style="3274"/>
  </cols>
  <sheetData>
    <row r="1" spans="1:37" s="3249" customFormat="1">
      <c r="B1" s="3740" t="s">
        <v>1150</v>
      </c>
      <c r="C1" s="3740"/>
      <c r="D1" s="3740"/>
      <c r="E1" s="3740"/>
      <c r="F1" s="3740"/>
      <c r="G1" s="3740"/>
      <c r="H1" s="3736" t="s">
        <v>1151</v>
      </c>
      <c r="I1" s="3736"/>
      <c r="J1" s="3736"/>
      <c r="K1" s="3736"/>
      <c r="L1" s="3736"/>
      <c r="M1" s="3736"/>
      <c r="N1" s="3250"/>
      <c r="O1" s="3736" t="s">
        <v>1152</v>
      </c>
      <c r="P1" s="3736"/>
      <c r="Q1" s="3736"/>
      <c r="R1" s="3736"/>
      <c r="S1" s="3250"/>
      <c r="T1" s="3736" t="s">
        <v>1153</v>
      </c>
      <c r="U1" s="3736"/>
      <c r="V1" s="3736"/>
      <c r="W1" s="3736"/>
      <c r="X1" s="3250"/>
      <c r="Y1" s="3735" t="s">
        <v>1154</v>
      </c>
      <c r="Z1" s="3736"/>
      <c r="AA1" s="3736"/>
      <c r="AB1" s="3736"/>
      <c r="AC1" s="3736"/>
      <c r="AD1" s="3736"/>
      <c r="AE1" s="3250"/>
      <c r="AF1" s="3735" t="s">
        <v>1155</v>
      </c>
      <c r="AG1" s="3736"/>
      <c r="AH1" s="3736"/>
      <c r="AI1" s="3736"/>
      <c r="AJ1" s="3736"/>
      <c r="AK1" s="3736"/>
    </row>
    <row r="2" spans="1:37" s="3251" customFormat="1" ht="14.25" thickBot="1">
      <c r="B2" s="3252" t="s">
        <v>1156</v>
      </c>
      <c r="C2" s="3252" t="s">
        <v>1157</v>
      </c>
      <c r="D2" s="3253" t="s">
        <v>184</v>
      </c>
      <c r="E2" s="3253" t="s">
        <v>3648</v>
      </c>
      <c r="F2" s="3253" t="s">
        <v>751</v>
      </c>
      <c r="G2" s="3252" t="s">
        <v>1160</v>
      </c>
      <c r="H2" s="3254"/>
      <c r="I2" s="3255"/>
      <c r="J2" s="3252" t="s">
        <v>1156</v>
      </c>
      <c r="K2" s="3253" t="s">
        <v>1385</v>
      </c>
      <c r="L2" s="3380" t="s">
        <v>751</v>
      </c>
      <c r="M2" s="3252" t="s">
        <v>1160</v>
      </c>
      <c r="N2" s="3256"/>
      <c r="O2" s="3252" t="s">
        <v>1156</v>
      </c>
      <c r="P2" s="3253" t="s">
        <v>1385</v>
      </c>
      <c r="Q2" s="3253" t="s">
        <v>751</v>
      </c>
      <c r="R2" s="3252" t="s">
        <v>1160</v>
      </c>
      <c r="S2" s="3256"/>
      <c r="T2" s="3252" t="s">
        <v>1156</v>
      </c>
      <c r="U2" s="3253" t="s">
        <v>1385</v>
      </c>
      <c r="V2" s="3253" t="s">
        <v>751</v>
      </c>
      <c r="W2" s="3252" t="s">
        <v>1160</v>
      </c>
      <c r="X2" s="3256"/>
      <c r="Y2" s="3252" t="s">
        <v>1156</v>
      </c>
      <c r="Z2" s="3257" t="s">
        <v>1157</v>
      </c>
      <c r="AA2" s="3258" t="s">
        <v>184</v>
      </c>
      <c r="AB2" s="3253" t="s">
        <v>3648</v>
      </c>
      <c r="AC2" s="3259" t="s">
        <v>751</v>
      </c>
      <c r="AD2" s="3252" t="s">
        <v>1160</v>
      </c>
      <c r="AE2" s="3256"/>
      <c r="AF2" s="3252" t="s">
        <v>1156</v>
      </c>
      <c r="AG2" s="3257" t="s">
        <v>1157</v>
      </c>
      <c r="AH2" s="3258" t="s">
        <v>184</v>
      </c>
      <c r="AI2" s="3253" t="s">
        <v>3648</v>
      </c>
      <c r="AJ2" s="3259" t="s">
        <v>751</v>
      </c>
      <c r="AK2" s="3252" t="s">
        <v>1160</v>
      </c>
    </row>
    <row r="3" spans="1:37" s="3264" customFormat="1" ht="14.25">
      <c r="A3" s="3260" t="s">
        <v>3039</v>
      </c>
      <c r="B3" s="3261"/>
      <c r="C3" s="3261"/>
      <c r="D3" s="3262"/>
      <c r="E3" s="3262"/>
      <c r="F3" s="3262"/>
      <c r="G3" s="3261"/>
      <c r="H3" s="3263"/>
      <c r="J3" s="3265">
        <f>ROUND(AVERAGE($J4:$J41),2)</f>
        <v>1.51</v>
      </c>
      <c r="K3" s="3265">
        <f>ROUND(AVERAGE($K4:$K41),2)</f>
        <v>0.93</v>
      </c>
      <c r="L3" s="3381">
        <f>ROUND(AVERAGE($L4:$L41),2)</f>
        <v>1.67</v>
      </c>
      <c r="M3" s="3265">
        <f>ROUND(AVERAGE($M4:$M41),2)</f>
        <v>1.1200000000000001</v>
      </c>
      <c r="N3" s="3250"/>
      <c r="O3" s="3263"/>
      <c r="S3" s="3250"/>
      <c r="T3" s="3263"/>
      <c r="X3" s="3266"/>
      <c r="Y3" s="3267">
        <f>ROUND(SUMPRODUCT(PRODUCT(1+O3:O$12)),4)</f>
        <v>1.0430999999999999</v>
      </c>
      <c r="Z3" s="3268">
        <f>ROUND(SUMPRODUCT(PRODUCT(1+P3:P$12)),4)</f>
        <v>1.0197000000000001</v>
      </c>
      <c r="AA3" s="3269">
        <f t="shared" ref="AA3" si="0">Z3</f>
        <v>1.0197000000000001</v>
      </c>
      <c r="AB3" s="3267">
        <f>AA3</f>
        <v>1.0197000000000001</v>
      </c>
      <c r="AC3" s="3270">
        <f>ROUND(SUMPRODUCT(PRODUCT(1+Q3:Q$12)),4)</f>
        <v>1.0468999999999999</v>
      </c>
      <c r="AD3" s="3267">
        <f>ROUND(SUMPRODUCT(PRODUCT(1+R3:R$12)),4)</f>
        <v>1.0382</v>
      </c>
      <c r="AE3" s="3250"/>
      <c r="AF3" s="3267">
        <f>ROUND(AVERAGE(J3:J$13)/100,4)</f>
        <v>6.7000000000000002E-3</v>
      </c>
      <c r="AG3" s="3268">
        <f>ROUND(AVERAGE(K3:K$13)/100,4)</f>
        <v>3.0999999999999999E-3</v>
      </c>
      <c r="AH3" s="3269">
        <f>AG3</f>
        <v>3.0999999999999999E-3</v>
      </c>
      <c r="AI3" s="3267">
        <f>AH3</f>
        <v>3.0999999999999999E-3</v>
      </c>
      <c r="AJ3" s="3270">
        <f>ROUND(AVERAGE(L3:L$13)/100,4)</f>
        <v>7.4000000000000003E-3</v>
      </c>
      <c r="AK3" s="3267">
        <f>ROUND(AVERAGE(M3:M$13)/100,4)</f>
        <v>5.1999999999999998E-3</v>
      </c>
    </row>
    <row r="4" spans="1:37" s="3249" customFormat="1" ht="14.25">
      <c r="B4" s="3271"/>
      <c r="C4" s="3271"/>
      <c r="D4" s="3272"/>
      <c r="E4" s="3272"/>
      <c r="F4" s="3272"/>
      <c r="G4" s="3271"/>
      <c r="H4" s="3273"/>
      <c r="L4" s="3382"/>
      <c r="N4" s="3250"/>
      <c r="O4" s="3273"/>
      <c r="S4" s="3250"/>
      <c r="T4" s="3273"/>
      <c r="X4" s="3250"/>
      <c r="Y4" s="3274"/>
      <c r="Z4" s="3275"/>
      <c r="AA4" s="3276"/>
      <c r="AB4" s="3274"/>
      <c r="AC4" s="3277"/>
      <c r="AD4" s="3274"/>
      <c r="AE4" s="3250"/>
      <c r="AF4" s="3274"/>
      <c r="AG4" s="3275"/>
      <c r="AH4" s="3276"/>
      <c r="AI4" s="3274"/>
      <c r="AJ4" s="3277"/>
      <c r="AK4" s="3274"/>
    </row>
    <row r="5" spans="1:37" s="3286" customFormat="1">
      <c r="A5" s="3278" t="s">
        <v>3649</v>
      </c>
      <c r="B5" s="3279">
        <f t="shared" ref="B5:C20" si="1">B6*(1+O5)</f>
        <v>519.39640548169621</v>
      </c>
      <c r="C5" s="3279">
        <f t="shared" si="1"/>
        <v>354.63833872448288</v>
      </c>
      <c r="D5" s="3279">
        <f t="shared" ref="D5:D25" si="2">C5</f>
        <v>354.63833872448288</v>
      </c>
      <c r="E5" s="3279">
        <f>D5</f>
        <v>354.63833872448288</v>
      </c>
      <c r="F5" s="3279">
        <f t="shared" ref="F5:G20" si="3">F6*(1+Q5)</f>
        <v>752.17356893558372</v>
      </c>
      <c r="G5" s="3279">
        <f t="shared" si="3"/>
        <v>341.6835991313157</v>
      </c>
      <c r="H5" s="3280">
        <v>2023</v>
      </c>
      <c r="I5" s="3281">
        <v>1</v>
      </c>
      <c r="J5" s="3282">
        <v>0</v>
      </c>
      <c r="K5" s="3282">
        <v>0</v>
      </c>
      <c r="L5" s="3383">
        <v>0</v>
      </c>
      <c r="M5" s="3283">
        <v>0</v>
      </c>
      <c r="N5" s="3284"/>
      <c r="O5" s="3285">
        <f t="shared" ref="O5:R20" si="4">J5/100</f>
        <v>0</v>
      </c>
      <c r="P5" s="3274">
        <f t="shared" si="4"/>
        <v>0</v>
      </c>
      <c r="Q5" s="3274">
        <f t="shared" si="4"/>
        <v>0</v>
      </c>
      <c r="R5" s="3274">
        <f t="shared" si="4"/>
        <v>0</v>
      </c>
      <c r="S5" s="3284"/>
      <c r="T5" s="3285"/>
      <c r="U5" s="3274"/>
      <c r="V5" s="3274"/>
      <c r="W5" s="3274"/>
      <c r="X5" s="3284"/>
      <c r="Y5" s="3274">
        <f>ROUND(IF([2]项目基本情况!$B$8="出让",SUMPRODUCT(PRODUCT(1+O5:O$13)),SUMPRODUCT(PRODUCT(1+O5:O$12))),4)</f>
        <v>1.0531999999999999</v>
      </c>
      <c r="Z5" s="3275">
        <f>ROUND(IF([2]项目基本情况!$B$8="出让",SUMPRODUCT(PRODUCT(1+P5:P$13)),SUMPRODUCT(PRODUCT(1+P5:P$12))),4)</f>
        <v>1.0214000000000001</v>
      </c>
      <c r="AA5" s="3276">
        <f t="shared" ref="AA5:AA11" si="5">Z5</f>
        <v>1.0214000000000001</v>
      </c>
      <c r="AB5" s="3274">
        <f>AA5</f>
        <v>1.0214000000000001</v>
      </c>
      <c r="AC5" s="3277">
        <f>ROUND(IF([2]项目基本情况!$B$8="出让",SUMPRODUCT(PRODUCT(1+Q5:Q$13)),SUMPRODUCT(PRODUCT(1+Q5:Q$12))),4)</f>
        <v>1.0586</v>
      </c>
      <c r="AD5" s="3274">
        <f>ROUND(IF([2]项目基本情况!$B$8="出让",SUMPRODUCT(PRODUCT(1+R5:R$13)),SUMPRODUCT(PRODUCT(1+R5:R$12))),4)</f>
        <v>1.0419</v>
      </c>
      <c r="AE5" s="3284"/>
      <c r="AF5" s="3274">
        <f>ROUND(AVERAGEIF(J5:J$13,"&lt;&gt;0")/100,4)</f>
        <v>8.6999999999999994E-3</v>
      </c>
      <c r="AG5" s="3275">
        <f>ROUND(AVERAGEIF(K5:K$13,"&lt;&gt;0")/100,4)</f>
        <v>3.5000000000000001E-3</v>
      </c>
      <c r="AH5" s="3276">
        <f>AG5</f>
        <v>3.5000000000000001E-3</v>
      </c>
      <c r="AI5" s="3274">
        <f t="shared" ref="AI5:AI13" si="6">AH5</f>
        <v>3.5000000000000001E-3</v>
      </c>
      <c r="AJ5" s="3277">
        <f>ROUND(AVERAGEIF(L5:L$13,"&lt;&gt;0")/100,4)</f>
        <v>9.4999999999999998E-3</v>
      </c>
      <c r="AK5" s="3274">
        <f>ROUND(AVERAGE(M5:M$13)/100,4)</f>
        <v>4.5999999999999999E-3</v>
      </c>
    </row>
    <row r="6" spans="1:37" s="3286" customFormat="1">
      <c r="A6" s="3287" t="s">
        <v>3650</v>
      </c>
      <c r="B6" s="3288">
        <f t="shared" si="1"/>
        <v>519.39640548169621</v>
      </c>
      <c r="C6" s="3288">
        <f t="shared" si="1"/>
        <v>354.63833872448288</v>
      </c>
      <c r="D6" s="3288">
        <f t="shared" si="2"/>
        <v>354.63833872448288</v>
      </c>
      <c r="E6" s="3288">
        <f t="shared" ref="E6:E13" si="7">B6</f>
        <v>519.39640548169621</v>
      </c>
      <c r="F6" s="3288">
        <f t="shared" si="3"/>
        <v>752.17356893558372</v>
      </c>
      <c r="G6" s="3288">
        <f t="shared" si="3"/>
        <v>341.6835991313157</v>
      </c>
      <c r="H6" s="3289">
        <v>2022</v>
      </c>
      <c r="I6" s="3290">
        <v>4</v>
      </c>
      <c r="J6" s="3291">
        <v>0</v>
      </c>
      <c r="K6" s="3291">
        <v>0</v>
      </c>
      <c r="L6" s="3384">
        <v>0</v>
      </c>
      <c r="M6" s="3292">
        <v>0</v>
      </c>
      <c r="N6" s="3250"/>
      <c r="O6" s="3273">
        <f t="shared" si="4"/>
        <v>0</v>
      </c>
      <c r="P6" s="3249">
        <f t="shared" si="4"/>
        <v>0</v>
      </c>
      <c r="Q6" s="3249">
        <f t="shared" si="4"/>
        <v>0</v>
      </c>
      <c r="R6" s="3249">
        <f t="shared" si="4"/>
        <v>0</v>
      </c>
      <c r="S6" s="3250"/>
      <c r="T6" s="3273"/>
      <c r="U6" s="3249"/>
      <c r="V6" s="3249"/>
      <c r="W6" s="3249"/>
      <c r="X6" s="3250"/>
      <c r="Y6" s="3249">
        <f>ROUND(IF([2]项目基本情况!$B$8="出让",SUMPRODUCT(PRODUCT(1+O6:O$13)),SUMPRODUCT(PRODUCT(1+O6:O$12))),4)</f>
        <v>1.0531999999999999</v>
      </c>
      <c r="Z6" s="3293">
        <f>ROUND(IF([2]项目基本情况!$B$8="出让",SUMPRODUCT(PRODUCT(1+P6:P$13)),SUMPRODUCT(PRODUCT(1+P6:P$12))),4)</f>
        <v>1.0214000000000001</v>
      </c>
      <c r="AA6" s="3294">
        <f t="shared" si="5"/>
        <v>1.0214000000000001</v>
      </c>
      <c r="AB6" s="3249">
        <f t="shared" ref="AB6:AB12" si="8">Y6</f>
        <v>1.0531999999999999</v>
      </c>
      <c r="AC6" s="3295">
        <f>ROUND(IF([2]项目基本情况!$B$8="出让",SUMPRODUCT(PRODUCT(1+Q6:Q$13)),SUMPRODUCT(PRODUCT(1+Q6:Q$12))),4)</f>
        <v>1.0586</v>
      </c>
      <c r="AD6" s="3249">
        <f>ROUND(IF([2]项目基本情况!$B$8="出让",SUMPRODUCT(PRODUCT(1+R6:R$13)),SUMPRODUCT(PRODUCT(1+R6:R$12))),4)</f>
        <v>1.0419</v>
      </c>
      <c r="AE6" s="3250"/>
      <c r="AF6" s="3274">
        <f>ROUND(AVERAGEIF(J6:J$13,"&lt;&gt;0")/100,4)</f>
        <v>8.6999999999999994E-3</v>
      </c>
      <c r="AG6" s="3293">
        <f>ROUND(AVERAGEIF(K6:K$13,"&lt;&gt;0")/100,4)</f>
        <v>3.5000000000000001E-3</v>
      </c>
      <c r="AH6" s="3294">
        <f t="shared" ref="AH6:AH13" si="9">AG6</f>
        <v>3.5000000000000001E-3</v>
      </c>
      <c r="AI6" s="3249">
        <f t="shared" si="6"/>
        <v>3.5000000000000001E-3</v>
      </c>
      <c r="AJ6" s="3295">
        <f>ROUND(AVERAGEIF(L6:L$13,"&lt;&gt;0")/100,4)</f>
        <v>9.4999999999999998E-3</v>
      </c>
      <c r="AK6" s="3249">
        <f>ROUND(AVERAGE(M6:M$13)/100,4)</f>
        <v>5.1999999999999998E-3</v>
      </c>
    </row>
    <row r="7" spans="1:37" s="3286" customFormat="1">
      <c r="A7" s="3278" t="s">
        <v>3651</v>
      </c>
      <c r="B7" s="3279">
        <f t="shared" si="1"/>
        <v>519.39640548169621</v>
      </c>
      <c r="C7" s="3279">
        <f t="shared" si="1"/>
        <v>354.63833872448288</v>
      </c>
      <c r="D7" s="3279">
        <f t="shared" si="2"/>
        <v>354.63833872448288</v>
      </c>
      <c r="E7" s="3279">
        <f t="shared" si="7"/>
        <v>519.39640548169621</v>
      </c>
      <c r="F7" s="3279">
        <f t="shared" si="3"/>
        <v>752.17356893558372</v>
      </c>
      <c r="G7" s="3279">
        <f t="shared" si="3"/>
        <v>341.6835991313157</v>
      </c>
      <c r="H7" s="3280">
        <v>2022</v>
      </c>
      <c r="I7" s="3281">
        <v>3</v>
      </c>
      <c r="J7" s="3282">
        <v>0</v>
      </c>
      <c r="K7" s="3282">
        <v>0</v>
      </c>
      <c r="L7" s="3383">
        <v>0</v>
      </c>
      <c r="M7" s="3283">
        <v>0</v>
      </c>
      <c r="N7" s="3284"/>
      <c r="O7" s="3285">
        <f t="shared" si="4"/>
        <v>0</v>
      </c>
      <c r="P7" s="3274">
        <f t="shared" si="4"/>
        <v>0</v>
      </c>
      <c r="Q7" s="3274">
        <f t="shared" si="4"/>
        <v>0</v>
      </c>
      <c r="R7" s="3274">
        <f t="shared" si="4"/>
        <v>0</v>
      </c>
      <c r="S7" s="3284"/>
      <c r="T7" s="3285"/>
      <c r="U7" s="3274"/>
      <c r="V7" s="3274"/>
      <c r="W7" s="3274"/>
      <c r="X7" s="3284"/>
      <c r="Y7" s="3274">
        <f>ROUND(IF([2]项目基本情况!$B$8="出让",SUMPRODUCT(PRODUCT(1+O7:O$13)),SUMPRODUCT(PRODUCT(1+O7:O$12))),4)</f>
        <v>1.0531999999999999</v>
      </c>
      <c r="Z7" s="3275">
        <f>ROUND(IF([2]项目基本情况!$B$8="出让",SUMPRODUCT(PRODUCT(1+P7:P$13)),SUMPRODUCT(PRODUCT(1+P7:P$12))),4)</f>
        <v>1.0214000000000001</v>
      </c>
      <c r="AA7" s="3276">
        <f t="shared" si="5"/>
        <v>1.0214000000000001</v>
      </c>
      <c r="AB7" s="3274">
        <f t="shared" si="8"/>
        <v>1.0531999999999999</v>
      </c>
      <c r="AC7" s="3277">
        <f>ROUND(IF([2]项目基本情况!$B$8="出让",SUMPRODUCT(PRODUCT(1+Q7:Q$13)),SUMPRODUCT(PRODUCT(1+Q7:Q$12))),4)</f>
        <v>1.0586</v>
      </c>
      <c r="AD7" s="3274">
        <f>ROUND(IF([2]项目基本情况!$B$8="出让",SUMPRODUCT(PRODUCT(1+R7:R$13)),SUMPRODUCT(PRODUCT(1+R7:R$12))),4)</f>
        <v>1.0419</v>
      </c>
      <c r="AE7" s="3284"/>
      <c r="AF7" s="3274">
        <f>ROUND(AVERAGEIF(J7:J$13,"&lt;&gt;0")/100,4)</f>
        <v>8.6999999999999994E-3</v>
      </c>
      <c r="AG7" s="3275">
        <f>ROUND(AVERAGEIF(K7:K$13,"&lt;&gt;0")/100,4)</f>
        <v>3.5000000000000001E-3</v>
      </c>
      <c r="AH7" s="3276">
        <f t="shared" si="9"/>
        <v>3.5000000000000001E-3</v>
      </c>
      <c r="AI7" s="3274">
        <f t="shared" si="6"/>
        <v>3.5000000000000001E-3</v>
      </c>
      <c r="AJ7" s="3277">
        <f>ROUND(AVERAGEIF(L7:L$13,"&lt;&gt;0")/100,4)</f>
        <v>9.4999999999999998E-3</v>
      </c>
      <c r="AK7" s="3274">
        <f>ROUND(AVERAGE(M7:M$13)/100,4)</f>
        <v>5.8999999999999999E-3</v>
      </c>
    </row>
    <row r="8" spans="1:37" s="3307" customFormat="1">
      <c r="A8" s="3296" t="s">
        <v>3652</v>
      </c>
      <c r="B8" s="3297">
        <f t="shared" si="1"/>
        <v>519.39640548169621</v>
      </c>
      <c r="C8" s="3297">
        <f t="shared" si="1"/>
        <v>354.63833872448288</v>
      </c>
      <c r="D8" s="3297">
        <f t="shared" si="2"/>
        <v>354.63833872448288</v>
      </c>
      <c r="E8" s="3297">
        <f t="shared" si="7"/>
        <v>519.39640548169621</v>
      </c>
      <c r="F8" s="3297">
        <f t="shared" si="3"/>
        <v>752.17356893558372</v>
      </c>
      <c r="G8" s="3297">
        <f t="shared" si="3"/>
        <v>341.6835991313157</v>
      </c>
      <c r="H8" s="3298">
        <v>2022</v>
      </c>
      <c r="I8" s="3299">
        <v>2</v>
      </c>
      <c r="J8" s="3300">
        <v>0.93</v>
      </c>
      <c r="K8" s="3300">
        <v>0.15</v>
      </c>
      <c r="L8" s="3384">
        <v>1.05</v>
      </c>
      <c r="M8" s="3301">
        <v>1.08</v>
      </c>
      <c r="N8" s="3302"/>
      <c r="O8" s="3303">
        <f t="shared" si="4"/>
        <v>9.300000000000001E-3</v>
      </c>
      <c r="P8" s="3302">
        <f t="shared" si="4"/>
        <v>1.5E-3</v>
      </c>
      <c r="Q8" s="3302">
        <f t="shared" si="4"/>
        <v>1.0500000000000001E-2</v>
      </c>
      <c r="R8" s="3302">
        <f t="shared" si="4"/>
        <v>1.0800000000000001E-2</v>
      </c>
      <c r="S8" s="3302"/>
      <c r="T8" s="3303"/>
      <c r="U8" s="3302"/>
      <c r="V8" s="3302"/>
      <c r="W8" s="3302"/>
      <c r="X8" s="3302"/>
      <c r="Y8" s="3302">
        <f>ROUND(IF([2]项目基本情况!$B$8="出让",SUMPRODUCT(PRODUCT(1+O8:O$13)),SUMPRODUCT(PRODUCT(1+O8:O$12))),4)</f>
        <v>1.0531999999999999</v>
      </c>
      <c r="Z8" s="3304">
        <f>ROUND(IF([2]项目基本情况!$B$8="出让",SUMPRODUCT(PRODUCT(1+P8:P$13)),SUMPRODUCT(PRODUCT(1+P8:P$12))),4)</f>
        <v>1.0214000000000001</v>
      </c>
      <c r="AA8" s="3305">
        <f t="shared" si="5"/>
        <v>1.0214000000000001</v>
      </c>
      <c r="AB8" s="3302">
        <f t="shared" si="8"/>
        <v>1.0531999999999999</v>
      </c>
      <c r="AC8" s="3306">
        <f>ROUND(IF([2]项目基本情况!$B$8="出让",SUMPRODUCT(PRODUCT(1+Q8:Q$13)),SUMPRODUCT(PRODUCT(1+Q8:Q$12))),4)</f>
        <v>1.0586</v>
      </c>
      <c r="AD8" s="3302">
        <f>ROUND(IF([2]项目基本情况!$B$8="出让",SUMPRODUCT(PRODUCT(1+R8:R$13)),SUMPRODUCT(PRODUCT(1+R8:R$12))),4)</f>
        <v>1.0419</v>
      </c>
      <c r="AE8" s="3302"/>
      <c r="AF8" s="3302">
        <f>ROUND(AVERAGEIF(J8:J$13,"&lt;&gt;0")/100,4)</f>
        <v>8.6999999999999994E-3</v>
      </c>
      <c r="AG8" s="3304">
        <f>ROUND(AVERAGEIF(K8:K$13,"&lt;&gt;0")/100,4)</f>
        <v>3.5000000000000001E-3</v>
      </c>
      <c r="AH8" s="3305">
        <f t="shared" si="9"/>
        <v>3.5000000000000001E-3</v>
      </c>
      <c r="AI8" s="3302">
        <f t="shared" si="6"/>
        <v>3.5000000000000001E-3</v>
      </c>
      <c r="AJ8" s="3306">
        <f>ROUND(AVERAGEIF(L8:L$13,"&lt;&gt;0")/100,4)</f>
        <v>9.4999999999999998E-3</v>
      </c>
      <c r="AK8" s="3302">
        <f>ROUND(AVERAGE(M8:M$13)/100,4)</f>
        <v>6.8999999999999999E-3</v>
      </c>
    </row>
    <row r="9" spans="1:37" s="3286" customFormat="1">
      <c r="A9" s="3278" t="s">
        <v>3653</v>
      </c>
      <c r="B9" s="3279">
        <f t="shared" si="1"/>
        <v>514.61052757524635</v>
      </c>
      <c r="C9" s="3279">
        <f t="shared" si="1"/>
        <v>354.10717795754653</v>
      </c>
      <c r="D9" s="3279">
        <f t="shared" si="2"/>
        <v>354.10717795754653</v>
      </c>
      <c r="E9" s="3279">
        <f t="shared" si="7"/>
        <v>514.61052757524635</v>
      </c>
      <c r="F9" s="3279">
        <f t="shared" si="3"/>
        <v>744.35781191052331</v>
      </c>
      <c r="G9" s="3279">
        <f t="shared" si="3"/>
        <v>338.03284441166971</v>
      </c>
      <c r="H9" s="3280">
        <v>2022</v>
      </c>
      <c r="I9" s="3281">
        <v>1</v>
      </c>
      <c r="J9" s="3282">
        <v>0.89</v>
      </c>
      <c r="K9" s="3282">
        <v>0.44</v>
      </c>
      <c r="L9" s="3383">
        <v>0.96</v>
      </c>
      <c r="M9" s="3283">
        <v>0.64</v>
      </c>
      <c r="N9" s="3284"/>
      <c r="O9" s="3285">
        <f t="shared" si="4"/>
        <v>8.8999999999999999E-3</v>
      </c>
      <c r="P9" s="3274">
        <f t="shared" si="4"/>
        <v>4.4000000000000003E-3</v>
      </c>
      <c r="Q9" s="3274">
        <f t="shared" si="4"/>
        <v>9.5999999999999992E-3</v>
      </c>
      <c r="R9" s="3274">
        <f t="shared" si="4"/>
        <v>6.4000000000000003E-3</v>
      </c>
      <c r="S9" s="3284"/>
      <c r="T9" s="3285"/>
      <c r="U9" s="3274"/>
      <c r="V9" s="3274"/>
      <c r="W9" s="3274"/>
      <c r="X9" s="3284"/>
      <c r="Y9" s="3274">
        <f>ROUND(IF([2]项目基本情况!$B$8="出让",SUMPRODUCT(PRODUCT(1+O9:O$13)),SUMPRODUCT(PRODUCT(1+O9:O$12))),4)</f>
        <v>1.0435000000000001</v>
      </c>
      <c r="Z9" s="3275">
        <f>ROUND(IF([2]项目基本情况!$B$8="出让",SUMPRODUCT(PRODUCT(1+P9:P$13)),SUMPRODUCT(PRODUCT(1+P9:P$12))),4)</f>
        <v>1.0198</v>
      </c>
      <c r="AA9" s="3276">
        <f t="shared" si="5"/>
        <v>1.0198</v>
      </c>
      <c r="AB9" s="3274">
        <f t="shared" si="8"/>
        <v>1.0435000000000001</v>
      </c>
      <c r="AC9" s="3277">
        <f>ROUND(IF([2]项目基本情况!$B$8="出让",SUMPRODUCT(PRODUCT(1+Q9:Q$13)),SUMPRODUCT(PRODUCT(1+Q9:Q$12))),4)</f>
        <v>1.0476000000000001</v>
      </c>
      <c r="AD9" s="3274">
        <f>ROUND(IF([2]项目基本情况!$B$8="出让",SUMPRODUCT(PRODUCT(1+R9:R$13)),SUMPRODUCT(PRODUCT(1+R9:R$12))),4)</f>
        <v>1.0307999999999999</v>
      </c>
      <c r="AE9" s="3284"/>
      <c r="AF9" s="3274">
        <f>ROUND(AVERAGEIF(J9:J$13,"&lt;&gt;0")/100,4)</f>
        <v>8.6E-3</v>
      </c>
      <c r="AG9" s="3275">
        <f>ROUND(AVERAGEIF(K9:K$13,"&lt;&gt;0")/100,4)</f>
        <v>3.8999999999999998E-3</v>
      </c>
      <c r="AH9" s="3276">
        <f t="shared" si="9"/>
        <v>3.8999999999999998E-3</v>
      </c>
      <c r="AI9" s="3274">
        <f t="shared" si="6"/>
        <v>3.8999999999999998E-3</v>
      </c>
      <c r="AJ9" s="3277">
        <f>ROUND(AVERAGEIF(L9:L$13,"&lt;&gt;0")/100,4)</f>
        <v>9.2999999999999992E-3</v>
      </c>
      <c r="AK9" s="3274">
        <f>ROUND(AVERAGE(M9:M$13)/100,4)</f>
        <v>6.1000000000000004E-3</v>
      </c>
    </row>
    <row r="10" spans="1:37" s="3286" customFormat="1">
      <c r="A10" s="3278" t="s">
        <v>3654</v>
      </c>
      <c r="B10" s="3279">
        <f t="shared" si="1"/>
        <v>510.07089659554606</v>
      </c>
      <c r="C10" s="3279">
        <f t="shared" si="1"/>
        <v>352.55593185737411</v>
      </c>
      <c r="D10" s="3279">
        <f t="shared" si="2"/>
        <v>352.55593185737411</v>
      </c>
      <c r="E10" s="3279">
        <f t="shared" si="7"/>
        <v>510.07089659554606</v>
      </c>
      <c r="F10" s="3279">
        <f t="shared" si="3"/>
        <v>737.27992463403655</v>
      </c>
      <c r="G10" s="3279">
        <f t="shared" si="3"/>
        <v>335.88319198297864</v>
      </c>
      <c r="H10" s="3280">
        <v>2021</v>
      </c>
      <c r="I10" s="3281">
        <v>4</v>
      </c>
      <c r="J10" s="3282">
        <v>1.03</v>
      </c>
      <c r="K10" s="3282">
        <v>0.24</v>
      </c>
      <c r="L10" s="3383">
        <v>1.17</v>
      </c>
      <c r="M10" s="3283">
        <v>0.55000000000000004</v>
      </c>
      <c r="N10" s="3284"/>
      <c r="O10" s="3285">
        <f t="shared" si="4"/>
        <v>1.03E-2</v>
      </c>
      <c r="P10" s="3274">
        <f t="shared" si="4"/>
        <v>2.3999999999999998E-3</v>
      </c>
      <c r="Q10" s="3274">
        <f t="shared" si="4"/>
        <v>1.1699999999999999E-2</v>
      </c>
      <c r="R10" s="3274">
        <f t="shared" si="4"/>
        <v>5.5000000000000005E-3</v>
      </c>
      <c r="S10" s="3284"/>
      <c r="T10" s="3285"/>
      <c r="U10" s="3274"/>
      <c r="V10" s="3274"/>
      <c r="W10" s="3274"/>
      <c r="X10" s="3284"/>
      <c r="Y10" s="3274">
        <f>ROUND(IF([2]项目基本情况!$B$8="出让",SUMPRODUCT(PRODUCT(1+O10:O$13)),SUMPRODUCT(PRODUCT(1+O10:O$12))),4)</f>
        <v>1.0343</v>
      </c>
      <c r="Z10" s="3275">
        <f>ROUND(IF([2]项目基本情况!$B$8="出让",SUMPRODUCT(PRODUCT(1+P10:P$13)),SUMPRODUCT(PRODUCT(1+P10:P$12))),4)</f>
        <v>1.0154000000000001</v>
      </c>
      <c r="AA10" s="3276">
        <f t="shared" si="5"/>
        <v>1.0154000000000001</v>
      </c>
      <c r="AB10" s="3274">
        <f t="shared" si="8"/>
        <v>1.0343</v>
      </c>
      <c r="AC10" s="3277">
        <f>ROUND(IF([2]项目基本情况!$B$8="出让",SUMPRODUCT(PRODUCT(1+Q10:Q$13)),SUMPRODUCT(PRODUCT(1+Q10:Q$12))),4)</f>
        <v>1.0376000000000001</v>
      </c>
      <c r="AD10" s="3274">
        <f>ROUND(IF([2]项目基本情况!$B$8="出让",SUMPRODUCT(PRODUCT(1+R10:R$13)),SUMPRODUCT(PRODUCT(1+R10:R$12))),4)</f>
        <v>1.0242</v>
      </c>
      <c r="AE10" s="3284"/>
      <c r="AF10" s="3274">
        <f>ROUND(AVERAGEIF(J10:J$13,"&lt;&gt;0")/100,4)</f>
        <v>8.5000000000000006E-3</v>
      </c>
      <c r="AG10" s="3275">
        <f>ROUND(AVERAGEIF(K10:K$13,"&lt;&gt;0")/100,4)</f>
        <v>3.8E-3</v>
      </c>
      <c r="AH10" s="3276">
        <f t="shared" si="9"/>
        <v>3.8E-3</v>
      </c>
      <c r="AI10" s="3274">
        <f t="shared" si="6"/>
        <v>3.8E-3</v>
      </c>
      <c r="AJ10" s="3277">
        <f>ROUND(AVERAGEIF(L10:L$13,"&lt;&gt;0")/100,4)</f>
        <v>9.2999999999999992E-3</v>
      </c>
      <c r="AK10" s="3274">
        <f>ROUND(AVERAGE(M10:M$13)/100,4)</f>
        <v>6.0000000000000001E-3</v>
      </c>
    </row>
    <row r="11" spans="1:37" s="3286" customFormat="1">
      <c r="A11" s="3278" t="s">
        <v>3655</v>
      </c>
      <c r="B11" s="3279">
        <f t="shared" si="1"/>
        <v>504.87072809615569</v>
      </c>
      <c r="C11" s="3279">
        <f t="shared" si="1"/>
        <v>351.71182348101968</v>
      </c>
      <c r="D11" s="3279">
        <f t="shared" si="2"/>
        <v>351.71182348101968</v>
      </c>
      <c r="E11" s="3279">
        <f t="shared" si="7"/>
        <v>504.87072809615569</v>
      </c>
      <c r="F11" s="3279">
        <f t="shared" si="3"/>
        <v>728.75350858360832</v>
      </c>
      <c r="G11" s="3279">
        <f t="shared" si="3"/>
        <v>334.04593931673656</v>
      </c>
      <c r="H11" s="3280">
        <v>2021</v>
      </c>
      <c r="I11" s="3281">
        <v>3</v>
      </c>
      <c r="J11" s="3282">
        <v>0.47</v>
      </c>
      <c r="K11" s="3282">
        <v>0.41</v>
      </c>
      <c r="L11" s="3383">
        <v>0.48</v>
      </c>
      <c r="M11" s="3283">
        <v>0.48</v>
      </c>
      <c r="N11" s="3284"/>
      <c r="O11" s="3285">
        <f>J11/100</f>
        <v>4.6999999999999993E-3</v>
      </c>
      <c r="P11" s="3274">
        <f t="shared" si="4"/>
        <v>4.0999999999999995E-3</v>
      </c>
      <c r="Q11" s="3274">
        <f t="shared" si="4"/>
        <v>4.7999999999999996E-3</v>
      </c>
      <c r="R11" s="3274">
        <f t="shared" si="4"/>
        <v>4.7999999999999996E-3</v>
      </c>
      <c r="S11" s="3284"/>
      <c r="T11" s="3285"/>
      <c r="U11" s="3274"/>
      <c r="V11" s="3274"/>
      <c r="W11" s="3274"/>
      <c r="X11" s="3284"/>
      <c r="Y11" s="3274">
        <f>ROUND(IF([2]项目基本情况!$B$8="出让",SUMPRODUCT(PRODUCT(1+O11:O$13)),SUMPRODUCT(PRODUCT(1+O11:O$12))),4)</f>
        <v>1.0238</v>
      </c>
      <c r="Z11" s="3275">
        <f>ROUND(IF([2]项目基本情况!$B$8="出让",SUMPRODUCT(PRODUCT(1+P11:P$13)),SUMPRODUCT(PRODUCT(1+P11:P$12))),4)</f>
        <v>1.0128999999999999</v>
      </c>
      <c r="AA11" s="3276">
        <f t="shared" si="5"/>
        <v>1.0128999999999999</v>
      </c>
      <c r="AB11" s="3274">
        <f t="shared" si="8"/>
        <v>1.0238</v>
      </c>
      <c r="AC11" s="3277">
        <f>ROUND(IF([2]项目基本情况!$B$8="出让",SUMPRODUCT(PRODUCT(1+Q11:Q$13)),SUMPRODUCT(PRODUCT(1+Q11:Q$12))),4)</f>
        <v>1.0256000000000001</v>
      </c>
      <c r="AD11" s="3274">
        <f>ROUND(IF([2]项目基本情况!$B$8="出让",SUMPRODUCT(PRODUCT(1+R11:R$13)),SUMPRODUCT(PRODUCT(1+R11:R$12))),4)</f>
        <v>1.0185999999999999</v>
      </c>
      <c r="AE11" s="3284"/>
      <c r="AF11" s="3274">
        <f>ROUND(AVERAGEIF(J11:J$13,"&lt;&gt;0")/100,4)</f>
        <v>7.9000000000000008E-3</v>
      </c>
      <c r="AG11" s="3275">
        <f>ROUND(AVERAGEIF(K11:K$13,"&lt;&gt;0")/100,4)</f>
        <v>4.3E-3</v>
      </c>
      <c r="AH11" s="3276">
        <f t="shared" si="9"/>
        <v>4.3E-3</v>
      </c>
      <c r="AI11" s="3274">
        <f t="shared" si="6"/>
        <v>4.3E-3</v>
      </c>
      <c r="AJ11" s="3277">
        <f>ROUND(AVERAGEIF(L11:L$13,"&lt;&gt;0")/100,4)</f>
        <v>8.5000000000000006E-3</v>
      </c>
      <c r="AK11" s="3274">
        <f>ROUND(AVERAGE(M11:M$13)/100,4)</f>
        <v>6.1999999999999998E-3</v>
      </c>
    </row>
    <row r="12" spans="1:37" s="3286" customFormat="1">
      <c r="A12" s="3278" t="s">
        <v>3656</v>
      </c>
      <c r="B12" s="3279">
        <f t="shared" si="1"/>
        <v>502.50893609650217</v>
      </c>
      <c r="C12" s="3279">
        <f t="shared" si="1"/>
        <v>350.27569313914915</v>
      </c>
      <c r="D12" s="3279">
        <f t="shared" si="2"/>
        <v>350.27569313914915</v>
      </c>
      <c r="E12" s="3279">
        <f t="shared" si="7"/>
        <v>502.50893609650217</v>
      </c>
      <c r="F12" s="3279">
        <f t="shared" si="3"/>
        <v>725.27220201394141</v>
      </c>
      <c r="G12" s="3279">
        <f t="shared" si="3"/>
        <v>332.45017846012797</v>
      </c>
      <c r="H12" s="3280">
        <v>2021</v>
      </c>
      <c r="I12" s="3281">
        <v>2</v>
      </c>
      <c r="J12" s="3282">
        <v>0.92</v>
      </c>
      <c r="K12" s="3282">
        <v>0.72</v>
      </c>
      <c r="L12" s="3383">
        <v>0.95</v>
      </c>
      <c r="M12" s="3283">
        <v>1.01</v>
      </c>
      <c r="N12" s="3284"/>
      <c r="O12" s="3285">
        <f>J12/100</f>
        <v>9.1999999999999998E-3</v>
      </c>
      <c r="P12" s="3274">
        <f t="shared" si="4"/>
        <v>7.1999999999999998E-3</v>
      </c>
      <c r="Q12" s="3274">
        <f t="shared" si="4"/>
        <v>9.4999999999999998E-3</v>
      </c>
      <c r="R12" s="3274">
        <f t="shared" si="4"/>
        <v>1.01E-2</v>
      </c>
      <c r="S12" s="3284"/>
      <c r="T12" s="3285"/>
      <c r="U12" s="3274"/>
      <c r="V12" s="3274"/>
      <c r="W12" s="3274"/>
      <c r="X12" s="3284"/>
      <c r="Y12" s="3274">
        <f>ROUND(IF([2]项目基本情况!$B$8="出让",SUMPRODUCT(PRODUCT(1+O12:O$13)),SUMPRODUCT(PRODUCT(1+O12:O$12))),4)</f>
        <v>1.0189999999999999</v>
      </c>
      <c r="Z12" s="3275">
        <f>ROUND(IF([2]项目基本情况!$B$8="出让",SUMPRODUCT(PRODUCT(1+P12:P$13)),SUMPRODUCT(PRODUCT(1+P12:P$12))),4)</f>
        <v>1.0087999999999999</v>
      </c>
      <c r="AA12" s="3276">
        <f>Z12</f>
        <v>1.0087999999999999</v>
      </c>
      <c r="AB12" s="3274">
        <f t="shared" si="8"/>
        <v>1.0189999999999999</v>
      </c>
      <c r="AC12" s="3277">
        <f>ROUND(IF([2]项目基本情况!$B$8="出让",SUMPRODUCT(PRODUCT(1+Q12:Q$13)),SUMPRODUCT(PRODUCT(1+Q12:Q$12))),4)</f>
        <v>1.0206999999999999</v>
      </c>
      <c r="AD12" s="3274">
        <f>ROUND(IF([2]项目基本情况!$B$8="出让",SUMPRODUCT(PRODUCT(1+R12:R$13)),SUMPRODUCT(PRODUCT(1+R12:R$12))),4)</f>
        <v>1.0137</v>
      </c>
      <c r="AE12" s="3284"/>
      <c r="AF12" s="3274">
        <f>ROUND(AVERAGEIF(J12:J$13,"&lt;&gt;0")/100,4)</f>
        <v>9.4999999999999998E-3</v>
      </c>
      <c r="AG12" s="3275">
        <f>ROUND(AVERAGEIF(K12:K$13,"&lt;&gt;0")/100,4)</f>
        <v>4.4000000000000003E-3</v>
      </c>
      <c r="AH12" s="3276">
        <f t="shared" si="9"/>
        <v>4.4000000000000003E-3</v>
      </c>
      <c r="AI12" s="3274">
        <f t="shared" si="6"/>
        <v>4.4000000000000003E-3</v>
      </c>
      <c r="AJ12" s="3277">
        <f>ROUND(AVERAGEIF(L12:L$13,"&lt;&gt;0")/100,4)</f>
        <v>1.03E-2</v>
      </c>
      <c r="AK12" s="3274">
        <f>ROUND(AVERAGE(M12:M$13)/100,4)</f>
        <v>6.8999999999999999E-3</v>
      </c>
    </row>
    <row r="13" spans="1:37" s="3320" customFormat="1" ht="13.5" thickBot="1">
      <c r="A13" s="3308" t="s">
        <v>3657</v>
      </c>
      <c r="B13" s="3309">
        <f t="shared" si="1"/>
        <v>497.92799851020823</v>
      </c>
      <c r="C13" s="3309">
        <f t="shared" si="1"/>
        <v>347.77173663537445</v>
      </c>
      <c r="D13" s="3309">
        <f t="shared" si="2"/>
        <v>347.77173663537445</v>
      </c>
      <c r="E13" s="3309">
        <f t="shared" si="7"/>
        <v>497.92799851020823</v>
      </c>
      <c r="F13" s="3309">
        <f t="shared" si="3"/>
        <v>718.44695593258189</v>
      </c>
      <c r="G13" s="3309">
        <f t="shared" si="3"/>
        <v>329.12600580153247</v>
      </c>
      <c r="H13" s="3310">
        <v>2021</v>
      </c>
      <c r="I13" s="3311">
        <v>1</v>
      </c>
      <c r="J13" s="3312">
        <v>0.97</v>
      </c>
      <c r="K13" s="3312">
        <v>0.16</v>
      </c>
      <c r="L13" s="3385">
        <v>1.1100000000000001</v>
      </c>
      <c r="M13" s="3313">
        <v>0.36</v>
      </c>
      <c r="N13" s="3314"/>
      <c r="O13" s="3315">
        <f>J13/100</f>
        <v>9.7000000000000003E-3</v>
      </c>
      <c r="P13" s="3316">
        <f t="shared" si="4"/>
        <v>1.6000000000000001E-3</v>
      </c>
      <c r="Q13" s="3316">
        <f t="shared" si="4"/>
        <v>1.11E-2</v>
      </c>
      <c r="R13" s="3316">
        <f t="shared" si="4"/>
        <v>3.5999999999999999E-3</v>
      </c>
      <c r="S13" s="3314"/>
      <c r="T13" s="3315">
        <f>B13/B14-1</f>
        <v>9.7000000000000419E-3</v>
      </c>
      <c r="U13" s="3316">
        <f t="shared" ref="U13:V13" si="10">C13/C14-1</f>
        <v>1.6000000000000458E-3</v>
      </c>
      <c r="V13" s="3316">
        <f t="shared" si="10"/>
        <v>1.6000000000000458E-3</v>
      </c>
      <c r="W13" s="3316">
        <f t="shared" ref="W13" si="11">F13/F14-1</f>
        <v>1.110000000000011E-2</v>
      </c>
      <c r="X13" s="3314"/>
      <c r="Y13" s="3316">
        <v>1</v>
      </c>
      <c r="Z13" s="3317">
        <v>1</v>
      </c>
      <c r="AA13" s="3318">
        <v>1</v>
      </c>
      <c r="AB13" s="3316">
        <v>1</v>
      </c>
      <c r="AC13" s="3319">
        <v>1</v>
      </c>
      <c r="AD13" s="3316">
        <v>1</v>
      </c>
      <c r="AE13" s="3314"/>
      <c r="AF13" s="3316">
        <f>ROUND(AVERAGE(J13:J$13)/100,4)</f>
        <v>9.7000000000000003E-3</v>
      </c>
      <c r="AG13" s="3317">
        <f>ROUND(AVERAGE(K13:K$13)/100,4)</f>
        <v>1.6000000000000001E-3</v>
      </c>
      <c r="AH13" s="3318">
        <f t="shared" si="9"/>
        <v>1.6000000000000001E-3</v>
      </c>
      <c r="AI13" s="3316">
        <f t="shared" si="6"/>
        <v>1.6000000000000001E-3</v>
      </c>
      <c r="AJ13" s="3319">
        <f>ROUND(AVERAGEIF(L13:L$13,"&lt;&gt;0")/100,4)</f>
        <v>1.11E-2</v>
      </c>
      <c r="AK13" s="3316">
        <f>ROUND(AVERAGE(M13:M$13)/100,4)</f>
        <v>3.5999999999999999E-3</v>
      </c>
    </row>
    <row r="14" spans="1:37" s="3286" customFormat="1" ht="14.25" thickTop="1" thickBot="1">
      <c r="A14" s="3321" t="s">
        <v>3658</v>
      </c>
      <c r="B14" s="3288">
        <f t="shared" si="1"/>
        <v>493.14449689037161</v>
      </c>
      <c r="C14" s="3288">
        <f t="shared" si="1"/>
        <v>347.21619073020611</v>
      </c>
      <c r="D14" s="3288">
        <f t="shared" si="2"/>
        <v>347.21619073020611</v>
      </c>
      <c r="E14" s="3288"/>
      <c r="F14" s="3288">
        <f t="shared" si="3"/>
        <v>710.55974278763904</v>
      </c>
      <c r="G14" s="3288">
        <f t="shared" si="3"/>
        <v>327.94540235306141</v>
      </c>
      <c r="H14" s="3289">
        <v>2020</v>
      </c>
      <c r="I14" s="3322">
        <v>4</v>
      </c>
      <c r="J14" s="3322">
        <v>2.0699999999999998</v>
      </c>
      <c r="K14" s="3322">
        <v>0.37</v>
      </c>
      <c r="L14" s="3386">
        <v>2.35</v>
      </c>
      <c r="M14" s="3323">
        <v>2.69</v>
      </c>
      <c r="N14" s="3250"/>
      <c r="O14" s="3273">
        <f t="shared" ref="O14:R29" si="12">J14/100</f>
        <v>2.07E-2</v>
      </c>
      <c r="P14" s="3249">
        <f t="shared" si="4"/>
        <v>3.7000000000000002E-3</v>
      </c>
      <c r="Q14" s="3249">
        <f t="shared" si="4"/>
        <v>2.35E-2</v>
      </c>
      <c r="R14" s="3249">
        <f t="shared" si="4"/>
        <v>2.69E-2</v>
      </c>
      <c r="S14" s="3250"/>
      <c r="T14" s="3273"/>
      <c r="U14" s="3249"/>
      <c r="V14" s="3249"/>
      <c r="W14" s="3249"/>
      <c r="X14" s="3250"/>
      <c r="Y14" s="3249"/>
      <c r="Z14" s="3249"/>
      <c r="AA14" s="3249"/>
      <c r="AB14" s="3249"/>
      <c r="AC14" s="3249"/>
      <c r="AD14" s="3249"/>
      <c r="AE14" s="3250"/>
      <c r="AF14" s="3249"/>
      <c r="AG14" s="3249"/>
      <c r="AH14" s="3249"/>
      <c r="AI14" s="3249"/>
      <c r="AJ14" s="3249"/>
      <c r="AK14" s="3249"/>
    </row>
    <row r="15" spans="1:37" s="3286" customFormat="1" ht="13.5" thickBot="1">
      <c r="A15" s="3278" t="s">
        <v>3659</v>
      </c>
      <c r="B15" s="3279">
        <f t="shared" si="1"/>
        <v>483.1434279321756</v>
      </c>
      <c r="C15" s="3279">
        <f t="shared" si="1"/>
        <v>345.93622669144776</v>
      </c>
      <c r="D15" s="3279">
        <f t="shared" si="2"/>
        <v>345.93622669144776</v>
      </c>
      <c r="E15" s="3279"/>
      <c r="F15" s="3279">
        <f t="shared" si="3"/>
        <v>694.24498562544113</v>
      </c>
      <c r="G15" s="3279">
        <f t="shared" si="3"/>
        <v>319.35475932716082</v>
      </c>
      <c r="H15" s="3280">
        <v>2020</v>
      </c>
      <c r="I15" s="3324">
        <v>3</v>
      </c>
      <c r="J15" s="3324">
        <v>0.36</v>
      </c>
      <c r="K15" s="3324">
        <v>-0.39</v>
      </c>
      <c r="L15" s="3387">
        <v>0.49</v>
      </c>
      <c r="M15" s="3325">
        <v>7.0000000000000007E-2</v>
      </c>
      <c r="N15" s="3284"/>
      <c r="O15" s="3285">
        <f t="shared" si="12"/>
        <v>3.5999999999999999E-3</v>
      </c>
      <c r="P15" s="3274">
        <f t="shared" si="4"/>
        <v>-3.9000000000000003E-3</v>
      </c>
      <c r="Q15" s="3274">
        <f t="shared" si="4"/>
        <v>4.8999999999999998E-3</v>
      </c>
      <c r="R15" s="3274">
        <f t="shared" si="4"/>
        <v>7.000000000000001E-4</v>
      </c>
      <c r="S15" s="3284"/>
      <c r="T15" s="3285"/>
      <c r="U15" s="3274"/>
      <c r="V15" s="3274"/>
      <c r="W15" s="3274"/>
      <c r="X15" s="3284"/>
      <c r="Y15" s="3274"/>
      <c r="Z15" s="3274"/>
      <c r="AA15" s="3274"/>
      <c r="AB15" s="3274"/>
      <c r="AC15" s="3274"/>
      <c r="AD15" s="3274"/>
      <c r="AE15" s="3284"/>
      <c r="AF15" s="3274"/>
      <c r="AG15" s="3274"/>
      <c r="AH15" s="3274"/>
      <c r="AI15" s="3274"/>
      <c r="AJ15" s="3274"/>
      <c r="AK15" s="3274"/>
    </row>
    <row r="16" spans="1:37" s="3286" customFormat="1" ht="13.5" thickBot="1">
      <c r="A16" s="3278" t="s">
        <v>3660</v>
      </c>
      <c r="B16" s="3279">
        <f t="shared" si="1"/>
        <v>481.4103506697644</v>
      </c>
      <c r="C16" s="3279">
        <f t="shared" si="1"/>
        <v>347.29066026648707</v>
      </c>
      <c r="D16" s="3279">
        <f t="shared" si="2"/>
        <v>347.29066026648707</v>
      </c>
      <c r="E16" s="3279"/>
      <c r="F16" s="3279">
        <f t="shared" si="3"/>
        <v>690.85977273901995</v>
      </c>
      <c r="G16" s="3279">
        <f t="shared" si="3"/>
        <v>319.13136737000184</v>
      </c>
      <c r="H16" s="3280">
        <v>2020</v>
      </c>
      <c r="I16" s="3324">
        <v>2</v>
      </c>
      <c r="J16" s="3324">
        <v>0.31</v>
      </c>
      <c r="K16" s="3324">
        <v>-0.78</v>
      </c>
      <c r="L16" s="3387">
        <v>0.5</v>
      </c>
      <c r="M16" s="3325">
        <v>0.47</v>
      </c>
      <c r="N16" s="3284"/>
      <c r="O16" s="3285">
        <f t="shared" si="12"/>
        <v>3.0999999999999999E-3</v>
      </c>
      <c r="P16" s="3274">
        <f t="shared" si="4"/>
        <v>-7.8000000000000005E-3</v>
      </c>
      <c r="Q16" s="3274">
        <f t="shared" si="4"/>
        <v>5.0000000000000001E-3</v>
      </c>
      <c r="R16" s="3274">
        <f t="shared" si="4"/>
        <v>4.6999999999999993E-3</v>
      </c>
      <c r="S16" s="3284"/>
      <c r="T16" s="3285"/>
      <c r="U16" s="3274"/>
      <c r="V16" s="3274"/>
      <c r="W16" s="3274"/>
      <c r="X16" s="3284"/>
      <c r="Y16" s="3274"/>
      <c r="Z16" s="3274"/>
      <c r="AA16" s="3274"/>
      <c r="AB16" s="3274"/>
      <c r="AC16" s="3274"/>
      <c r="AD16" s="3274"/>
      <c r="AE16" s="3284"/>
      <c r="AF16" s="3274"/>
      <c r="AG16" s="3274"/>
      <c r="AH16" s="3274"/>
      <c r="AI16" s="3274"/>
      <c r="AJ16" s="3274"/>
      <c r="AK16" s="3274"/>
    </row>
    <row r="17" spans="1:37" s="3286" customFormat="1" ht="13.5" thickBot="1">
      <c r="A17" s="3278" t="s">
        <v>3661</v>
      </c>
      <c r="B17" s="3279">
        <f t="shared" si="1"/>
        <v>479.92259063878413</v>
      </c>
      <c r="C17" s="3279">
        <f t="shared" si="1"/>
        <v>350.02082268341775</v>
      </c>
      <c r="D17" s="3279">
        <f t="shared" si="2"/>
        <v>350.02082268341775</v>
      </c>
      <c r="E17" s="3279"/>
      <c r="F17" s="3279">
        <f t="shared" si="3"/>
        <v>687.42265944181099</v>
      </c>
      <c r="G17" s="3279">
        <f t="shared" si="3"/>
        <v>317.63846657708956</v>
      </c>
      <c r="H17" s="3280">
        <v>2020</v>
      </c>
      <c r="I17" s="3324">
        <v>1</v>
      </c>
      <c r="J17" s="3324">
        <v>0.12</v>
      </c>
      <c r="K17" s="3324">
        <v>-0.4</v>
      </c>
      <c r="L17" s="3387">
        <v>0.21</v>
      </c>
      <c r="M17" s="3325">
        <v>0.27</v>
      </c>
      <c r="N17" s="3284"/>
      <c r="O17" s="3285">
        <f t="shared" si="12"/>
        <v>1.1999999999999999E-3</v>
      </c>
      <c r="P17" s="3274">
        <f t="shared" si="4"/>
        <v>-4.0000000000000001E-3</v>
      </c>
      <c r="Q17" s="3274">
        <f t="shared" si="4"/>
        <v>2.0999999999999999E-3</v>
      </c>
      <c r="R17" s="3274">
        <f t="shared" si="4"/>
        <v>2.7000000000000001E-3</v>
      </c>
      <c r="S17" s="3284"/>
      <c r="T17" s="3285">
        <f>B17/B18-1</f>
        <v>1.2000000000000899E-3</v>
      </c>
      <c r="U17" s="3274">
        <f t="shared" ref="U17:V17" si="13">C17/C18-1</f>
        <v>-4.0000000000000036E-3</v>
      </c>
      <c r="V17" s="3274">
        <f t="shared" si="13"/>
        <v>-4.0000000000000036E-3</v>
      </c>
      <c r="W17" s="3274">
        <f t="shared" ref="W17" si="14">F17/F18-1</f>
        <v>2.0999999999999908E-3</v>
      </c>
      <c r="X17" s="3284"/>
      <c r="Y17" s="3274"/>
      <c r="Z17" s="3274"/>
      <c r="AA17" s="3274"/>
      <c r="AB17" s="3274"/>
      <c r="AC17" s="3274"/>
      <c r="AD17" s="3274"/>
      <c r="AE17" s="3284"/>
      <c r="AF17" s="3274"/>
      <c r="AG17" s="3274"/>
      <c r="AH17" s="3274"/>
      <c r="AI17" s="3274"/>
      <c r="AJ17" s="3274"/>
      <c r="AK17" s="3274"/>
    </row>
    <row r="18" spans="1:37" s="3286" customFormat="1" ht="13.5" thickBot="1">
      <c r="A18" s="3287" t="s">
        <v>3662</v>
      </c>
      <c r="B18" s="3288">
        <f t="shared" si="1"/>
        <v>479.34737379023579</v>
      </c>
      <c r="C18" s="3288">
        <f t="shared" si="1"/>
        <v>351.4265287986122</v>
      </c>
      <c r="D18" s="3288">
        <f t="shared" si="2"/>
        <v>351.4265287986122</v>
      </c>
      <c r="E18" s="3288"/>
      <c r="F18" s="3288">
        <f t="shared" si="3"/>
        <v>685.98209703803116</v>
      </c>
      <c r="G18" s="3288">
        <f t="shared" si="3"/>
        <v>316.78315206651001</v>
      </c>
      <c r="H18" s="3289">
        <v>2019</v>
      </c>
      <c r="I18" s="3324">
        <v>4</v>
      </c>
      <c r="J18" s="3324">
        <v>0.45</v>
      </c>
      <c r="K18" s="3324">
        <v>-0.12</v>
      </c>
      <c r="L18" s="3387">
        <v>0.54</v>
      </c>
      <c r="M18" s="3325">
        <v>0.48</v>
      </c>
      <c r="N18" s="3250"/>
      <c r="O18" s="3273">
        <f t="shared" si="12"/>
        <v>4.5000000000000005E-3</v>
      </c>
      <c r="P18" s="3249">
        <f t="shared" si="4"/>
        <v>-1.1999999999999999E-3</v>
      </c>
      <c r="Q18" s="3249">
        <f t="shared" si="4"/>
        <v>5.4000000000000003E-3</v>
      </c>
      <c r="R18" s="3249">
        <f t="shared" si="4"/>
        <v>4.7999999999999996E-3</v>
      </c>
      <c r="S18" s="3250"/>
      <c r="T18" s="3273"/>
      <c r="U18" s="3249"/>
      <c r="V18" s="3249"/>
      <c r="W18" s="3249"/>
      <c r="X18" s="3250"/>
      <c r="Y18" s="3249"/>
      <c r="Z18" s="3249"/>
      <c r="AA18" s="3249"/>
      <c r="AB18" s="3249"/>
      <c r="AC18" s="3249"/>
      <c r="AD18" s="3249"/>
      <c r="AE18" s="3250"/>
      <c r="AF18" s="3249"/>
      <c r="AG18" s="3249"/>
      <c r="AH18" s="3249"/>
      <c r="AI18" s="3249"/>
      <c r="AJ18" s="3249"/>
      <c r="AK18" s="3249"/>
    </row>
    <row r="19" spans="1:37" s="3286" customFormat="1" ht="13.5" thickBot="1">
      <c r="A19" s="3278" t="s">
        <v>3663</v>
      </c>
      <c r="B19" s="3279">
        <f t="shared" si="1"/>
        <v>477.19997390765138</v>
      </c>
      <c r="C19" s="3279">
        <f t="shared" si="1"/>
        <v>351.84874729536665</v>
      </c>
      <c r="D19" s="3279">
        <f t="shared" si="2"/>
        <v>351.84874729536665</v>
      </c>
      <c r="E19" s="3279"/>
      <c r="F19" s="3279">
        <f t="shared" si="3"/>
        <v>682.29768951465201</v>
      </c>
      <c r="G19" s="3279">
        <f t="shared" si="3"/>
        <v>315.26985675409043</v>
      </c>
      <c r="H19" s="3280">
        <v>2019</v>
      </c>
      <c r="I19" s="3324">
        <v>3</v>
      </c>
      <c r="J19" s="3324">
        <v>0.61</v>
      </c>
      <c r="K19" s="3324">
        <v>0.67</v>
      </c>
      <c r="L19" s="3387">
        <v>0.6</v>
      </c>
      <c r="M19" s="3325">
        <v>1.03</v>
      </c>
      <c r="N19" s="3284"/>
      <c r="O19" s="3285">
        <f t="shared" si="12"/>
        <v>6.0999999999999995E-3</v>
      </c>
      <c r="P19" s="3274">
        <f t="shared" si="4"/>
        <v>6.7000000000000002E-3</v>
      </c>
      <c r="Q19" s="3274">
        <f t="shared" si="4"/>
        <v>6.0000000000000001E-3</v>
      </c>
      <c r="R19" s="3274">
        <f t="shared" si="4"/>
        <v>1.03E-2</v>
      </c>
      <c r="S19" s="3284"/>
      <c r="T19" s="3285"/>
      <c r="U19" s="3274"/>
      <c r="V19" s="3274"/>
      <c r="W19" s="3274"/>
      <c r="X19" s="3284"/>
      <c r="Y19" s="3274"/>
      <c r="Z19" s="3274"/>
      <c r="AA19" s="3274"/>
      <c r="AB19" s="3274"/>
      <c r="AC19" s="3274"/>
      <c r="AD19" s="3274"/>
      <c r="AE19" s="3284"/>
      <c r="AF19" s="3274"/>
      <c r="AG19" s="3274"/>
      <c r="AH19" s="3274"/>
      <c r="AI19" s="3274"/>
      <c r="AJ19" s="3274"/>
      <c r="AK19" s="3274"/>
    </row>
    <row r="20" spans="1:37" s="3286" customFormat="1" ht="13.5" thickBot="1">
      <c r="A20" s="3278" t="s">
        <v>3664</v>
      </c>
      <c r="B20" s="3279">
        <f t="shared" si="1"/>
        <v>474.30670301923408</v>
      </c>
      <c r="C20" s="3279">
        <f t="shared" si="1"/>
        <v>349.50705005996491</v>
      </c>
      <c r="D20" s="3279">
        <f t="shared" si="2"/>
        <v>349.50705005996491</v>
      </c>
      <c r="E20" s="3279"/>
      <c r="F20" s="3279">
        <f t="shared" si="3"/>
        <v>678.22831959706957</v>
      </c>
      <c r="G20" s="3279">
        <f t="shared" si="3"/>
        <v>312.0556832169558</v>
      </c>
      <c r="H20" s="3280">
        <v>2019</v>
      </c>
      <c r="I20" s="3324">
        <v>2</v>
      </c>
      <c r="J20" s="3324">
        <v>1.53</v>
      </c>
      <c r="K20" s="3324">
        <v>1.01</v>
      </c>
      <c r="L20" s="3387">
        <v>1.62</v>
      </c>
      <c r="M20" s="3325">
        <v>1.25</v>
      </c>
      <c r="N20" s="3284"/>
      <c r="O20" s="3285">
        <f t="shared" si="12"/>
        <v>1.5300000000000001E-2</v>
      </c>
      <c r="P20" s="3274">
        <f t="shared" si="4"/>
        <v>1.01E-2</v>
      </c>
      <c r="Q20" s="3274">
        <f t="shared" si="4"/>
        <v>1.6200000000000003E-2</v>
      </c>
      <c r="R20" s="3274">
        <f t="shared" si="4"/>
        <v>1.2500000000000001E-2</v>
      </c>
      <c r="S20" s="3284"/>
      <c r="T20" s="3285"/>
      <c r="U20" s="3274"/>
      <c r="V20" s="3274"/>
      <c r="W20" s="3274"/>
      <c r="X20" s="3284"/>
      <c r="Y20" s="3274"/>
      <c r="Z20" s="3274"/>
      <c r="AA20" s="3274"/>
      <c r="AB20" s="3274"/>
      <c r="AC20" s="3274"/>
      <c r="AD20" s="3274"/>
      <c r="AE20" s="3284"/>
      <c r="AF20" s="3274"/>
      <c r="AG20" s="3274"/>
      <c r="AH20" s="3274"/>
      <c r="AI20" s="3274"/>
      <c r="AJ20" s="3274"/>
      <c r="AK20" s="3274"/>
    </row>
    <row r="21" spans="1:37" s="3286" customFormat="1" ht="13.5" thickBot="1">
      <c r="A21" s="3278" t="s">
        <v>3665</v>
      </c>
      <c r="B21" s="3279">
        <f t="shared" ref="B21:C25" si="15">B22*(1+O21)</f>
        <v>467.15916775261894</v>
      </c>
      <c r="C21" s="3279">
        <f t="shared" si="15"/>
        <v>346.01232557169084</v>
      </c>
      <c r="D21" s="3279">
        <f t="shared" si="2"/>
        <v>346.01232557169084</v>
      </c>
      <c r="E21" s="3279"/>
      <c r="F21" s="3279">
        <f t="shared" ref="F21:G25" si="16">F22*(1+Q21)</f>
        <v>667.41617752122568</v>
      </c>
      <c r="G21" s="3279">
        <f t="shared" si="16"/>
        <v>308.20314391798104</v>
      </c>
      <c r="H21" s="3280">
        <v>2019</v>
      </c>
      <c r="I21" s="3324">
        <v>1</v>
      </c>
      <c r="J21" s="3324">
        <v>0.6</v>
      </c>
      <c r="K21" s="3324">
        <v>0.37</v>
      </c>
      <c r="L21" s="3387">
        <v>0.63</v>
      </c>
      <c r="M21" s="3325">
        <v>1.1299999999999999</v>
      </c>
      <c r="N21" s="3284"/>
      <c r="O21" s="3285">
        <f t="shared" si="12"/>
        <v>6.0000000000000001E-3</v>
      </c>
      <c r="P21" s="3274">
        <f t="shared" si="12"/>
        <v>3.7000000000000002E-3</v>
      </c>
      <c r="Q21" s="3274">
        <f t="shared" si="12"/>
        <v>6.3E-3</v>
      </c>
      <c r="R21" s="3274">
        <f t="shared" si="12"/>
        <v>1.1299999999999999E-2</v>
      </c>
      <c r="S21" s="3284"/>
      <c r="T21" s="3285">
        <f>B21/B22-1</f>
        <v>6.0000000000000053E-3</v>
      </c>
      <c r="U21" s="3274">
        <f t="shared" ref="U21:V21" si="17">C21/C22-1</f>
        <v>3.7000000000000366E-3</v>
      </c>
      <c r="V21" s="3274">
        <f t="shared" si="17"/>
        <v>3.7000000000000366E-3</v>
      </c>
      <c r="W21" s="3274">
        <f t="shared" ref="W21" si="18">F21/F22-1</f>
        <v>6.2999999999999723E-3</v>
      </c>
      <c r="X21" s="3284"/>
      <c r="Y21" s="3274"/>
      <c r="Z21" s="3274"/>
      <c r="AA21" s="3274"/>
      <c r="AB21" s="3274"/>
      <c r="AC21" s="3274"/>
      <c r="AD21" s="3274"/>
      <c r="AE21" s="3284"/>
      <c r="AF21" s="3274"/>
      <c r="AG21" s="3274"/>
      <c r="AH21" s="3274"/>
      <c r="AI21" s="3274"/>
      <c r="AJ21" s="3274"/>
      <c r="AK21" s="3274"/>
    </row>
    <row r="22" spans="1:37" s="3286" customFormat="1" ht="13.5" thickBot="1">
      <c r="A22" s="3287" t="s">
        <v>3666</v>
      </c>
      <c r="B22" s="3288">
        <f t="shared" si="15"/>
        <v>464.37293017158942</v>
      </c>
      <c r="C22" s="3288">
        <f t="shared" si="15"/>
        <v>344.73679941385956</v>
      </c>
      <c r="D22" s="3288">
        <f t="shared" si="2"/>
        <v>344.73679941385956</v>
      </c>
      <c r="E22" s="3288"/>
      <c r="F22" s="3288">
        <f t="shared" si="16"/>
        <v>663.2377795103107</v>
      </c>
      <c r="G22" s="3288">
        <f t="shared" si="16"/>
        <v>304.75936311478398</v>
      </c>
      <c r="H22" s="3738">
        <v>2018</v>
      </c>
      <c r="I22" s="3324">
        <v>4</v>
      </c>
      <c r="J22" s="3324">
        <v>0.96</v>
      </c>
      <c r="K22" s="3324">
        <v>1.03</v>
      </c>
      <c r="L22" s="3387">
        <v>0.92</v>
      </c>
      <c r="M22" s="3325">
        <v>1.29</v>
      </c>
      <c r="N22" s="3250"/>
      <c r="O22" s="3273">
        <f t="shared" si="12"/>
        <v>9.5999999999999992E-3</v>
      </c>
      <c r="P22" s="3249">
        <f t="shared" si="12"/>
        <v>1.03E-2</v>
      </c>
      <c r="Q22" s="3249">
        <f t="shared" si="12"/>
        <v>9.1999999999999998E-3</v>
      </c>
      <c r="R22" s="3249">
        <f t="shared" si="12"/>
        <v>1.29E-2</v>
      </c>
      <c r="S22" s="3250"/>
      <c r="T22" s="3273"/>
      <c r="U22" s="3249"/>
      <c r="V22" s="3249"/>
      <c r="W22" s="3249"/>
      <c r="X22" s="3250"/>
      <c r="Y22" s="3249"/>
      <c r="Z22" s="3249"/>
      <c r="AA22" s="3249"/>
      <c r="AB22" s="3249"/>
      <c r="AC22" s="3249"/>
      <c r="AD22" s="3249"/>
      <c r="AE22" s="3250"/>
      <c r="AF22" s="3249"/>
      <c r="AG22" s="3249"/>
      <c r="AH22" s="3249"/>
      <c r="AI22" s="3249"/>
      <c r="AJ22" s="3249"/>
      <c r="AK22" s="3249"/>
    </row>
    <row r="23" spans="1:37" s="3286" customFormat="1" ht="14.45" customHeight="1" thickBot="1">
      <c r="A23" s="3278" t="s">
        <v>3667</v>
      </c>
      <c r="B23" s="3288">
        <f t="shared" si="15"/>
        <v>459.95733971036987</v>
      </c>
      <c r="C23" s="3288">
        <f t="shared" si="15"/>
        <v>341.22221064422405</v>
      </c>
      <c r="D23" s="3288">
        <f t="shared" si="2"/>
        <v>341.22221064422405</v>
      </c>
      <c r="E23" s="3288"/>
      <c r="F23" s="3288">
        <f t="shared" si="16"/>
        <v>657.19161663724799</v>
      </c>
      <c r="G23" s="3288">
        <f t="shared" si="16"/>
        <v>300.87803644464805</v>
      </c>
      <c r="H23" s="3738"/>
      <c r="I23" s="3324">
        <v>3</v>
      </c>
      <c r="J23" s="3324">
        <v>1.51</v>
      </c>
      <c r="K23" s="3324">
        <v>1.41</v>
      </c>
      <c r="L23" s="3387">
        <v>1.52</v>
      </c>
      <c r="M23" s="3325">
        <v>1.74</v>
      </c>
      <c r="N23" s="3284"/>
      <c r="O23" s="3285">
        <f t="shared" si="12"/>
        <v>1.5100000000000001E-2</v>
      </c>
      <c r="P23" s="3274">
        <f t="shared" si="12"/>
        <v>1.41E-2</v>
      </c>
      <c r="Q23" s="3274">
        <f t="shared" si="12"/>
        <v>1.52E-2</v>
      </c>
      <c r="R23" s="3274">
        <f t="shared" si="12"/>
        <v>1.7399999999999999E-2</v>
      </c>
      <c r="S23" s="3284"/>
      <c r="T23" s="3285"/>
      <c r="U23" s="3274"/>
      <c r="V23" s="3274"/>
      <c r="W23" s="3274"/>
      <c r="X23" s="3284"/>
      <c r="Y23" s="3274"/>
      <c r="Z23" s="3274"/>
      <c r="AA23" s="3274"/>
      <c r="AB23" s="3274"/>
      <c r="AC23" s="3274"/>
      <c r="AD23" s="3274"/>
      <c r="AE23" s="3284"/>
      <c r="AF23" s="3274"/>
      <c r="AG23" s="3274"/>
      <c r="AH23" s="3274"/>
      <c r="AI23" s="3274"/>
      <c r="AJ23" s="3274"/>
      <c r="AK23" s="3274"/>
    </row>
    <row r="24" spans="1:37" s="3286" customFormat="1" ht="14.45" customHeight="1" thickBot="1">
      <c r="A24" s="3278" t="s">
        <v>3047</v>
      </c>
      <c r="B24" s="3288">
        <f t="shared" si="15"/>
        <v>453.11529869999993</v>
      </c>
      <c r="C24" s="3288">
        <f t="shared" si="15"/>
        <v>336.47787264000004</v>
      </c>
      <c r="D24" s="3288">
        <f t="shared" si="2"/>
        <v>336.47787264000004</v>
      </c>
      <c r="E24" s="3288"/>
      <c r="F24" s="3288">
        <f t="shared" si="16"/>
        <v>647.35186823999993</v>
      </c>
      <c r="G24" s="3288">
        <f t="shared" si="16"/>
        <v>295.73229452000004</v>
      </c>
      <c r="H24" s="3738"/>
      <c r="I24" s="3324">
        <v>2</v>
      </c>
      <c r="J24" s="3324">
        <v>1.49</v>
      </c>
      <c r="K24" s="3324">
        <v>0.96</v>
      </c>
      <c r="L24" s="3387">
        <v>1.58</v>
      </c>
      <c r="M24" s="3325">
        <v>2.44</v>
      </c>
      <c r="N24" s="3284"/>
      <c r="O24" s="3285">
        <f t="shared" si="12"/>
        <v>1.49E-2</v>
      </c>
      <c r="P24" s="3274">
        <f t="shared" si="12"/>
        <v>9.5999999999999992E-3</v>
      </c>
      <c r="Q24" s="3274">
        <f t="shared" si="12"/>
        <v>1.5800000000000002E-2</v>
      </c>
      <c r="R24" s="3274">
        <f t="shared" si="12"/>
        <v>2.4399999999999998E-2</v>
      </c>
      <c r="S24" s="3284"/>
      <c r="T24" s="3285"/>
      <c r="U24" s="3274"/>
      <c r="V24" s="3274"/>
      <c r="W24" s="3274"/>
      <c r="X24" s="3284"/>
      <c r="Y24" s="3274"/>
      <c r="Z24" s="3274"/>
      <c r="AA24" s="3274"/>
      <c r="AB24" s="3274"/>
      <c r="AC24" s="3274"/>
      <c r="AD24" s="3274"/>
      <c r="AE24" s="3284"/>
      <c r="AF24" s="3274"/>
      <c r="AG24" s="3274"/>
      <c r="AH24" s="3274"/>
      <c r="AI24" s="3274"/>
      <c r="AJ24" s="3274"/>
      <c r="AK24" s="3274"/>
    </row>
    <row r="25" spans="1:37" s="3286" customFormat="1" ht="15" customHeight="1" thickBot="1">
      <c r="A25" s="3278" t="s">
        <v>3038</v>
      </c>
      <c r="B25" s="3288">
        <f t="shared" si="15"/>
        <v>446.46299999999997</v>
      </c>
      <c r="C25" s="3288">
        <f t="shared" si="15"/>
        <v>333.27840000000003</v>
      </c>
      <c r="D25" s="3288">
        <f t="shared" si="2"/>
        <v>333.27840000000003</v>
      </c>
      <c r="E25" s="3288"/>
      <c r="F25" s="3288">
        <f t="shared" si="16"/>
        <v>637.28279999999995</v>
      </c>
      <c r="G25" s="3288">
        <f t="shared" si="16"/>
        <v>288.68830000000003</v>
      </c>
      <c r="H25" s="3741"/>
      <c r="I25" s="3324">
        <v>1</v>
      </c>
      <c r="J25" s="3324">
        <v>1.7</v>
      </c>
      <c r="K25" s="3324">
        <v>1.92</v>
      </c>
      <c r="L25" s="3387">
        <v>1.64</v>
      </c>
      <c r="M25" s="3325">
        <v>2.0099999999999998</v>
      </c>
      <c r="N25" s="3284"/>
      <c r="O25" s="3285">
        <f t="shared" si="12"/>
        <v>1.7000000000000001E-2</v>
      </c>
      <c r="P25" s="3274">
        <f t="shared" si="12"/>
        <v>1.9199999999999998E-2</v>
      </c>
      <c r="Q25" s="3274">
        <f t="shared" si="12"/>
        <v>1.6399999999999998E-2</v>
      </c>
      <c r="R25" s="3274">
        <f t="shared" si="12"/>
        <v>2.0099999999999996E-2</v>
      </c>
      <c r="S25" s="3284"/>
      <c r="T25" s="3285">
        <f>B25/B26-1</f>
        <v>1.6999999999999904E-2</v>
      </c>
      <c r="U25" s="3274">
        <f t="shared" ref="U25:V25" si="19">C25/C26-1</f>
        <v>1.9200000000000106E-2</v>
      </c>
      <c r="V25" s="3274">
        <f t="shared" si="19"/>
        <v>1.9200000000000106E-2</v>
      </c>
      <c r="W25" s="3274">
        <f t="shared" ref="W25" si="20">F25/F26-1</f>
        <v>1.639999999999997E-2</v>
      </c>
      <c r="X25" s="3284"/>
      <c r="Y25" s="3274"/>
      <c r="Z25" s="3274"/>
      <c r="AA25" s="3274"/>
      <c r="AB25" s="3274"/>
      <c r="AC25" s="3274"/>
      <c r="AD25" s="3274"/>
      <c r="AE25" s="3284"/>
      <c r="AF25" s="3274"/>
      <c r="AG25" s="3274"/>
      <c r="AH25" s="3274"/>
      <c r="AI25" s="3274"/>
      <c r="AJ25" s="3274"/>
      <c r="AK25" s="3274"/>
    </row>
    <row r="26" spans="1:37" s="3249" customFormat="1" ht="13.5" thickBot="1">
      <c r="A26" s="3287" t="s">
        <v>3035</v>
      </c>
      <c r="B26" s="3288">
        <v>439</v>
      </c>
      <c r="C26" s="3288">
        <v>327</v>
      </c>
      <c r="D26" s="3288">
        <f>C26</f>
        <v>327</v>
      </c>
      <c r="E26" s="3288"/>
      <c r="F26" s="3288">
        <v>627</v>
      </c>
      <c r="G26" s="3288">
        <v>283</v>
      </c>
      <c r="H26" s="3742">
        <v>2017</v>
      </c>
      <c r="I26" s="3324">
        <v>4</v>
      </c>
      <c r="J26" s="3324">
        <v>1.71</v>
      </c>
      <c r="K26" s="3324">
        <v>1.78</v>
      </c>
      <c r="L26" s="3387">
        <v>1.71</v>
      </c>
      <c r="M26" s="3325">
        <v>1.43</v>
      </c>
      <c r="N26" s="3250"/>
      <c r="O26" s="3273">
        <f t="shared" si="12"/>
        <v>1.7100000000000001E-2</v>
      </c>
      <c r="P26" s="3249">
        <f t="shared" si="12"/>
        <v>1.78E-2</v>
      </c>
      <c r="Q26" s="3249">
        <f t="shared" si="12"/>
        <v>1.7100000000000001E-2</v>
      </c>
      <c r="R26" s="3249">
        <f t="shared" si="12"/>
        <v>1.43E-2</v>
      </c>
      <c r="S26" s="3250"/>
      <c r="T26" s="3273"/>
      <c r="X26" s="3250"/>
      <c r="AE26" s="3250"/>
    </row>
    <row r="27" spans="1:37" s="3286" customFormat="1" ht="14.45" customHeight="1" thickBot="1">
      <c r="A27" s="3278" t="s">
        <v>3036</v>
      </c>
      <c r="B27" s="3288">
        <f t="shared" ref="B27:C28" si="21">B28*(1+O27)</f>
        <v>431.80730811680002</v>
      </c>
      <c r="C27" s="3288">
        <f t="shared" si="21"/>
        <v>320.57880516480003</v>
      </c>
      <c r="D27" s="3288">
        <f t="shared" ref="D27:D28" si="22">C27</f>
        <v>320.57880516480003</v>
      </c>
      <c r="E27" s="3288"/>
      <c r="F27" s="3288">
        <f t="shared" ref="F27:G28" si="23">F28*(1+Q27)</f>
        <v>615.96110553196797</v>
      </c>
      <c r="G27" s="3288">
        <f t="shared" si="23"/>
        <v>279.46777300108801</v>
      </c>
      <c r="H27" s="3738"/>
      <c r="I27" s="3324">
        <v>3</v>
      </c>
      <c r="J27" s="3324">
        <v>2.98</v>
      </c>
      <c r="K27" s="3324">
        <v>2.11</v>
      </c>
      <c r="L27" s="3387">
        <v>3.24</v>
      </c>
      <c r="M27" s="3325">
        <v>1.72</v>
      </c>
      <c r="N27" s="3284"/>
      <c r="O27" s="3285">
        <f t="shared" si="12"/>
        <v>2.98E-2</v>
      </c>
      <c r="P27" s="3274">
        <f t="shared" si="12"/>
        <v>2.1099999999999997E-2</v>
      </c>
      <c r="Q27" s="3274">
        <f t="shared" si="12"/>
        <v>3.2400000000000005E-2</v>
      </c>
      <c r="R27" s="3274">
        <f t="shared" si="12"/>
        <v>1.72E-2</v>
      </c>
      <c r="S27" s="3284"/>
      <c r="T27" s="3285"/>
      <c r="U27" s="3274"/>
      <c r="V27" s="3274"/>
      <c r="W27" s="3274"/>
      <c r="X27" s="3284"/>
      <c r="Y27" s="3274"/>
      <c r="Z27" s="3274"/>
      <c r="AA27" s="3274"/>
      <c r="AB27" s="3274"/>
      <c r="AC27" s="3274"/>
      <c r="AD27" s="3274"/>
      <c r="AE27" s="3284"/>
      <c r="AF27" s="3274"/>
      <c r="AG27" s="3274"/>
      <c r="AH27" s="3274"/>
      <c r="AI27" s="3274"/>
      <c r="AJ27" s="3274"/>
      <c r="AK27" s="3274"/>
    </row>
    <row r="28" spans="1:37" s="3326" customFormat="1" ht="14.45" customHeight="1" thickBot="1">
      <c r="A28" s="3278" t="s">
        <v>1386</v>
      </c>
      <c r="B28" s="3288">
        <f t="shared" si="21"/>
        <v>419.31181600000002</v>
      </c>
      <c r="C28" s="3288">
        <f t="shared" si="21"/>
        <v>313.95436800000004</v>
      </c>
      <c r="D28" s="3288">
        <f t="shared" si="22"/>
        <v>313.95436800000004</v>
      </c>
      <c r="E28" s="3288"/>
      <c r="F28" s="3288">
        <f t="shared" si="23"/>
        <v>596.63028431999999</v>
      </c>
      <c r="G28" s="3288">
        <f t="shared" si="23"/>
        <v>274.74220703999998</v>
      </c>
      <c r="H28" s="3738"/>
      <c r="I28" s="3324">
        <v>2</v>
      </c>
      <c r="J28" s="3324">
        <v>3.4</v>
      </c>
      <c r="K28" s="3324">
        <v>2</v>
      </c>
      <c r="L28" s="3387">
        <v>3.82</v>
      </c>
      <c r="M28" s="3325">
        <v>1.68</v>
      </c>
      <c r="N28" s="3284"/>
      <c r="O28" s="3285">
        <f t="shared" si="12"/>
        <v>3.4000000000000002E-2</v>
      </c>
      <c r="P28" s="3274">
        <f t="shared" si="12"/>
        <v>0.02</v>
      </c>
      <c r="Q28" s="3274">
        <f t="shared" si="12"/>
        <v>3.8199999999999998E-2</v>
      </c>
      <c r="R28" s="3274">
        <f t="shared" si="12"/>
        <v>1.6799999999999999E-2</v>
      </c>
      <c r="S28" s="3284"/>
      <c r="T28" s="3285"/>
      <c r="U28" s="3274"/>
      <c r="V28" s="3274"/>
      <c r="W28" s="3274"/>
      <c r="X28" s="3250"/>
      <c r="Y28" s="3274"/>
      <c r="Z28" s="3274"/>
      <c r="AA28" s="3274"/>
      <c r="AB28" s="3274"/>
      <c r="AC28" s="3274"/>
      <c r="AD28" s="3274"/>
      <c r="AE28" s="3250"/>
      <c r="AF28" s="3274"/>
      <c r="AG28" s="3274"/>
      <c r="AH28" s="3274"/>
      <c r="AI28" s="3274"/>
      <c r="AJ28" s="3274"/>
      <c r="AK28" s="3274"/>
    </row>
    <row r="29" spans="1:37" s="3286" customFormat="1" ht="15" customHeight="1" thickBot="1">
      <c r="A29" s="3278" t="s">
        <v>1161</v>
      </c>
      <c r="B29" s="3288">
        <f>B30*(1+O29)</f>
        <v>405.524</v>
      </c>
      <c r="C29" s="3288">
        <f>C30*(1+P29)</f>
        <v>307.79840000000002</v>
      </c>
      <c r="D29" s="3288">
        <f>C29</f>
        <v>307.79840000000002</v>
      </c>
      <c r="E29" s="3288"/>
      <c r="F29" s="3288">
        <f>F30*(1+Q29)</f>
        <v>574.67759999999998</v>
      </c>
      <c r="G29" s="3288">
        <f>G30*(1+R29)</f>
        <v>270.20280000000002</v>
      </c>
      <c r="H29" s="3741"/>
      <c r="I29" s="3324">
        <v>1</v>
      </c>
      <c r="J29" s="3324">
        <v>3.45</v>
      </c>
      <c r="K29" s="3324">
        <v>1.92</v>
      </c>
      <c r="L29" s="3387">
        <v>3.92</v>
      </c>
      <c r="M29" s="3325">
        <v>1.58</v>
      </c>
      <c r="N29" s="3284"/>
      <c r="O29" s="3285">
        <f t="shared" si="12"/>
        <v>3.4500000000000003E-2</v>
      </c>
      <c r="P29" s="3274">
        <f t="shared" si="12"/>
        <v>1.9199999999999998E-2</v>
      </c>
      <c r="Q29" s="3274">
        <f t="shared" si="12"/>
        <v>3.9199999999999999E-2</v>
      </c>
      <c r="R29" s="3274">
        <f t="shared" si="12"/>
        <v>1.5800000000000002E-2</v>
      </c>
      <c r="S29" s="3284"/>
      <c r="T29" s="3285">
        <f>B29/B30-1</f>
        <v>3.4499999999999975E-2</v>
      </c>
      <c r="U29" s="3274">
        <f>C29/C30-1</f>
        <v>1.9200000000000106E-2</v>
      </c>
      <c r="V29" s="3274">
        <f>D29/D30-1</f>
        <v>1.9200000000000106E-2</v>
      </c>
      <c r="W29" s="3274">
        <f t="shared" ref="W29" si="24">F29/F30-1</f>
        <v>3.9199999999999902E-2</v>
      </c>
      <c r="X29" s="3284"/>
      <c r="Y29" s="3274"/>
      <c r="Z29" s="3274"/>
      <c r="AA29" s="3274"/>
      <c r="AB29" s="3274"/>
      <c r="AC29" s="3274"/>
      <c r="AD29" s="3274"/>
      <c r="AE29" s="3284"/>
      <c r="AF29" s="3274"/>
      <c r="AG29" s="3274"/>
      <c r="AH29" s="3274"/>
      <c r="AI29" s="3274"/>
      <c r="AJ29" s="3274"/>
      <c r="AK29" s="3274"/>
    </row>
    <row r="30" spans="1:37" s="3249" customFormat="1" ht="13.5" thickBot="1">
      <c r="A30" s="3287" t="s">
        <v>154</v>
      </c>
      <c r="B30" s="3288">
        <v>392</v>
      </c>
      <c r="C30" s="3288">
        <v>302</v>
      </c>
      <c r="D30" s="3288">
        <f>C30</f>
        <v>302</v>
      </c>
      <c r="E30" s="3288"/>
      <c r="F30" s="3288">
        <v>553</v>
      </c>
      <c r="G30" s="3288">
        <v>266</v>
      </c>
      <c r="H30" s="3742">
        <v>2016</v>
      </c>
      <c r="I30" s="3324">
        <v>4</v>
      </c>
      <c r="J30" s="3324">
        <v>4.5599999999999996</v>
      </c>
      <c r="K30" s="3324">
        <v>2.15</v>
      </c>
      <c r="L30" s="3387">
        <v>5.32</v>
      </c>
      <c r="M30" s="3325">
        <v>1.57</v>
      </c>
      <c r="N30" s="3250"/>
      <c r="O30" s="3273">
        <f t="shared" ref="O30:R45" si="25">J30/100</f>
        <v>4.5599999999999995E-2</v>
      </c>
      <c r="P30" s="3249">
        <f t="shared" si="25"/>
        <v>2.1499999999999998E-2</v>
      </c>
      <c r="Q30" s="3249">
        <f t="shared" si="25"/>
        <v>5.3200000000000004E-2</v>
      </c>
      <c r="R30" s="3249">
        <f t="shared" si="25"/>
        <v>1.5700000000000002E-2</v>
      </c>
      <c r="S30" s="3250"/>
      <c r="T30" s="3273"/>
      <c r="X30" s="3250"/>
      <c r="AE30" s="3250"/>
    </row>
    <row r="31" spans="1:37" ht="13.5" thickBot="1">
      <c r="A31" s="3278" t="s">
        <v>153</v>
      </c>
      <c r="B31" s="3288">
        <f t="shared" ref="B31:C33" si="26">B30/(1+O30)</f>
        <v>374.90436113236416</v>
      </c>
      <c r="C31" s="3288">
        <f t="shared" si="26"/>
        <v>295.64366128242779</v>
      </c>
      <c r="D31" s="3288">
        <f t="shared" ref="D31:D90" si="27">C31</f>
        <v>295.64366128242779</v>
      </c>
      <c r="E31" s="3288"/>
      <c r="F31" s="3288">
        <f t="shared" ref="F31:G33" si="28">F30/(1+Q30)</f>
        <v>525.06646410938095</v>
      </c>
      <c r="G31" s="3288">
        <f t="shared" si="28"/>
        <v>261.88835286009646</v>
      </c>
      <c r="H31" s="3738"/>
      <c r="I31" s="3324">
        <v>3</v>
      </c>
      <c r="J31" s="3324">
        <v>4.12</v>
      </c>
      <c r="K31" s="3324">
        <v>2</v>
      </c>
      <c r="L31" s="3387">
        <v>4.79</v>
      </c>
      <c r="M31" s="3325">
        <v>1.97</v>
      </c>
      <c r="O31" s="3285">
        <f t="shared" si="25"/>
        <v>4.1200000000000001E-2</v>
      </c>
      <c r="P31" s="3274">
        <f t="shared" si="25"/>
        <v>0.02</v>
      </c>
      <c r="Q31" s="3274">
        <f t="shared" si="25"/>
        <v>4.7899999999999998E-2</v>
      </c>
      <c r="R31" s="3274">
        <f t="shared" si="25"/>
        <v>1.9699999999999999E-2</v>
      </c>
    </row>
    <row r="32" spans="1:37" ht="13.5" thickBot="1">
      <c r="A32" s="3278" t="s">
        <v>143</v>
      </c>
      <c r="B32" s="3288">
        <f t="shared" si="26"/>
        <v>360.06949782209392</v>
      </c>
      <c r="C32" s="3288">
        <f t="shared" si="26"/>
        <v>289.84672674747821</v>
      </c>
      <c r="D32" s="3288">
        <f t="shared" si="27"/>
        <v>289.84672674747821</v>
      </c>
      <c r="E32" s="3288"/>
      <c r="F32" s="3288">
        <f t="shared" si="28"/>
        <v>501.06543001181495</v>
      </c>
      <c r="G32" s="3288">
        <f t="shared" si="28"/>
        <v>256.82882500744967</v>
      </c>
      <c r="H32" s="3738"/>
      <c r="I32" s="3324">
        <v>2</v>
      </c>
      <c r="J32" s="3324">
        <v>3.85</v>
      </c>
      <c r="K32" s="3324">
        <v>1.95</v>
      </c>
      <c r="L32" s="3387">
        <v>4.4800000000000004</v>
      </c>
      <c r="M32" s="3325">
        <v>1.41</v>
      </c>
      <c r="O32" s="3285">
        <f t="shared" si="25"/>
        <v>3.85E-2</v>
      </c>
      <c r="P32" s="3274">
        <f t="shared" si="25"/>
        <v>1.95E-2</v>
      </c>
      <c r="Q32" s="3274">
        <f t="shared" si="25"/>
        <v>4.4800000000000006E-2</v>
      </c>
      <c r="R32" s="3274">
        <f t="shared" si="25"/>
        <v>1.41E-2</v>
      </c>
    </row>
    <row r="33" spans="1:31" ht="13.5" thickBot="1">
      <c r="A33" s="3278" t="s">
        <v>152</v>
      </c>
      <c r="B33" s="3288">
        <f t="shared" si="26"/>
        <v>346.720748986128</v>
      </c>
      <c r="C33" s="3288">
        <f t="shared" si="26"/>
        <v>284.30282172386285</v>
      </c>
      <c r="D33" s="3288">
        <f t="shared" si="27"/>
        <v>284.30282172386285</v>
      </c>
      <c r="E33" s="3288"/>
      <c r="F33" s="3288">
        <f t="shared" si="28"/>
        <v>479.58023546306947</v>
      </c>
      <c r="G33" s="3288">
        <f t="shared" si="28"/>
        <v>253.25788877571213</v>
      </c>
      <c r="H33" s="3739"/>
      <c r="I33" s="3324">
        <v>1</v>
      </c>
      <c r="J33" s="3324">
        <v>4.09</v>
      </c>
      <c r="K33" s="3324">
        <v>2.93</v>
      </c>
      <c r="L33" s="3387">
        <v>4.54</v>
      </c>
      <c r="M33" s="3325">
        <v>1.48</v>
      </c>
      <c r="O33" s="3285">
        <f t="shared" si="25"/>
        <v>4.0899999999999999E-2</v>
      </c>
      <c r="P33" s="3274">
        <f t="shared" si="25"/>
        <v>2.9300000000000003E-2</v>
      </c>
      <c r="Q33" s="3274">
        <f t="shared" si="25"/>
        <v>4.5400000000000003E-2</v>
      </c>
      <c r="R33" s="3274">
        <f t="shared" si="25"/>
        <v>1.4800000000000001E-2</v>
      </c>
      <c r="T33" s="3327">
        <f>B33/B34-1</f>
        <v>4.1203450408792808E-2</v>
      </c>
      <c r="U33" s="3328">
        <f>C33/C34-1</f>
        <v>2.6363977342465095E-2</v>
      </c>
      <c r="V33" s="3328">
        <f>F33/F34-1</f>
        <v>4.4837114298626357E-2</v>
      </c>
      <c r="W33" s="3328">
        <f>G33/G34-1</f>
        <v>1.7099954922538574E-2</v>
      </c>
    </row>
    <row r="34" spans="1:31" s="3249" customFormat="1" ht="13.5" thickBot="1">
      <c r="A34" s="3287" t="s">
        <v>151</v>
      </c>
      <c r="B34" s="3288">
        <v>333</v>
      </c>
      <c r="C34" s="3288">
        <v>277</v>
      </c>
      <c r="D34" s="3288">
        <f t="shared" si="27"/>
        <v>277</v>
      </c>
      <c r="E34" s="3288"/>
      <c r="F34" s="3288">
        <v>459</v>
      </c>
      <c r="G34" s="3288">
        <v>249</v>
      </c>
      <c r="H34" s="3737">
        <v>2015</v>
      </c>
      <c r="I34" s="3324">
        <v>4</v>
      </c>
      <c r="J34" s="3324">
        <v>1.63</v>
      </c>
      <c r="K34" s="3324">
        <v>1.1100000000000001</v>
      </c>
      <c r="L34" s="3387">
        <v>1.77</v>
      </c>
      <c r="M34" s="3325">
        <v>1.89</v>
      </c>
      <c r="N34" s="3250"/>
      <c r="O34" s="3329">
        <f t="shared" si="25"/>
        <v>1.6299999999999999E-2</v>
      </c>
      <c r="P34" s="3330">
        <f t="shared" si="25"/>
        <v>1.11E-2</v>
      </c>
      <c r="Q34" s="3330">
        <f t="shared" si="25"/>
        <v>1.77E-2</v>
      </c>
      <c r="R34" s="3330">
        <f t="shared" si="25"/>
        <v>1.89E-2</v>
      </c>
      <c r="S34" s="3250"/>
      <c r="T34" s="3273"/>
      <c r="X34" s="3250"/>
      <c r="AE34" s="3250"/>
    </row>
    <row r="35" spans="1:31" ht="13.5" thickBot="1">
      <c r="A35" s="3278" t="s">
        <v>150</v>
      </c>
      <c r="B35" s="3288">
        <f t="shared" ref="B35:C37" si="29">B34/(1+O34)</f>
        <v>327.65915576109415</v>
      </c>
      <c r="C35" s="3288">
        <f t="shared" si="29"/>
        <v>273.95905449510434</v>
      </c>
      <c r="D35" s="3288">
        <f t="shared" si="27"/>
        <v>273.95905449510434</v>
      </c>
      <c r="E35" s="3288"/>
      <c r="F35" s="3288">
        <f t="shared" ref="F35:G37" si="30">F34/(1+Q34)</f>
        <v>451.01699911565294</v>
      </c>
      <c r="G35" s="3288">
        <f t="shared" si="30"/>
        <v>244.38119540681129</v>
      </c>
      <c r="H35" s="3738"/>
      <c r="I35" s="3324">
        <v>3</v>
      </c>
      <c r="J35" s="3324">
        <v>1.65</v>
      </c>
      <c r="K35" s="3324">
        <v>0.92</v>
      </c>
      <c r="L35" s="3387">
        <v>1.88</v>
      </c>
      <c r="M35" s="3325">
        <v>1.26</v>
      </c>
      <c r="O35" s="3285">
        <f t="shared" si="25"/>
        <v>1.6500000000000001E-2</v>
      </c>
      <c r="P35" s="3274">
        <f t="shared" si="25"/>
        <v>9.1999999999999998E-3</v>
      </c>
      <c r="Q35" s="3274">
        <f t="shared" si="25"/>
        <v>1.8799999999999997E-2</v>
      </c>
      <c r="R35" s="3274">
        <f t="shared" si="25"/>
        <v>1.26E-2</v>
      </c>
    </row>
    <row r="36" spans="1:31" ht="13.5" thickBot="1">
      <c r="A36" s="3278" t="s">
        <v>149</v>
      </c>
      <c r="B36" s="3288">
        <f t="shared" si="29"/>
        <v>322.34053690220776</v>
      </c>
      <c r="C36" s="3288">
        <f t="shared" si="29"/>
        <v>271.46160770422546</v>
      </c>
      <c r="D36" s="3288">
        <f t="shared" si="27"/>
        <v>271.46160770422546</v>
      </c>
      <c r="E36" s="3288"/>
      <c r="F36" s="3288">
        <f t="shared" si="30"/>
        <v>442.69434542172456</v>
      </c>
      <c r="G36" s="3288">
        <f t="shared" si="30"/>
        <v>241.34030753190925</v>
      </c>
      <c r="H36" s="3738"/>
      <c r="I36" s="3324">
        <v>2</v>
      </c>
      <c r="J36" s="3324">
        <v>0.77</v>
      </c>
      <c r="K36" s="3324">
        <v>0.69</v>
      </c>
      <c r="L36" s="3387">
        <v>0.8</v>
      </c>
      <c r="M36" s="3325">
        <v>0.88</v>
      </c>
      <c r="O36" s="3285">
        <f t="shared" si="25"/>
        <v>7.7000000000000002E-3</v>
      </c>
      <c r="P36" s="3274">
        <f t="shared" si="25"/>
        <v>6.8999999999999999E-3</v>
      </c>
      <c r="Q36" s="3274">
        <f t="shared" si="25"/>
        <v>8.0000000000000002E-3</v>
      </c>
      <c r="R36" s="3274">
        <f t="shared" si="25"/>
        <v>8.8000000000000005E-3</v>
      </c>
    </row>
    <row r="37" spans="1:31" ht="13.5" thickBot="1">
      <c r="A37" s="3278" t="s">
        <v>148</v>
      </c>
      <c r="B37" s="3288">
        <f t="shared" si="29"/>
        <v>319.87748030386797</v>
      </c>
      <c r="C37" s="3288">
        <f t="shared" si="29"/>
        <v>269.60135833173649</v>
      </c>
      <c r="D37" s="3288">
        <f t="shared" si="27"/>
        <v>269.60135833173649</v>
      </c>
      <c r="E37" s="3288"/>
      <c r="F37" s="3288">
        <f t="shared" si="30"/>
        <v>439.18089823583784</v>
      </c>
      <c r="G37" s="3288">
        <f t="shared" si="30"/>
        <v>239.23503918706311</v>
      </c>
      <c r="H37" s="3739"/>
      <c r="I37" s="3324">
        <v>1</v>
      </c>
      <c r="J37" s="3324">
        <v>0.51</v>
      </c>
      <c r="K37" s="3324">
        <v>0.54</v>
      </c>
      <c r="L37" s="3387">
        <v>0.48</v>
      </c>
      <c r="M37" s="3325">
        <v>0.93</v>
      </c>
      <c r="O37" s="3327">
        <f t="shared" si="25"/>
        <v>5.1000000000000004E-3</v>
      </c>
      <c r="P37" s="3328">
        <f t="shared" si="25"/>
        <v>5.4000000000000003E-3</v>
      </c>
      <c r="Q37" s="3328">
        <f t="shared" si="25"/>
        <v>4.7999999999999996E-3</v>
      </c>
      <c r="R37" s="3328">
        <f t="shared" si="25"/>
        <v>9.300000000000001E-3</v>
      </c>
      <c r="T37" s="3327">
        <f>B37/B38-1</f>
        <v>5.9040261127922822E-3</v>
      </c>
      <c r="U37" s="3328">
        <f>C37/C38-1</f>
        <v>5.9752176557332781E-3</v>
      </c>
      <c r="V37" s="3328">
        <f>F37/F38-1</f>
        <v>4.9906138119859556E-3</v>
      </c>
      <c r="W37" s="3328">
        <f>G37/G38-1</f>
        <v>9.4305450930933787E-3</v>
      </c>
    </row>
    <row r="38" spans="1:31" s="3249" customFormat="1" ht="13.5" thickBot="1">
      <c r="A38" s="3287" t="s">
        <v>147</v>
      </c>
      <c r="B38" s="3288">
        <v>318</v>
      </c>
      <c r="C38" s="3288">
        <v>268</v>
      </c>
      <c r="D38" s="3288">
        <f t="shared" si="27"/>
        <v>268</v>
      </c>
      <c r="E38" s="3288"/>
      <c r="F38" s="3288">
        <v>437</v>
      </c>
      <c r="G38" s="3288">
        <v>237</v>
      </c>
      <c r="H38" s="3331">
        <v>2014</v>
      </c>
      <c r="I38" s="3324">
        <v>4</v>
      </c>
      <c r="J38" s="3324">
        <v>0.21</v>
      </c>
      <c r="K38" s="3324">
        <v>0.41</v>
      </c>
      <c r="L38" s="3387">
        <v>0.12</v>
      </c>
      <c r="M38" s="3325">
        <v>0.89</v>
      </c>
      <c r="N38" s="3250"/>
      <c r="O38" s="3273">
        <f t="shared" si="25"/>
        <v>2.0999999999999999E-3</v>
      </c>
      <c r="P38" s="3249">
        <f t="shared" si="25"/>
        <v>4.0999999999999995E-3</v>
      </c>
      <c r="Q38" s="3249">
        <f t="shared" si="25"/>
        <v>1.1999999999999999E-3</v>
      </c>
      <c r="R38" s="3249">
        <f t="shared" si="25"/>
        <v>8.8999999999999999E-3</v>
      </c>
      <c r="S38" s="3250"/>
      <c r="T38" s="3273"/>
      <c r="X38" s="3250"/>
      <c r="AE38" s="3250"/>
    </row>
    <row r="39" spans="1:31" ht="13.5" thickBot="1">
      <c r="A39" s="3278" t="s">
        <v>146</v>
      </c>
      <c r="B39" s="3288">
        <f t="shared" ref="B39:C41" si="31">B38/(1+O38)</f>
        <v>317.33359944117353</v>
      </c>
      <c r="C39" s="3288">
        <f t="shared" si="31"/>
        <v>266.90568668459315</v>
      </c>
      <c r="D39" s="3288">
        <f t="shared" si="27"/>
        <v>266.90568668459315</v>
      </c>
      <c r="E39" s="3288"/>
      <c r="F39" s="3288">
        <f t="shared" ref="F39:G41" si="32">F38/(1+Q38)</f>
        <v>436.47622852576905</v>
      </c>
      <c r="G39" s="3288">
        <f t="shared" si="32"/>
        <v>234.90930716622066</v>
      </c>
      <c r="H39" s="3331">
        <v>2014</v>
      </c>
      <c r="I39" s="3324">
        <v>3</v>
      </c>
      <c r="J39" s="3324">
        <v>0.83</v>
      </c>
      <c r="K39" s="3324">
        <v>1.47</v>
      </c>
      <c r="L39" s="3387">
        <v>0.65</v>
      </c>
      <c r="M39" s="3325">
        <v>0.72</v>
      </c>
      <c r="O39" s="3285">
        <f t="shared" si="25"/>
        <v>8.3000000000000001E-3</v>
      </c>
      <c r="P39" s="3274">
        <f t="shared" si="25"/>
        <v>1.47E-2</v>
      </c>
      <c r="Q39" s="3274">
        <f t="shared" si="25"/>
        <v>6.5000000000000006E-3</v>
      </c>
      <c r="R39" s="3274">
        <f t="shared" si="25"/>
        <v>7.1999999999999998E-3</v>
      </c>
    </row>
    <row r="40" spans="1:31" ht="13.5" thickBot="1">
      <c r="A40" s="3278" t="s">
        <v>145</v>
      </c>
      <c r="B40" s="3288">
        <f t="shared" si="31"/>
        <v>314.72141172386546</v>
      </c>
      <c r="C40" s="3288">
        <f t="shared" si="31"/>
        <v>263.03901319069001</v>
      </c>
      <c r="D40" s="3288">
        <f t="shared" si="27"/>
        <v>263.03901319069001</v>
      </c>
      <c r="E40" s="3288"/>
      <c r="F40" s="3288">
        <f t="shared" si="32"/>
        <v>433.65745506782821</v>
      </c>
      <c r="G40" s="3288">
        <f t="shared" si="32"/>
        <v>233.23005080045735</v>
      </c>
      <c r="H40" s="3331">
        <v>2014</v>
      </c>
      <c r="I40" s="3324">
        <v>2</v>
      </c>
      <c r="J40" s="3324">
        <v>2.4</v>
      </c>
      <c r="K40" s="3324">
        <v>2.0299999999999998</v>
      </c>
      <c r="L40" s="3387">
        <v>2.59</v>
      </c>
      <c r="M40" s="3325">
        <v>1.52</v>
      </c>
      <c r="O40" s="3285">
        <f t="shared" si="25"/>
        <v>2.4E-2</v>
      </c>
      <c r="P40" s="3274">
        <f t="shared" si="25"/>
        <v>2.0299999999999999E-2</v>
      </c>
      <c r="Q40" s="3274">
        <f t="shared" si="25"/>
        <v>2.5899999999999999E-2</v>
      </c>
      <c r="R40" s="3274">
        <f t="shared" si="25"/>
        <v>1.52E-2</v>
      </c>
    </row>
    <row r="41" spans="1:31" s="3249" customFormat="1" ht="13.5" thickBot="1">
      <c r="A41" s="3287" t="s">
        <v>144</v>
      </c>
      <c r="B41" s="3288">
        <f t="shared" si="31"/>
        <v>307.34512863658733</v>
      </c>
      <c r="C41" s="3288">
        <f t="shared" si="31"/>
        <v>257.80556031626975</v>
      </c>
      <c r="D41" s="3288">
        <f t="shared" si="27"/>
        <v>257.80556031626975</v>
      </c>
      <c r="E41" s="3288"/>
      <c r="F41" s="3288">
        <f t="shared" si="32"/>
        <v>422.70928459677179</v>
      </c>
      <c r="G41" s="3288">
        <f t="shared" si="32"/>
        <v>229.73803270336617</v>
      </c>
      <c r="H41" s="3331">
        <v>2014</v>
      </c>
      <c r="I41" s="3324">
        <v>1</v>
      </c>
      <c r="J41" s="3324">
        <v>2.97</v>
      </c>
      <c r="K41" s="3324">
        <v>2.34</v>
      </c>
      <c r="L41" s="3387">
        <v>3.28</v>
      </c>
      <c r="M41" s="3325">
        <v>1.36</v>
      </c>
      <c r="N41" s="3250"/>
      <c r="O41" s="3273">
        <f t="shared" si="25"/>
        <v>2.9700000000000001E-2</v>
      </c>
      <c r="P41" s="3249">
        <f t="shared" si="25"/>
        <v>2.3399999999999997E-2</v>
      </c>
      <c r="Q41" s="3249">
        <f t="shared" si="25"/>
        <v>3.2799999999999996E-2</v>
      </c>
      <c r="R41" s="3249">
        <f t="shared" si="25"/>
        <v>1.3600000000000001E-2</v>
      </c>
      <c r="S41" s="3250"/>
      <c r="T41" s="3332">
        <f>B41/B42-1</f>
        <v>2.7910129219355539E-2</v>
      </c>
      <c r="U41" s="3333">
        <f>C41/C42-1</f>
        <v>2.3037937762975247E-2</v>
      </c>
      <c r="V41" s="3333">
        <f>F41/F42-1</f>
        <v>3.3519033243940788E-2</v>
      </c>
      <c r="W41" s="3333">
        <f>G41/G42-1</f>
        <v>1.2061818076502862E-2</v>
      </c>
      <c r="X41" s="3266"/>
      <c r="AE41" s="3250"/>
    </row>
    <row r="42" spans="1:31" ht="13.5" thickBot="1">
      <c r="A42" s="3278" t="s">
        <v>1163</v>
      </c>
      <c r="B42" s="3334">
        <v>299</v>
      </c>
      <c r="C42" s="3334">
        <v>252</v>
      </c>
      <c r="D42" s="3334">
        <f t="shared" si="27"/>
        <v>252</v>
      </c>
      <c r="E42" s="3334"/>
      <c r="F42" s="3334">
        <v>409</v>
      </c>
      <c r="G42" s="3335">
        <v>227</v>
      </c>
      <c r="H42" s="3743">
        <v>2013</v>
      </c>
      <c r="I42" s="3336">
        <v>4</v>
      </c>
      <c r="J42" s="3336">
        <v>1.83</v>
      </c>
      <c r="K42" s="3336">
        <v>1.68</v>
      </c>
      <c r="L42" s="3388">
        <v>1.97</v>
      </c>
      <c r="M42" s="3337">
        <v>0.87</v>
      </c>
      <c r="O42" s="3338">
        <f t="shared" si="25"/>
        <v>1.83E-2</v>
      </c>
      <c r="P42" s="3339">
        <f t="shared" si="25"/>
        <v>1.6799999999999999E-2</v>
      </c>
      <c r="Q42" s="3339">
        <f t="shared" si="25"/>
        <v>1.9699999999999999E-2</v>
      </c>
      <c r="R42" s="3339">
        <f t="shared" si="25"/>
        <v>8.6999999999999994E-3</v>
      </c>
    </row>
    <row r="43" spans="1:31">
      <c r="A43" s="3278" t="s">
        <v>1164</v>
      </c>
      <c r="B43" s="3274">
        <f t="shared" ref="B43:C45" si="33">B42/(1+O42)</f>
        <v>293.62663262299913</v>
      </c>
      <c r="C43" s="3274">
        <f t="shared" si="33"/>
        <v>247.83634933123525</v>
      </c>
      <c r="D43" s="3274">
        <f t="shared" si="27"/>
        <v>247.83634933123525</v>
      </c>
      <c r="F43" s="3274">
        <f t="shared" ref="F43:G45" si="34">F42/(1+Q42)</f>
        <v>401.09836226341076</v>
      </c>
      <c r="G43" s="3274">
        <f t="shared" si="34"/>
        <v>225.04213343908003</v>
      </c>
      <c r="H43" s="3744"/>
      <c r="I43" s="3340">
        <v>3</v>
      </c>
      <c r="J43" s="3340">
        <v>1.86</v>
      </c>
      <c r="K43" s="3340">
        <v>1.72</v>
      </c>
      <c r="L43" s="3389">
        <v>1.98</v>
      </c>
      <c r="M43" s="3341">
        <v>0.88</v>
      </c>
      <c r="O43" s="3285">
        <f t="shared" si="25"/>
        <v>1.8600000000000002E-2</v>
      </c>
      <c r="P43" s="3274">
        <f t="shared" si="25"/>
        <v>1.72E-2</v>
      </c>
      <c r="Q43" s="3274">
        <f t="shared" si="25"/>
        <v>1.9799999999999998E-2</v>
      </c>
      <c r="R43" s="3274">
        <f t="shared" si="25"/>
        <v>8.8000000000000005E-3</v>
      </c>
    </row>
    <row r="44" spans="1:31">
      <c r="A44" s="3278" t="s">
        <v>1165</v>
      </c>
      <c r="B44" s="3274">
        <f t="shared" si="33"/>
        <v>288.2649053828776</v>
      </c>
      <c r="C44" s="3274">
        <f t="shared" si="33"/>
        <v>243.64564425013293</v>
      </c>
      <c r="D44" s="3274">
        <f t="shared" si="27"/>
        <v>243.64564425013293</v>
      </c>
      <c r="F44" s="3274">
        <f t="shared" si="34"/>
        <v>393.31080825986544</v>
      </c>
      <c r="G44" s="3274">
        <f t="shared" si="34"/>
        <v>223.07903790551154</v>
      </c>
      <c r="H44" s="3744"/>
      <c r="I44" s="3342">
        <v>2</v>
      </c>
      <c r="J44" s="3342">
        <v>2.04</v>
      </c>
      <c r="K44" s="3342">
        <v>2.33</v>
      </c>
      <c r="L44" s="3371">
        <v>2.0699999999999998</v>
      </c>
      <c r="M44" s="3343">
        <v>0.69</v>
      </c>
      <c r="O44" s="3285">
        <f t="shared" si="25"/>
        <v>2.0400000000000001E-2</v>
      </c>
      <c r="P44" s="3274">
        <f t="shared" si="25"/>
        <v>2.3300000000000001E-2</v>
      </c>
      <c r="Q44" s="3274">
        <f t="shared" si="25"/>
        <v>2.07E-2</v>
      </c>
      <c r="R44" s="3274">
        <f t="shared" si="25"/>
        <v>6.8999999999999999E-3</v>
      </c>
      <c r="Z44" s="3344"/>
    </row>
    <row r="45" spans="1:31">
      <c r="A45" s="3278" t="s">
        <v>1166</v>
      </c>
      <c r="B45" s="3274">
        <f t="shared" si="33"/>
        <v>282.50186729015837</v>
      </c>
      <c r="C45" s="3274">
        <f t="shared" si="33"/>
        <v>238.09796174155468</v>
      </c>
      <c r="D45" s="3274">
        <f t="shared" si="27"/>
        <v>238.09796174155468</v>
      </c>
      <c r="F45" s="3274">
        <f t="shared" si="34"/>
        <v>385.33438646014054</v>
      </c>
      <c r="G45" s="3274">
        <f t="shared" si="34"/>
        <v>221.55034055567739</v>
      </c>
      <c r="H45" s="3745"/>
      <c r="I45" s="3281">
        <v>1</v>
      </c>
      <c r="J45" s="3281">
        <v>1.67</v>
      </c>
      <c r="K45" s="3281">
        <v>1.31</v>
      </c>
      <c r="L45" s="3371">
        <v>1.85</v>
      </c>
      <c r="M45" s="3345">
        <v>0.96</v>
      </c>
      <c r="O45" s="3327">
        <f t="shared" si="25"/>
        <v>1.67E-2</v>
      </c>
      <c r="P45" s="3328">
        <f t="shared" si="25"/>
        <v>1.3100000000000001E-2</v>
      </c>
      <c r="Q45" s="3328">
        <f t="shared" si="25"/>
        <v>1.8500000000000003E-2</v>
      </c>
      <c r="R45" s="3328">
        <f t="shared" si="25"/>
        <v>9.5999999999999992E-3</v>
      </c>
      <c r="T45" s="3327">
        <f>B45/B46-1</f>
        <v>1.6193767230785472E-2</v>
      </c>
      <c r="U45" s="3328">
        <f>C45/C46-1</f>
        <v>1.7512657015190891E-2</v>
      </c>
      <c r="V45" s="3328">
        <f>F45/F46-1</f>
        <v>1.6713420739157048E-2</v>
      </c>
      <c r="W45" s="3328">
        <f>G45/G46-1</f>
        <v>7.0470025258062563E-3</v>
      </c>
    </row>
    <row r="46" spans="1:31" ht="13.5" thickBot="1">
      <c r="A46" s="3278" t="s">
        <v>1167</v>
      </c>
      <c r="B46" s="3346">
        <v>278</v>
      </c>
      <c r="C46" s="3346">
        <v>234</v>
      </c>
      <c r="D46" s="3346">
        <f t="shared" si="27"/>
        <v>234</v>
      </c>
      <c r="E46" s="3346"/>
      <c r="F46" s="3346">
        <v>379</v>
      </c>
      <c r="G46" s="3347">
        <v>220</v>
      </c>
      <c r="H46" s="3737">
        <v>2012</v>
      </c>
      <c r="I46" s="3348">
        <v>4</v>
      </c>
      <c r="J46" s="3348">
        <v>0.91</v>
      </c>
      <c r="K46" s="3348">
        <v>0.68</v>
      </c>
      <c r="L46" s="3390">
        <v>0.98</v>
      </c>
      <c r="M46" s="3349">
        <v>0.9</v>
      </c>
      <c r="O46" s="3285">
        <f t="shared" ref="O46:R65" si="35">J46/100</f>
        <v>9.1000000000000004E-3</v>
      </c>
      <c r="P46" s="3274">
        <f t="shared" si="35"/>
        <v>6.8000000000000005E-3</v>
      </c>
      <c r="Q46" s="3274">
        <f t="shared" si="35"/>
        <v>9.7999999999999997E-3</v>
      </c>
      <c r="R46" s="3274">
        <f t="shared" si="35"/>
        <v>9.0000000000000011E-3</v>
      </c>
    </row>
    <row r="47" spans="1:31">
      <c r="A47" s="3278" t="s">
        <v>1168</v>
      </c>
      <c r="B47" s="3274">
        <f>B46/(1+O46)</f>
        <v>275.49301357645425</v>
      </c>
      <c r="C47" s="3274">
        <f>C46/(1+P46)</f>
        <v>232.41954707985698</v>
      </c>
      <c r="D47" s="3274">
        <f t="shared" si="27"/>
        <v>232.41954707985698</v>
      </c>
      <c r="F47" s="3274">
        <f t="shared" ref="F47:G49" si="36">F46/(1+Q46)</f>
        <v>375.32184591008121</v>
      </c>
      <c r="G47" s="3274">
        <f t="shared" si="36"/>
        <v>218.03766105054513</v>
      </c>
      <c r="H47" s="3738"/>
      <c r="I47" s="3340">
        <v>3</v>
      </c>
      <c r="J47" s="3340">
        <v>0.09</v>
      </c>
      <c r="K47" s="3340">
        <v>0.28999999999999998</v>
      </c>
      <c r="L47" s="3389">
        <v>-0.01</v>
      </c>
      <c r="M47" s="3341">
        <v>0.57999999999999996</v>
      </c>
      <c r="O47" s="3285">
        <f t="shared" si="35"/>
        <v>8.9999999999999998E-4</v>
      </c>
      <c r="P47" s="3274">
        <f t="shared" si="35"/>
        <v>2.8999999999999998E-3</v>
      </c>
      <c r="Q47" s="3274">
        <f t="shared" si="35"/>
        <v>-1E-4</v>
      </c>
      <c r="R47" s="3274">
        <f t="shared" si="35"/>
        <v>5.7999999999999996E-3</v>
      </c>
    </row>
    <row r="48" spans="1:31">
      <c r="A48" s="3278" t="s">
        <v>1169</v>
      </c>
      <c r="B48" s="3274">
        <f>B47/(1+O47)</f>
        <v>275.24529281292263</v>
      </c>
      <c r="C48" s="3274">
        <f>C47/(1+P47)</f>
        <v>231.74747938962707</v>
      </c>
      <c r="D48" s="3274">
        <f t="shared" si="27"/>
        <v>231.74747938962707</v>
      </c>
      <c r="F48" s="3274">
        <f t="shared" si="36"/>
        <v>375.35938184826603</v>
      </c>
      <c r="G48" s="3274">
        <f t="shared" si="36"/>
        <v>216.78033510692495</v>
      </c>
      <c r="H48" s="3738"/>
      <c r="I48" s="3342">
        <v>2</v>
      </c>
      <c r="J48" s="3342">
        <v>0.02</v>
      </c>
      <c r="K48" s="3342">
        <v>0.12</v>
      </c>
      <c r="L48" s="3371">
        <v>-0.08</v>
      </c>
      <c r="M48" s="3343">
        <v>1.24</v>
      </c>
      <c r="O48" s="3285">
        <f t="shared" si="35"/>
        <v>2.0000000000000001E-4</v>
      </c>
      <c r="P48" s="3274">
        <f t="shared" si="35"/>
        <v>1.1999999999999999E-3</v>
      </c>
      <c r="Q48" s="3274">
        <f t="shared" si="35"/>
        <v>-8.0000000000000004E-4</v>
      </c>
      <c r="R48" s="3274">
        <f t="shared" si="35"/>
        <v>1.24E-2</v>
      </c>
    </row>
    <row r="49" spans="1:23" ht="13.5" thickBot="1">
      <c r="A49" s="3278" t="s">
        <v>1170</v>
      </c>
      <c r="B49" s="3274">
        <f>B48/(1+O48)</f>
        <v>275.19025476197027</v>
      </c>
      <c r="C49" s="3350">
        <v>232</v>
      </c>
      <c r="D49" s="3350">
        <f t="shared" si="27"/>
        <v>232</v>
      </c>
      <c r="E49" s="3350"/>
      <c r="F49" s="3274">
        <f t="shared" si="36"/>
        <v>375.65990977608692</v>
      </c>
      <c r="G49" s="3274">
        <f t="shared" si="36"/>
        <v>214.12518283971252</v>
      </c>
      <c r="H49" s="3739"/>
      <c r="I49" s="3281">
        <v>1</v>
      </c>
      <c r="J49" s="3281">
        <v>0.02</v>
      </c>
      <c r="K49" s="3281">
        <v>0.13</v>
      </c>
      <c r="L49" s="3371">
        <v>-0.04</v>
      </c>
      <c r="M49" s="3345">
        <v>0.46</v>
      </c>
      <c r="O49" s="3285">
        <f t="shared" si="35"/>
        <v>2.0000000000000001E-4</v>
      </c>
      <c r="P49" s="3274">
        <f t="shared" si="35"/>
        <v>1.2999999999999999E-3</v>
      </c>
      <c r="Q49" s="3274">
        <f t="shared" si="35"/>
        <v>-4.0000000000000002E-4</v>
      </c>
      <c r="R49" s="3274">
        <f t="shared" si="35"/>
        <v>4.5999999999999999E-3</v>
      </c>
      <c r="T49" s="3327">
        <f>B49/B50-1</f>
        <v>6.9183549807361189E-4</v>
      </c>
      <c r="U49" s="3328">
        <f>C49/C50-1</f>
        <v>0</v>
      </c>
      <c r="V49" s="3328">
        <f>F49/F50-1</f>
        <v>-9.0449527636460303E-4</v>
      </c>
      <c r="W49" s="3328">
        <f>G49/G50-1</f>
        <v>5.2825485432512753E-3</v>
      </c>
    </row>
    <row r="50" spans="1:23" ht="13.5" thickBot="1">
      <c r="A50" s="3278" t="s">
        <v>1171</v>
      </c>
      <c r="B50" s="3334">
        <v>275</v>
      </c>
      <c r="C50" s="3334">
        <v>232</v>
      </c>
      <c r="D50" s="3334">
        <f t="shared" si="27"/>
        <v>232</v>
      </c>
      <c r="E50" s="3334"/>
      <c r="F50" s="3334">
        <v>376</v>
      </c>
      <c r="G50" s="3335">
        <v>213</v>
      </c>
      <c r="H50" s="3737">
        <v>2011</v>
      </c>
      <c r="I50" s="3348">
        <v>4</v>
      </c>
      <c r="J50" s="3348">
        <v>-0.2</v>
      </c>
      <c r="K50" s="3348">
        <v>0.04</v>
      </c>
      <c r="L50" s="3390">
        <v>-0.34</v>
      </c>
      <c r="M50" s="3349">
        <v>0.46</v>
      </c>
      <c r="O50" s="3338">
        <f t="shared" si="35"/>
        <v>-2E-3</v>
      </c>
      <c r="P50" s="3339">
        <f t="shared" si="35"/>
        <v>4.0000000000000002E-4</v>
      </c>
      <c r="Q50" s="3339">
        <f t="shared" si="35"/>
        <v>-3.4000000000000002E-3</v>
      </c>
      <c r="R50" s="3339">
        <f t="shared" si="35"/>
        <v>4.5999999999999999E-3</v>
      </c>
    </row>
    <row r="51" spans="1:23">
      <c r="A51" s="3278" t="s">
        <v>1172</v>
      </c>
      <c r="B51" s="3274">
        <f t="shared" ref="B51:C53" si="37">B50/(1+O50)</f>
        <v>275.55110220440883</v>
      </c>
      <c r="C51" s="3274">
        <f t="shared" si="37"/>
        <v>231.90723710515795</v>
      </c>
      <c r="D51" s="3274">
        <f t="shared" si="27"/>
        <v>231.90723710515795</v>
      </c>
      <c r="F51" s="3274">
        <f t="shared" ref="F51:G53" si="38">F50/(1+Q50)</f>
        <v>377.28276138872161</v>
      </c>
      <c r="G51" s="3274">
        <f t="shared" si="38"/>
        <v>212.02468644236512</v>
      </c>
      <c r="H51" s="3738">
        <v>2011</v>
      </c>
      <c r="I51" s="3340">
        <v>3</v>
      </c>
      <c r="J51" s="3340">
        <v>0.13</v>
      </c>
      <c r="K51" s="3340">
        <v>0.75</v>
      </c>
      <c r="L51" s="3389">
        <v>-0.08</v>
      </c>
      <c r="M51" s="3341">
        <v>0.53</v>
      </c>
      <c r="O51" s="3285">
        <f t="shared" si="35"/>
        <v>1.2999999999999999E-3</v>
      </c>
      <c r="P51" s="3274">
        <f t="shared" si="35"/>
        <v>7.4999999999999997E-3</v>
      </c>
      <c r="Q51" s="3274">
        <f t="shared" si="35"/>
        <v>-8.0000000000000004E-4</v>
      </c>
      <c r="R51" s="3274">
        <f t="shared" si="35"/>
        <v>5.3E-3</v>
      </c>
    </row>
    <row r="52" spans="1:23">
      <c r="A52" s="3278" t="s">
        <v>1173</v>
      </c>
      <c r="B52" s="3274">
        <f t="shared" si="37"/>
        <v>275.19335084830601</v>
      </c>
      <c r="C52" s="3274">
        <f t="shared" si="37"/>
        <v>230.18088050139744</v>
      </c>
      <c r="D52" s="3274">
        <f t="shared" si="27"/>
        <v>230.18088050139744</v>
      </c>
      <c r="F52" s="3274">
        <f t="shared" si="38"/>
        <v>377.58482925212331</v>
      </c>
      <c r="G52" s="3274">
        <f t="shared" si="38"/>
        <v>210.90687997847917</v>
      </c>
      <c r="H52" s="3738">
        <v>2011</v>
      </c>
      <c r="I52" s="3342">
        <v>2</v>
      </c>
      <c r="J52" s="3342">
        <v>-0.4</v>
      </c>
      <c r="K52" s="3342">
        <v>0.17</v>
      </c>
      <c r="L52" s="3371">
        <v>-0.57999999999999996</v>
      </c>
      <c r="M52" s="3343">
        <v>-0.2</v>
      </c>
      <c r="O52" s="3285">
        <f t="shared" si="35"/>
        <v>-4.0000000000000001E-3</v>
      </c>
      <c r="P52" s="3274">
        <f t="shared" si="35"/>
        <v>1.7000000000000001E-3</v>
      </c>
      <c r="Q52" s="3274">
        <f t="shared" si="35"/>
        <v>-5.7999999999999996E-3</v>
      </c>
      <c r="R52" s="3274">
        <f t="shared" si="35"/>
        <v>-2E-3</v>
      </c>
    </row>
    <row r="53" spans="1:23" ht="13.5" thickBot="1">
      <c r="A53" s="3278" t="s">
        <v>1174</v>
      </c>
      <c r="B53" s="3274">
        <f t="shared" si="37"/>
        <v>276.29854502841971</v>
      </c>
      <c r="C53" s="3274">
        <f t="shared" si="37"/>
        <v>229.79023709833027</v>
      </c>
      <c r="D53" s="3274">
        <f t="shared" si="27"/>
        <v>229.79023709833027</v>
      </c>
      <c r="F53" s="3274">
        <f t="shared" si="38"/>
        <v>379.78759731655936</v>
      </c>
      <c r="G53" s="3274">
        <f t="shared" si="38"/>
        <v>211.32953905659235</v>
      </c>
      <c r="H53" s="3739">
        <v>2011</v>
      </c>
      <c r="I53" s="3281">
        <v>1</v>
      </c>
      <c r="J53" s="3281">
        <v>2.65</v>
      </c>
      <c r="K53" s="3281">
        <v>3.76</v>
      </c>
      <c r="L53" s="3371">
        <v>1.89</v>
      </c>
      <c r="M53" s="3345">
        <v>7.95</v>
      </c>
      <c r="O53" s="3327">
        <f t="shared" si="35"/>
        <v>2.6499999999999999E-2</v>
      </c>
      <c r="P53" s="3328">
        <f t="shared" si="35"/>
        <v>3.7599999999999995E-2</v>
      </c>
      <c r="Q53" s="3328">
        <f t="shared" si="35"/>
        <v>1.89E-2</v>
      </c>
      <c r="R53" s="3328">
        <f t="shared" si="35"/>
        <v>7.9500000000000001E-2</v>
      </c>
      <c r="T53" s="3327">
        <f>B53/B54-1</f>
        <v>2.713213765211786E-2</v>
      </c>
      <c r="U53" s="3328">
        <f>C53/C54-1</f>
        <v>3.9774828499231862E-2</v>
      </c>
      <c r="V53" s="3328">
        <f>F53/F54-1</f>
        <v>1.8197311840641772E-2</v>
      </c>
      <c r="W53" s="3328">
        <f>G53/G54-1</f>
        <v>7.8211933962205826E-2</v>
      </c>
    </row>
    <row r="54" spans="1:23" ht="13.5" thickBot="1">
      <c r="A54" s="3278" t="s">
        <v>1175</v>
      </c>
      <c r="B54" s="3334">
        <v>269</v>
      </c>
      <c r="C54" s="3334">
        <v>221</v>
      </c>
      <c r="D54" s="3334">
        <f t="shared" si="27"/>
        <v>221</v>
      </c>
      <c r="E54" s="3334"/>
      <c r="F54" s="3334">
        <v>373</v>
      </c>
      <c r="G54" s="3335">
        <v>196</v>
      </c>
      <c r="H54" s="3737">
        <v>2010</v>
      </c>
      <c r="I54" s="3348">
        <v>4</v>
      </c>
      <c r="J54" s="3348">
        <v>5.72</v>
      </c>
      <c r="K54" s="3348">
        <v>6.57</v>
      </c>
      <c r="L54" s="3390">
        <v>5.72</v>
      </c>
      <c r="M54" s="3349">
        <v>2.72</v>
      </c>
      <c r="O54" s="3285">
        <f t="shared" si="35"/>
        <v>5.7200000000000001E-2</v>
      </c>
      <c r="P54" s="3274">
        <f t="shared" si="35"/>
        <v>6.5700000000000008E-2</v>
      </c>
      <c r="Q54" s="3274">
        <f t="shared" si="35"/>
        <v>5.7200000000000001E-2</v>
      </c>
      <c r="R54" s="3274">
        <f t="shared" si="35"/>
        <v>2.7200000000000002E-2</v>
      </c>
    </row>
    <row r="55" spans="1:23">
      <c r="A55" s="3278" t="s">
        <v>1176</v>
      </c>
      <c r="B55" s="3274">
        <f t="shared" ref="B55:C57" si="39">B54/(1+O54)</f>
        <v>254.44570563753314</v>
      </c>
      <c r="C55" s="3274">
        <f t="shared" si="39"/>
        <v>207.37543398705074</v>
      </c>
      <c r="D55" s="3274">
        <f t="shared" si="27"/>
        <v>207.37543398705074</v>
      </c>
      <c r="F55" s="3274">
        <f t="shared" ref="F55:G57" si="40">F54/(1+Q54)</f>
        <v>352.81876655315932</v>
      </c>
      <c r="G55" s="3274">
        <f t="shared" si="40"/>
        <v>190.809968847352</v>
      </c>
      <c r="H55" s="3738">
        <v>2010</v>
      </c>
      <c r="I55" s="3340">
        <v>3</v>
      </c>
      <c r="J55" s="3340">
        <v>4.7300000000000004</v>
      </c>
      <c r="K55" s="3340">
        <v>3.9</v>
      </c>
      <c r="L55" s="3389">
        <v>5.03</v>
      </c>
      <c r="M55" s="3341">
        <v>4.21</v>
      </c>
      <c r="O55" s="3285">
        <f t="shared" si="35"/>
        <v>4.7300000000000002E-2</v>
      </c>
      <c r="P55" s="3274">
        <f t="shared" si="35"/>
        <v>3.9E-2</v>
      </c>
      <c r="Q55" s="3274">
        <f t="shared" si="35"/>
        <v>5.0300000000000004E-2</v>
      </c>
      <c r="R55" s="3274">
        <f t="shared" si="35"/>
        <v>4.2099999999999999E-2</v>
      </c>
    </row>
    <row r="56" spans="1:23">
      <c r="A56" s="3278" t="s">
        <v>1177</v>
      </c>
      <c r="B56" s="3274">
        <f t="shared" si="39"/>
        <v>242.95398227588385</v>
      </c>
      <c r="C56" s="3274">
        <f t="shared" si="39"/>
        <v>199.59137053614126</v>
      </c>
      <c r="D56" s="3274">
        <f t="shared" si="27"/>
        <v>199.59137053614126</v>
      </c>
      <c r="F56" s="3274">
        <f t="shared" si="40"/>
        <v>335.92189522342125</v>
      </c>
      <c r="G56" s="3274">
        <f t="shared" si="40"/>
        <v>183.10139991109489</v>
      </c>
      <c r="H56" s="3738">
        <v>2010</v>
      </c>
      <c r="I56" s="3342">
        <v>2</v>
      </c>
      <c r="J56" s="3342">
        <v>4.6900000000000004</v>
      </c>
      <c r="K56" s="3342">
        <v>3.55</v>
      </c>
      <c r="L56" s="3371">
        <v>5.07</v>
      </c>
      <c r="M56" s="3343">
        <v>4.2300000000000004</v>
      </c>
      <c r="O56" s="3285">
        <f t="shared" si="35"/>
        <v>4.6900000000000004E-2</v>
      </c>
      <c r="P56" s="3274">
        <f t="shared" si="35"/>
        <v>3.5499999999999997E-2</v>
      </c>
      <c r="Q56" s="3274">
        <f t="shared" si="35"/>
        <v>5.0700000000000002E-2</v>
      </c>
      <c r="R56" s="3274">
        <f t="shared" si="35"/>
        <v>4.2300000000000004E-2</v>
      </c>
    </row>
    <row r="57" spans="1:23" ht="13.5" thickBot="1">
      <c r="A57" s="3278" t="s">
        <v>1178</v>
      </c>
      <c r="B57" s="3274">
        <f t="shared" si="39"/>
        <v>232.06990378821649</v>
      </c>
      <c r="C57" s="3274">
        <f t="shared" si="39"/>
        <v>192.74878854286936</v>
      </c>
      <c r="D57" s="3274">
        <f t="shared" si="27"/>
        <v>192.74878854286936</v>
      </c>
      <c r="F57" s="3274">
        <f t="shared" si="40"/>
        <v>319.71247284992984</v>
      </c>
      <c r="G57" s="3274">
        <f t="shared" si="40"/>
        <v>175.67053622862409</v>
      </c>
      <c r="H57" s="3739">
        <v>2010</v>
      </c>
      <c r="I57" s="3281">
        <v>1</v>
      </c>
      <c r="J57" s="3281">
        <v>5.4</v>
      </c>
      <c r="K57" s="3281">
        <v>3.2</v>
      </c>
      <c r="L57" s="3371">
        <v>6.16</v>
      </c>
      <c r="M57" s="3345">
        <v>4.51</v>
      </c>
      <c r="O57" s="3285">
        <f t="shared" si="35"/>
        <v>5.4000000000000006E-2</v>
      </c>
      <c r="P57" s="3274">
        <f t="shared" si="35"/>
        <v>3.2000000000000001E-2</v>
      </c>
      <c r="Q57" s="3274">
        <f t="shared" si="35"/>
        <v>6.1600000000000002E-2</v>
      </c>
      <c r="R57" s="3274">
        <f t="shared" si="35"/>
        <v>4.5100000000000001E-2</v>
      </c>
      <c r="T57" s="3327">
        <f>B57/B58-1</f>
        <v>5.4863199037347599E-2</v>
      </c>
      <c r="U57" s="3328">
        <f>C57/C58-1</f>
        <v>3.0742184721226584E-2</v>
      </c>
      <c r="V57" s="3328">
        <f>F57/F58-1</f>
        <v>6.2167683886810154E-2</v>
      </c>
      <c r="W57" s="3328">
        <f>G57/G58-1</f>
        <v>4.5657953741810031E-2</v>
      </c>
    </row>
    <row r="58" spans="1:23" ht="13.5" thickBot="1">
      <c r="A58" s="3278" t="s">
        <v>1179</v>
      </c>
      <c r="B58" s="3334">
        <v>220</v>
      </c>
      <c r="C58" s="3334">
        <v>187</v>
      </c>
      <c r="D58" s="3334">
        <f t="shared" si="27"/>
        <v>187</v>
      </c>
      <c r="E58" s="3334"/>
      <c r="F58" s="3334">
        <v>301</v>
      </c>
      <c r="G58" s="3335">
        <v>168</v>
      </c>
      <c r="H58" s="3737">
        <v>2009</v>
      </c>
      <c r="I58" s="3348">
        <v>4</v>
      </c>
      <c r="J58" s="3348">
        <v>2.2999999999999998</v>
      </c>
      <c r="K58" s="3348">
        <v>1.04</v>
      </c>
      <c r="L58" s="3390">
        <v>2.84</v>
      </c>
      <c r="M58" s="3349">
        <v>0.67</v>
      </c>
      <c r="O58" s="3338">
        <f t="shared" si="35"/>
        <v>2.3E-2</v>
      </c>
      <c r="P58" s="3339">
        <f t="shared" si="35"/>
        <v>1.04E-2</v>
      </c>
      <c r="Q58" s="3339">
        <f t="shared" si="35"/>
        <v>2.8399999999999998E-2</v>
      </c>
      <c r="R58" s="3339">
        <f t="shared" si="35"/>
        <v>6.7000000000000002E-3</v>
      </c>
    </row>
    <row r="59" spans="1:23">
      <c r="A59" s="3278" t="s">
        <v>1180</v>
      </c>
      <c r="B59" s="3274">
        <f t="shared" ref="B59:C61" si="41">B58/(1+O58)</f>
        <v>215.05376344086022</v>
      </c>
      <c r="C59" s="3274">
        <f t="shared" si="41"/>
        <v>185.0752177355503</v>
      </c>
      <c r="D59" s="3274">
        <f t="shared" si="27"/>
        <v>185.0752177355503</v>
      </c>
      <c r="F59" s="3274">
        <f t="shared" ref="F59:G61" si="42">F58/(1+Q58)</f>
        <v>292.68767016725008</v>
      </c>
      <c r="G59" s="3274">
        <f t="shared" si="42"/>
        <v>166.88189132810174</v>
      </c>
      <c r="H59" s="3738">
        <v>2009</v>
      </c>
      <c r="I59" s="3340">
        <v>3</v>
      </c>
      <c r="J59" s="3340">
        <v>2.1</v>
      </c>
      <c r="K59" s="3340">
        <v>1.86</v>
      </c>
      <c r="L59" s="3389">
        <v>2.29</v>
      </c>
      <c r="M59" s="3341">
        <v>0.85</v>
      </c>
      <c r="O59" s="3285">
        <f t="shared" si="35"/>
        <v>2.1000000000000001E-2</v>
      </c>
      <c r="P59" s="3274">
        <f t="shared" si="35"/>
        <v>1.8600000000000002E-2</v>
      </c>
      <c r="Q59" s="3274">
        <f t="shared" si="35"/>
        <v>2.29E-2</v>
      </c>
      <c r="R59" s="3274">
        <f t="shared" si="35"/>
        <v>8.5000000000000006E-3</v>
      </c>
    </row>
    <row r="60" spans="1:23">
      <c r="A60" s="3278" t="s">
        <v>1181</v>
      </c>
      <c r="B60" s="3274">
        <f t="shared" si="41"/>
        <v>210.630522469011</v>
      </c>
      <c r="C60" s="3274">
        <f t="shared" si="41"/>
        <v>181.69567812247232</v>
      </c>
      <c r="D60" s="3274">
        <f t="shared" si="27"/>
        <v>181.69567812247232</v>
      </c>
      <c r="F60" s="3274">
        <f t="shared" si="42"/>
        <v>286.13517466736738</v>
      </c>
      <c r="G60" s="3274">
        <f t="shared" si="42"/>
        <v>165.47535084591149</v>
      </c>
      <c r="H60" s="3738">
        <v>2009</v>
      </c>
      <c r="I60" s="3342">
        <v>2</v>
      </c>
      <c r="J60" s="3342">
        <v>0.86</v>
      </c>
      <c r="K60" s="3342">
        <v>-1.1299999999999999</v>
      </c>
      <c r="L60" s="3371">
        <v>1.79</v>
      </c>
      <c r="M60" s="3343">
        <v>-2.0699999999999998</v>
      </c>
      <c r="O60" s="3285">
        <f t="shared" si="35"/>
        <v>8.6E-3</v>
      </c>
      <c r="P60" s="3274">
        <f t="shared" si="35"/>
        <v>-1.1299999999999999E-2</v>
      </c>
      <c r="Q60" s="3274">
        <f t="shared" si="35"/>
        <v>1.7899999999999999E-2</v>
      </c>
      <c r="R60" s="3274">
        <f t="shared" si="35"/>
        <v>-2.07E-2</v>
      </c>
    </row>
    <row r="61" spans="1:23">
      <c r="A61" s="3278" t="s">
        <v>1182</v>
      </c>
      <c r="B61" s="3274">
        <f t="shared" si="41"/>
        <v>208.83454537875372</v>
      </c>
      <c r="C61" s="3274">
        <f t="shared" si="41"/>
        <v>183.77230517090351</v>
      </c>
      <c r="D61" s="3274">
        <f t="shared" si="27"/>
        <v>183.77230517090351</v>
      </c>
      <c r="F61" s="3274">
        <f t="shared" si="42"/>
        <v>281.10342338870947</v>
      </c>
      <c r="G61" s="3274">
        <f t="shared" si="42"/>
        <v>168.97309388942256</v>
      </c>
      <c r="H61" s="3739">
        <v>2009</v>
      </c>
      <c r="I61" s="3281">
        <v>1</v>
      </c>
      <c r="J61" s="3281">
        <v>-2.64</v>
      </c>
      <c r="K61" s="3281">
        <v>-2.5299999999999998</v>
      </c>
      <c r="L61" s="3371">
        <v>-3.02</v>
      </c>
      <c r="M61" s="3345">
        <v>1.52</v>
      </c>
      <c r="O61" s="3327">
        <f t="shared" si="35"/>
        <v>-2.64E-2</v>
      </c>
      <c r="P61" s="3328">
        <f t="shared" si="35"/>
        <v>-2.53E-2</v>
      </c>
      <c r="Q61" s="3328">
        <f t="shared" si="35"/>
        <v>-3.0200000000000001E-2</v>
      </c>
      <c r="R61" s="3328">
        <f t="shared" si="35"/>
        <v>1.52E-2</v>
      </c>
      <c r="T61" s="3327">
        <f>B61/B62-1</f>
        <v>-2.4137638417038754E-2</v>
      </c>
      <c r="U61" s="3328">
        <f>C61/C62-1</f>
        <v>-2.248773845264096E-2</v>
      </c>
      <c r="V61" s="3328">
        <f>F61/F62-1</f>
        <v>-2.7323794502735366E-2</v>
      </c>
      <c r="W61" s="3328">
        <f>G61/G62-1</f>
        <v>1.7910204153148035E-2</v>
      </c>
    </row>
    <row r="62" spans="1:23" ht="13.5" thickBot="1">
      <c r="A62" s="3278" t="s">
        <v>1183</v>
      </c>
      <c r="B62" s="3346">
        <v>214</v>
      </c>
      <c r="C62" s="3346">
        <v>188</v>
      </c>
      <c r="D62" s="3346">
        <f t="shared" si="27"/>
        <v>188</v>
      </c>
      <c r="E62" s="3346"/>
      <c r="F62" s="3346">
        <v>289</v>
      </c>
      <c r="G62" s="3347">
        <v>166</v>
      </c>
      <c r="H62" s="3737">
        <v>2008</v>
      </c>
      <c r="I62" s="3348">
        <v>4</v>
      </c>
      <c r="J62" s="3348">
        <v>1.73</v>
      </c>
      <c r="K62" s="3348">
        <v>0.03</v>
      </c>
      <c r="L62" s="3390">
        <v>2.59</v>
      </c>
      <c r="M62" s="3349">
        <v>-1.66</v>
      </c>
      <c r="O62" s="3285">
        <f t="shared" si="35"/>
        <v>1.7299999999999999E-2</v>
      </c>
      <c r="P62" s="3274">
        <f t="shared" si="35"/>
        <v>2.9999999999999997E-4</v>
      </c>
      <c r="Q62" s="3274">
        <f t="shared" si="35"/>
        <v>2.5899999999999999E-2</v>
      </c>
      <c r="R62" s="3274">
        <f t="shared" si="35"/>
        <v>-1.66E-2</v>
      </c>
    </row>
    <row r="63" spans="1:23">
      <c r="A63" s="3278" t="s">
        <v>1184</v>
      </c>
      <c r="B63" s="3274">
        <f t="shared" ref="B63:C65" si="43">B62/(1+O62)</f>
        <v>210.36075887152265</v>
      </c>
      <c r="C63" s="3274">
        <f t="shared" si="43"/>
        <v>187.94361691492554</v>
      </c>
      <c r="D63" s="3274">
        <f t="shared" si="27"/>
        <v>187.94361691492554</v>
      </c>
      <c r="F63" s="3274">
        <f t="shared" ref="F63:G65" si="44">F62/(1+Q62)</f>
        <v>281.70386977288234</v>
      </c>
      <c r="G63" s="3274">
        <f t="shared" si="44"/>
        <v>168.80211511083994</v>
      </c>
      <c r="H63" s="3738">
        <v>2008</v>
      </c>
      <c r="I63" s="3340">
        <v>3</v>
      </c>
      <c r="J63" s="3340">
        <v>1.96</v>
      </c>
      <c r="K63" s="3340">
        <v>2.36</v>
      </c>
      <c r="L63" s="3389">
        <v>1.82</v>
      </c>
      <c r="M63" s="3341">
        <v>2.2200000000000002</v>
      </c>
      <c r="O63" s="3285">
        <f t="shared" si="35"/>
        <v>1.9599999999999999E-2</v>
      </c>
      <c r="P63" s="3274">
        <f t="shared" si="35"/>
        <v>2.3599999999999999E-2</v>
      </c>
      <c r="Q63" s="3274">
        <f t="shared" si="35"/>
        <v>1.8200000000000001E-2</v>
      </c>
      <c r="R63" s="3274">
        <f t="shared" si="35"/>
        <v>2.2200000000000001E-2</v>
      </c>
    </row>
    <row r="64" spans="1:23">
      <c r="A64" s="3278" t="s">
        <v>1185</v>
      </c>
      <c r="B64" s="3274">
        <f t="shared" si="43"/>
        <v>206.31694671589116</v>
      </c>
      <c r="C64" s="3274">
        <f t="shared" si="43"/>
        <v>183.61041121036101</v>
      </c>
      <c r="D64" s="3274">
        <f t="shared" si="27"/>
        <v>183.61041121036101</v>
      </c>
      <c r="F64" s="3274">
        <f t="shared" si="44"/>
        <v>276.66850301795557</v>
      </c>
      <c r="G64" s="3274">
        <f t="shared" si="44"/>
        <v>165.1360938278614</v>
      </c>
      <c r="H64" s="3738">
        <v>2008</v>
      </c>
      <c r="I64" s="3342">
        <v>2</v>
      </c>
      <c r="J64" s="3342">
        <v>4.93</v>
      </c>
      <c r="K64" s="3342">
        <v>7.38</v>
      </c>
      <c r="L64" s="3371">
        <v>3.98</v>
      </c>
      <c r="M64" s="3343">
        <v>6.86</v>
      </c>
      <c r="O64" s="3285">
        <f t="shared" si="35"/>
        <v>4.9299999999999997E-2</v>
      </c>
      <c r="P64" s="3274">
        <f t="shared" si="35"/>
        <v>7.3800000000000004E-2</v>
      </c>
      <c r="Q64" s="3274">
        <f t="shared" si="35"/>
        <v>3.9800000000000002E-2</v>
      </c>
      <c r="R64" s="3274">
        <f t="shared" si="35"/>
        <v>6.8600000000000008E-2</v>
      </c>
    </row>
    <row r="65" spans="1:31" s="3351" customFormat="1" ht="13.5" thickBot="1">
      <c r="A65" s="3278" t="s">
        <v>1186</v>
      </c>
      <c r="B65" s="3351">
        <f t="shared" si="43"/>
        <v>196.62341248059772</v>
      </c>
      <c r="C65" s="3351">
        <f t="shared" si="43"/>
        <v>170.99125648199012</v>
      </c>
      <c r="D65" s="3351">
        <f t="shared" si="27"/>
        <v>170.99125648199012</v>
      </c>
      <c r="F65" s="3351">
        <f t="shared" si="44"/>
        <v>266.07857570490052</v>
      </c>
      <c r="G65" s="3351">
        <f t="shared" si="44"/>
        <v>154.53499328828505</v>
      </c>
      <c r="H65" s="3739">
        <v>2008</v>
      </c>
      <c r="I65" s="3352">
        <v>1</v>
      </c>
      <c r="J65" s="3352">
        <v>4.1399999999999997</v>
      </c>
      <c r="K65" s="3352">
        <v>3.45</v>
      </c>
      <c r="L65" s="3391">
        <v>4.95</v>
      </c>
      <c r="M65" s="3353">
        <v>4.82</v>
      </c>
      <c r="N65" s="3354"/>
      <c r="O65" s="3355">
        <f t="shared" si="35"/>
        <v>4.1399999999999999E-2</v>
      </c>
      <c r="P65" s="3351">
        <f t="shared" si="35"/>
        <v>3.4500000000000003E-2</v>
      </c>
      <c r="Q65" s="3351">
        <f t="shared" si="35"/>
        <v>4.9500000000000002E-2</v>
      </c>
      <c r="R65" s="3351">
        <f t="shared" si="35"/>
        <v>4.82E-2</v>
      </c>
      <c r="S65" s="3354"/>
      <c r="T65" s="3355">
        <f>B65/B66-1</f>
        <v>4.5869215322328349E-2</v>
      </c>
      <c r="U65" s="3351">
        <f>C65/C66-1</f>
        <v>3.6310645345394743E-2</v>
      </c>
      <c r="V65" s="3351">
        <f>F65/F66-1</f>
        <v>4.7553447657088688E-2</v>
      </c>
      <c r="W65" s="3351">
        <f>G65/G66-1</f>
        <v>4.4155360055980086E-2</v>
      </c>
      <c r="X65" s="3354"/>
      <c r="AE65" s="3354"/>
    </row>
    <row r="66" spans="1:31" ht="13.5" thickBot="1">
      <c r="A66" s="3278" t="s">
        <v>1187</v>
      </c>
      <c r="B66" s="3334">
        <v>188</v>
      </c>
      <c r="C66" s="3334">
        <v>165</v>
      </c>
      <c r="D66" s="3334">
        <f t="shared" si="27"/>
        <v>165</v>
      </c>
      <c r="E66" s="3334"/>
      <c r="F66" s="3334">
        <v>254</v>
      </c>
      <c r="G66" s="3335">
        <v>148</v>
      </c>
      <c r="H66" s="3737">
        <v>2007</v>
      </c>
      <c r="I66" s="3356">
        <v>4</v>
      </c>
      <c r="J66" s="3356">
        <v>5.51</v>
      </c>
      <c r="K66" s="3356">
        <v>4.8899999999999997</v>
      </c>
      <c r="L66" s="3392">
        <v>6.43</v>
      </c>
      <c r="M66" s="3357">
        <v>5.36</v>
      </c>
      <c r="O66" s="3358">
        <f t="shared" ref="O66:P69" si="45">B66/B67-1</f>
        <v>4.1339718365245526E-2</v>
      </c>
      <c r="P66" s="3359">
        <f t="shared" si="45"/>
        <v>4.0324492593776018E-2</v>
      </c>
      <c r="Q66" s="3359">
        <f t="shared" ref="Q66:R69" si="46">F66/F67-1</f>
        <v>6.1625555347990968E-2</v>
      </c>
      <c r="R66" s="3359">
        <f t="shared" si="46"/>
        <v>4.6757569250590603E-2</v>
      </c>
    </row>
    <row r="67" spans="1:31">
      <c r="A67" s="3278" t="s">
        <v>1188</v>
      </c>
      <c r="B67" s="3274">
        <f t="shared" ref="B67:C69" si="47">B68+(B$66-B$70)*J67/SUM(J$66:J$69)</f>
        <v>180.5366651097618</v>
      </c>
      <c r="C67" s="3274">
        <f t="shared" si="47"/>
        <v>158.60435967302453</v>
      </c>
      <c r="D67" s="3274">
        <f t="shared" si="27"/>
        <v>158.60435967302453</v>
      </c>
      <c r="F67" s="3274">
        <f t="shared" ref="F67:G69" si="48">F68+(F$66-F$70)*L67/SUM(L$66:L$69)</f>
        <v>239.25573260785075</v>
      </c>
      <c r="G67" s="3274">
        <f t="shared" si="48"/>
        <v>141.38899430740037</v>
      </c>
      <c r="H67" s="3738">
        <v>2007</v>
      </c>
      <c r="I67" s="3340">
        <v>3</v>
      </c>
      <c r="J67" s="3340">
        <v>8.65</v>
      </c>
      <c r="K67" s="3340">
        <v>8.06</v>
      </c>
      <c r="L67" s="3389">
        <v>9.94</v>
      </c>
      <c r="M67" s="3341">
        <v>5.8</v>
      </c>
      <c r="O67" s="3358">
        <f t="shared" si="45"/>
        <v>6.940217571740015E-2</v>
      </c>
      <c r="P67" s="3359">
        <f t="shared" si="45"/>
        <v>7.1197482471153428E-2</v>
      </c>
      <c r="Q67" s="3359">
        <f t="shared" si="46"/>
        <v>0.10529679922579582</v>
      </c>
      <c r="R67" s="3359">
        <f t="shared" si="46"/>
        <v>5.3292245059512133E-2</v>
      </c>
    </row>
    <row r="68" spans="1:31">
      <c r="A68" s="3278" t="s">
        <v>1189</v>
      </c>
      <c r="B68" s="3274">
        <f t="shared" si="47"/>
        <v>168.82017748715555</v>
      </c>
      <c r="C68" s="3274">
        <f t="shared" si="47"/>
        <v>148.06267029972753</v>
      </c>
      <c r="D68" s="3274">
        <f t="shared" si="27"/>
        <v>148.06267029972753</v>
      </c>
      <c r="F68" s="3274">
        <f t="shared" si="48"/>
        <v>216.46288379323747</v>
      </c>
      <c r="G68" s="3274">
        <f t="shared" si="48"/>
        <v>134.23529411764704</v>
      </c>
      <c r="H68" s="3738">
        <v>2007</v>
      </c>
      <c r="I68" s="3342">
        <v>2</v>
      </c>
      <c r="J68" s="3342">
        <v>3.67</v>
      </c>
      <c r="K68" s="3342">
        <v>2.3199999999999998</v>
      </c>
      <c r="L68" s="3371">
        <v>5.0199999999999996</v>
      </c>
      <c r="M68" s="3343">
        <v>6.71</v>
      </c>
      <c r="O68" s="3358">
        <f t="shared" si="45"/>
        <v>3.0339138143848032E-2</v>
      </c>
      <c r="P68" s="3359">
        <f t="shared" si="45"/>
        <v>2.0922341588790472E-2</v>
      </c>
      <c r="Q68" s="3359">
        <f t="shared" si="46"/>
        <v>5.6164796592717003E-2</v>
      </c>
      <c r="R68" s="3359">
        <f t="shared" si="46"/>
        <v>6.5704536723887319E-2</v>
      </c>
    </row>
    <row r="69" spans="1:31">
      <c r="A69" s="3278" t="s">
        <v>1190</v>
      </c>
      <c r="B69" s="3274">
        <f t="shared" si="47"/>
        <v>163.84913591779542</v>
      </c>
      <c r="C69" s="3274">
        <f t="shared" si="47"/>
        <v>145.0283378746594</v>
      </c>
      <c r="D69" s="3274">
        <f t="shared" si="27"/>
        <v>145.0283378746594</v>
      </c>
      <c r="F69" s="3274">
        <f t="shared" si="48"/>
        <v>204.95180722891567</v>
      </c>
      <c r="G69" s="3274">
        <f t="shared" si="48"/>
        <v>125.95920303605313</v>
      </c>
      <c r="H69" s="3739">
        <v>2007</v>
      </c>
      <c r="I69" s="3281">
        <v>1</v>
      </c>
      <c r="J69" s="3281">
        <v>3.58</v>
      </c>
      <c r="K69" s="3281">
        <v>3.08</v>
      </c>
      <c r="L69" s="3371">
        <v>4.34</v>
      </c>
      <c r="M69" s="3345">
        <v>3.21</v>
      </c>
      <c r="O69" s="3360">
        <f t="shared" si="45"/>
        <v>3.0497710174814063E-2</v>
      </c>
      <c r="P69" s="3361">
        <f t="shared" si="45"/>
        <v>2.8569772160704998E-2</v>
      </c>
      <c r="Q69" s="3361">
        <f t="shared" si="46"/>
        <v>5.1034908866234296E-2</v>
      </c>
      <c r="R69" s="3361">
        <f t="shared" si="46"/>
        <v>3.245248390207478E-2</v>
      </c>
      <c r="T69" s="3327">
        <f>B69/B70-1</f>
        <v>3.0497710174814063E-2</v>
      </c>
      <c r="U69" s="3328">
        <f>C69/C70-1</f>
        <v>2.8569772160704998E-2</v>
      </c>
      <c r="V69" s="3328">
        <f>F69/F70-1</f>
        <v>5.1034908866234296E-2</v>
      </c>
      <c r="W69" s="3328">
        <f>G69/G70-1</f>
        <v>3.245248390207478E-2</v>
      </c>
    </row>
    <row r="70" spans="1:31" ht="13.5" thickBot="1">
      <c r="A70" s="3278" t="s">
        <v>1191</v>
      </c>
      <c r="B70" s="3362">
        <v>159</v>
      </c>
      <c r="C70" s="3362">
        <v>141</v>
      </c>
      <c r="D70" s="3362">
        <f t="shared" si="27"/>
        <v>141</v>
      </c>
      <c r="E70" s="3362"/>
      <c r="F70" s="3362">
        <v>195</v>
      </c>
      <c r="G70" s="3363">
        <v>122</v>
      </c>
      <c r="H70" s="3737">
        <v>2006</v>
      </c>
      <c r="I70" s="3348">
        <v>4</v>
      </c>
      <c r="J70" s="3348">
        <v>3.79</v>
      </c>
      <c r="K70" s="3348">
        <v>2.21</v>
      </c>
      <c r="L70" s="3390">
        <v>5.65</v>
      </c>
      <c r="M70" s="3349">
        <v>5.41</v>
      </c>
      <c r="O70" s="3358">
        <f t="shared" ref="O70:P73" si="49">J70/SUM(J$70:J$73)*(B$70/B$74-1)</f>
        <v>7.245466462748526E-2</v>
      </c>
      <c r="P70" s="3359">
        <f t="shared" si="49"/>
        <v>2.3237230038062766E-2</v>
      </c>
      <c r="Q70" s="3359">
        <f t="shared" ref="Q70:R73" si="50">L70/SUM(L$70:L$73)*(F$70/F$74-1)</f>
        <v>0.16146893866323722</v>
      </c>
      <c r="R70" s="3359">
        <f t="shared" si="50"/>
        <v>5.0755230321793784E-2</v>
      </c>
    </row>
    <row r="71" spans="1:31">
      <c r="A71" s="3278" t="s">
        <v>1192</v>
      </c>
      <c r="B71" s="3274">
        <f t="shared" ref="B71:C73" si="51">B72+(B$70-B$74)*J71/SUM(J$70:J$73)</f>
        <v>149.00125628140702</v>
      </c>
      <c r="C71" s="3274">
        <f t="shared" si="51"/>
        <v>137.95592286501378</v>
      </c>
      <c r="D71" s="3274">
        <f t="shared" si="27"/>
        <v>137.95592286501378</v>
      </c>
      <c r="F71" s="3274">
        <f t="shared" ref="F71:G73" si="52">F72+(F$70-F$74)*L71/SUM(L$70:L$73)</f>
        <v>169.97231450719823</v>
      </c>
      <c r="G71" s="3274">
        <f t="shared" si="52"/>
        <v>116.21390374331551</v>
      </c>
      <c r="H71" s="3738">
        <v>2006</v>
      </c>
      <c r="I71" s="3340">
        <v>3</v>
      </c>
      <c r="J71" s="3340">
        <v>0.92</v>
      </c>
      <c r="K71" s="3340">
        <v>1.08</v>
      </c>
      <c r="L71" s="3389">
        <v>0.73</v>
      </c>
      <c r="M71" s="3341">
        <v>1.08</v>
      </c>
      <c r="O71" s="3358">
        <f t="shared" si="49"/>
        <v>1.7587939698492462E-2</v>
      </c>
      <c r="P71" s="3359">
        <f t="shared" si="49"/>
        <v>1.1355750425840628E-2</v>
      </c>
      <c r="Q71" s="3359">
        <f t="shared" si="50"/>
        <v>2.0862358446754544E-2</v>
      </c>
      <c r="R71" s="3359">
        <f t="shared" si="50"/>
        <v>1.0132282578103011E-2</v>
      </c>
    </row>
    <row r="72" spans="1:31">
      <c r="A72" s="3278" t="s">
        <v>1193</v>
      </c>
      <c r="B72" s="3274">
        <f t="shared" si="51"/>
        <v>146.57412060301507</v>
      </c>
      <c r="C72" s="3274">
        <f t="shared" si="51"/>
        <v>136.46831955922866</v>
      </c>
      <c r="D72" s="3274">
        <f t="shared" si="27"/>
        <v>136.46831955922866</v>
      </c>
      <c r="F72" s="3274">
        <f t="shared" si="52"/>
        <v>166.73864894795128</v>
      </c>
      <c r="G72" s="3274">
        <f t="shared" si="52"/>
        <v>115.05882352941177</v>
      </c>
      <c r="H72" s="3738">
        <v>2006</v>
      </c>
      <c r="I72" s="3342">
        <v>2</v>
      </c>
      <c r="J72" s="3342">
        <v>0.96</v>
      </c>
      <c r="K72" s="3342">
        <v>0.25</v>
      </c>
      <c r="L72" s="3371">
        <v>1.9</v>
      </c>
      <c r="M72" s="3343">
        <v>0.95</v>
      </c>
      <c r="O72" s="3358">
        <f t="shared" si="49"/>
        <v>1.8352632728861701E-2</v>
      </c>
      <c r="P72" s="3359">
        <f t="shared" si="49"/>
        <v>2.6286459319075526E-3</v>
      </c>
      <c r="Q72" s="3359">
        <f t="shared" si="50"/>
        <v>5.4299289107991269E-2</v>
      </c>
      <c r="R72" s="3359">
        <f t="shared" si="50"/>
        <v>8.9126559714794995E-3</v>
      </c>
    </row>
    <row r="73" spans="1:31">
      <c r="A73" s="3278" t="s">
        <v>1194</v>
      </c>
      <c r="B73" s="3274">
        <f t="shared" si="51"/>
        <v>144.04145728643215</v>
      </c>
      <c r="C73" s="3274">
        <f t="shared" si="51"/>
        <v>136.12396694214877</v>
      </c>
      <c r="D73" s="3274">
        <f t="shared" si="27"/>
        <v>136.12396694214877</v>
      </c>
      <c r="F73" s="3274">
        <f t="shared" si="52"/>
        <v>158.32225913621264</v>
      </c>
      <c r="G73" s="3274">
        <f t="shared" si="52"/>
        <v>114.04278074866311</v>
      </c>
      <c r="H73" s="3739">
        <v>2006</v>
      </c>
      <c r="I73" s="3281">
        <v>1</v>
      </c>
      <c r="J73" s="3281">
        <v>2.29</v>
      </c>
      <c r="K73" s="3281">
        <v>3.72</v>
      </c>
      <c r="L73" s="3371">
        <v>0.75</v>
      </c>
      <c r="M73" s="3345">
        <v>0.04</v>
      </c>
      <c r="O73" s="3360">
        <f t="shared" si="49"/>
        <v>4.3778675988638847E-2</v>
      </c>
      <c r="P73" s="3361">
        <f t="shared" si="49"/>
        <v>3.9114251466784385E-2</v>
      </c>
      <c r="Q73" s="3361">
        <f t="shared" si="50"/>
        <v>2.1433929911049188E-2</v>
      </c>
      <c r="R73" s="3361">
        <f t="shared" si="50"/>
        <v>3.7526972511492629E-4</v>
      </c>
      <c r="T73" s="3327">
        <f>B73/B74-1</f>
        <v>4.3778675988638716E-2</v>
      </c>
      <c r="U73" s="3328">
        <f>C73/C74-1</f>
        <v>3.91142514667846E-2</v>
      </c>
      <c r="V73" s="3328">
        <f>F73/F74-1</f>
        <v>2.143392991104931E-2</v>
      </c>
      <c r="W73" s="3328">
        <f>G73/G74-1</f>
        <v>3.7526972511492396E-4</v>
      </c>
    </row>
    <row r="74" spans="1:31" ht="13.5" thickBot="1">
      <c r="A74" s="3278" t="s">
        <v>1195</v>
      </c>
      <c r="B74" s="3362">
        <v>138</v>
      </c>
      <c r="C74" s="3362">
        <v>131</v>
      </c>
      <c r="D74" s="3362">
        <f t="shared" si="27"/>
        <v>131</v>
      </c>
      <c r="E74" s="3362"/>
      <c r="F74" s="3362">
        <v>155</v>
      </c>
      <c r="G74" s="3363">
        <v>114</v>
      </c>
      <c r="H74" s="3737">
        <v>2005</v>
      </c>
      <c r="I74" s="3348">
        <v>4</v>
      </c>
      <c r="J74" s="3348">
        <v>3.29</v>
      </c>
      <c r="K74" s="3348">
        <v>1.44</v>
      </c>
      <c r="L74" s="3390">
        <v>0.66</v>
      </c>
      <c r="M74" s="3349">
        <v>7.78</v>
      </c>
      <c r="O74" s="3358">
        <f t="shared" ref="O74:P77" si="53">J74/SUM(J$74:J$77)*(B$74/B$78-1)</f>
        <v>9.9404603216919935E-2</v>
      </c>
      <c r="P74" s="3359">
        <f t="shared" si="53"/>
        <v>4.7636550760861554E-2</v>
      </c>
      <c r="Q74" s="3359">
        <f t="shared" ref="Q74:R77" si="54">L74/SUM(L$74:L$77)*(F$74/F$78-1)</f>
        <v>8.3756345177664976E-2</v>
      </c>
      <c r="R74" s="3359">
        <f t="shared" si="54"/>
        <v>5.2148766661559584E-2</v>
      </c>
    </row>
    <row r="75" spans="1:31">
      <c r="A75" s="3278" t="s">
        <v>1196</v>
      </c>
      <c r="B75" s="3274">
        <f t="shared" ref="B75:C77" si="55">B76+(B$74-B$78)*J75/SUM(J$74:J$77)</f>
        <v>125.9720430107527</v>
      </c>
      <c r="C75" s="3274">
        <f t="shared" si="55"/>
        <v>125.1883408071749</v>
      </c>
      <c r="D75" s="3274">
        <f t="shared" si="27"/>
        <v>125.1883408071749</v>
      </c>
      <c r="F75" s="3274">
        <f t="shared" ref="F75:G77" si="56">F76+(F$74-F$78)*L75/SUM(L$74:L$77)</f>
        <v>144.61421319796952</v>
      </c>
      <c r="G75" s="3274">
        <f t="shared" si="56"/>
        <v>108.42008196721311</v>
      </c>
      <c r="H75" s="3738">
        <v>2005</v>
      </c>
      <c r="I75" s="3340">
        <v>3</v>
      </c>
      <c r="J75" s="3340">
        <v>0.46</v>
      </c>
      <c r="K75" s="3340">
        <v>0.32</v>
      </c>
      <c r="L75" s="3389">
        <v>0.42</v>
      </c>
      <c r="M75" s="3341">
        <v>0.64</v>
      </c>
      <c r="O75" s="3358">
        <f t="shared" si="53"/>
        <v>1.3898515951301874E-2</v>
      </c>
      <c r="P75" s="3359">
        <f t="shared" si="53"/>
        <v>1.0585900169080346E-2</v>
      </c>
      <c r="Q75" s="3359">
        <f t="shared" si="54"/>
        <v>5.3299492385786795E-2</v>
      </c>
      <c r="R75" s="3359">
        <f t="shared" si="54"/>
        <v>4.2898728359123568E-3</v>
      </c>
    </row>
    <row r="76" spans="1:31">
      <c r="A76" s="3278" t="s">
        <v>1197</v>
      </c>
      <c r="B76" s="3274">
        <f t="shared" si="55"/>
        <v>124.29032258064517</v>
      </c>
      <c r="C76" s="3274">
        <f t="shared" si="55"/>
        <v>123.8968609865471</v>
      </c>
      <c r="D76" s="3274">
        <f t="shared" si="27"/>
        <v>123.8968609865471</v>
      </c>
      <c r="F76" s="3274">
        <f t="shared" si="56"/>
        <v>138.00507614213197</v>
      </c>
      <c r="G76" s="3274">
        <f t="shared" si="56"/>
        <v>107.96106557377048</v>
      </c>
      <c r="H76" s="3738">
        <v>2005</v>
      </c>
      <c r="I76" s="3342">
        <v>2</v>
      </c>
      <c r="J76" s="3342">
        <v>0.47</v>
      </c>
      <c r="K76" s="3342">
        <v>0.1</v>
      </c>
      <c r="L76" s="3371">
        <v>0.52</v>
      </c>
      <c r="M76" s="3343">
        <v>0.79</v>
      </c>
      <c r="O76" s="3358">
        <f t="shared" si="53"/>
        <v>1.420065760241713E-2</v>
      </c>
      <c r="P76" s="3359">
        <f t="shared" si="53"/>
        <v>3.3080938028376083E-3</v>
      </c>
      <c r="Q76" s="3359">
        <f t="shared" si="54"/>
        <v>6.598984771573603E-2</v>
      </c>
      <c r="R76" s="3359">
        <f t="shared" si="54"/>
        <v>5.2953117818293153E-3</v>
      </c>
    </row>
    <row r="77" spans="1:31">
      <c r="A77" s="3278" t="s">
        <v>1198</v>
      </c>
      <c r="B77" s="3274">
        <f t="shared" si="55"/>
        <v>122.57204301075269</v>
      </c>
      <c r="C77" s="3274">
        <f t="shared" si="55"/>
        <v>123.4932735426009</v>
      </c>
      <c r="D77" s="3274">
        <f t="shared" si="27"/>
        <v>123.4932735426009</v>
      </c>
      <c r="F77" s="3274">
        <f t="shared" si="56"/>
        <v>129.82233502538071</v>
      </c>
      <c r="G77" s="3274">
        <f t="shared" si="56"/>
        <v>107.39446721311475</v>
      </c>
      <c r="H77" s="3739">
        <v>2005</v>
      </c>
      <c r="I77" s="3281">
        <v>1</v>
      </c>
      <c r="J77" s="3281">
        <v>0.43</v>
      </c>
      <c r="K77" s="3281">
        <v>0.37</v>
      </c>
      <c r="L77" s="3371">
        <v>0.37</v>
      </c>
      <c r="M77" s="3345">
        <v>0.55000000000000004</v>
      </c>
      <c r="O77" s="3360">
        <f t="shared" si="53"/>
        <v>1.2992090997956099E-2</v>
      </c>
      <c r="P77" s="3361">
        <f t="shared" si="53"/>
        <v>1.2239947070499151E-2</v>
      </c>
      <c r="Q77" s="3361">
        <f t="shared" si="54"/>
        <v>4.6954314720812178E-2</v>
      </c>
      <c r="R77" s="3361">
        <f t="shared" si="54"/>
        <v>3.6866094683621815E-3</v>
      </c>
      <c r="T77" s="3327">
        <f>B77/B78-1</f>
        <v>1.2992090997956174E-2</v>
      </c>
      <c r="U77" s="3328">
        <f>C77/C78-1</f>
        <v>1.2239947070499246E-2</v>
      </c>
      <c r="V77" s="3328">
        <f>F77/F78-1</f>
        <v>4.695431472081224E-2</v>
      </c>
      <c r="W77" s="3328">
        <f>G77/G78-1</f>
        <v>3.6866094683620787E-3</v>
      </c>
    </row>
    <row r="78" spans="1:31" ht="13.5" thickBot="1">
      <c r="A78" s="3278" t="s">
        <v>1199</v>
      </c>
      <c r="B78" s="3346">
        <v>121</v>
      </c>
      <c r="C78" s="3346">
        <v>122</v>
      </c>
      <c r="D78" s="3346">
        <f t="shared" si="27"/>
        <v>122</v>
      </c>
      <c r="E78" s="3346"/>
      <c r="F78" s="3346">
        <v>124</v>
      </c>
      <c r="G78" s="3347">
        <v>107</v>
      </c>
      <c r="H78" s="3737">
        <v>2004</v>
      </c>
      <c r="I78" s="3348">
        <v>4</v>
      </c>
      <c r="J78" s="3348">
        <v>0.33</v>
      </c>
      <c r="K78" s="3348">
        <v>0.5</v>
      </c>
      <c r="L78" s="3390">
        <v>0.5</v>
      </c>
      <c r="M78" s="3349">
        <v>0</v>
      </c>
      <c r="O78" s="3358">
        <f t="shared" ref="O78:P81" si="57">J78/SUM(J$78:J$81)*(B$78/B$82-1)</f>
        <v>1.3391770148526898E-2</v>
      </c>
      <c r="P78" s="3359">
        <f t="shared" si="57"/>
        <v>1.063264221158958E-2</v>
      </c>
      <c r="Q78" s="3359">
        <f t="shared" ref="Q78:R81" si="58">L78/SUM(L$78:L$81)*(F$78/F$82-1)</f>
        <v>2.2244466688911134E-2</v>
      </c>
      <c r="R78" s="3359">
        <f t="shared" si="58"/>
        <v>0</v>
      </c>
    </row>
    <row r="79" spans="1:31">
      <c r="A79" s="3278" t="s">
        <v>1200</v>
      </c>
      <c r="B79" s="3274">
        <f t="shared" ref="B79:C81" si="59">B80+(B$78-B$82)*J79/SUM(J$78:J$81)</f>
        <v>119.51351351351352</v>
      </c>
      <c r="C79" s="3274">
        <f t="shared" si="59"/>
        <v>120.7878787878788</v>
      </c>
      <c r="D79" s="3274">
        <f t="shared" si="27"/>
        <v>120.7878787878788</v>
      </c>
      <c r="F79" s="3274">
        <f t="shared" ref="F79:G81" si="60">F80+(F$78-F$82)*L79/SUM(L$78:L$81)</f>
        <v>121.5975975975976</v>
      </c>
      <c r="G79" s="3274">
        <f t="shared" si="60"/>
        <v>107</v>
      </c>
      <c r="H79" s="3738">
        <v>2004</v>
      </c>
      <c r="I79" s="3340">
        <v>3</v>
      </c>
      <c r="J79" s="3340">
        <v>0.56000000000000005</v>
      </c>
      <c r="K79" s="3340">
        <v>0.8</v>
      </c>
      <c r="L79" s="3389">
        <v>0.83</v>
      </c>
      <c r="M79" s="3341">
        <v>0.06</v>
      </c>
      <c r="O79" s="3358">
        <f t="shared" si="57"/>
        <v>2.2725428130833527E-2</v>
      </c>
      <c r="P79" s="3359">
        <f t="shared" si="57"/>
        <v>1.7012227538543329E-2</v>
      </c>
      <c r="Q79" s="3359">
        <f t="shared" si="58"/>
        <v>3.6925814703592477E-2</v>
      </c>
      <c r="R79" s="3359">
        <f t="shared" si="58"/>
        <v>2.8846153846153744E-2</v>
      </c>
    </row>
    <row r="80" spans="1:31">
      <c r="A80" s="3278" t="s">
        <v>1201</v>
      </c>
      <c r="B80" s="3274">
        <f t="shared" si="59"/>
        <v>116.99099099099099</v>
      </c>
      <c r="C80" s="3274">
        <f t="shared" si="59"/>
        <v>118.84848484848486</v>
      </c>
      <c r="D80" s="3274">
        <f t="shared" si="27"/>
        <v>118.84848484848486</v>
      </c>
      <c r="F80" s="3274">
        <f t="shared" si="60"/>
        <v>117.60960960960961</v>
      </c>
      <c r="G80" s="3274">
        <f t="shared" si="60"/>
        <v>104</v>
      </c>
      <c r="H80" s="3738">
        <v>2004</v>
      </c>
      <c r="I80" s="3342">
        <v>2</v>
      </c>
      <c r="J80" s="3342">
        <v>1</v>
      </c>
      <c r="K80" s="3342">
        <v>1.5</v>
      </c>
      <c r="L80" s="3371">
        <v>1.5</v>
      </c>
      <c r="M80" s="3343">
        <v>0</v>
      </c>
      <c r="O80" s="3358">
        <f t="shared" si="57"/>
        <v>4.0581121662202721E-2</v>
      </c>
      <c r="P80" s="3359">
        <f t="shared" si="57"/>
        <v>3.1897926634768738E-2</v>
      </c>
      <c r="Q80" s="3359">
        <f t="shared" si="58"/>
        <v>6.6733400066733395E-2</v>
      </c>
      <c r="R80" s="3359">
        <f t="shared" si="58"/>
        <v>0</v>
      </c>
    </row>
    <row r="81" spans="1:31" s="3351" customFormat="1" ht="13.5" thickBot="1">
      <c r="A81" s="3278" t="s">
        <v>1202</v>
      </c>
      <c r="B81" s="3351">
        <f t="shared" si="59"/>
        <v>112.48648648648648</v>
      </c>
      <c r="C81" s="3351">
        <f t="shared" si="59"/>
        <v>115.21212121212122</v>
      </c>
      <c r="D81" s="3351">
        <f t="shared" si="27"/>
        <v>115.21212121212122</v>
      </c>
      <c r="F81" s="3351">
        <f t="shared" si="60"/>
        <v>110.4024024024024</v>
      </c>
      <c r="G81" s="3351">
        <f t="shared" si="60"/>
        <v>104</v>
      </c>
      <c r="H81" s="3739">
        <v>2004</v>
      </c>
      <c r="I81" s="3352">
        <v>1</v>
      </c>
      <c r="J81" s="3352">
        <v>0.33</v>
      </c>
      <c r="K81" s="3352">
        <v>0.5</v>
      </c>
      <c r="L81" s="3391">
        <v>0.5</v>
      </c>
      <c r="M81" s="3353">
        <v>0</v>
      </c>
      <c r="N81" s="3354"/>
      <c r="O81" s="3364">
        <f t="shared" si="57"/>
        <v>1.3391770148526898E-2</v>
      </c>
      <c r="P81" s="3365">
        <f t="shared" si="57"/>
        <v>1.063264221158958E-2</v>
      </c>
      <c r="Q81" s="3365">
        <f t="shared" si="58"/>
        <v>2.2244466688911134E-2</v>
      </c>
      <c r="R81" s="3365">
        <f t="shared" si="58"/>
        <v>0</v>
      </c>
      <c r="S81" s="3354"/>
      <c r="T81" s="3355">
        <f>B81/B82-1</f>
        <v>1.3391770148526883E-2</v>
      </c>
      <c r="U81" s="3351">
        <f>C81/C82-1</f>
        <v>1.063264221158966E-2</v>
      </c>
      <c r="V81" s="3351">
        <f>F81/F82-1</f>
        <v>2.2244466688911224E-2</v>
      </c>
      <c r="W81" s="3351">
        <f>G81/G82-1</f>
        <v>0</v>
      </c>
      <c r="X81" s="3354"/>
      <c r="AE81" s="3354"/>
    </row>
    <row r="82" spans="1:31" ht="13.5" thickBot="1">
      <c r="A82" s="3278" t="s">
        <v>1203</v>
      </c>
      <c r="B82" s="3366">
        <v>111</v>
      </c>
      <c r="C82" s="3366">
        <v>114</v>
      </c>
      <c r="D82" s="3366">
        <f t="shared" si="27"/>
        <v>114</v>
      </c>
      <c r="E82" s="3366"/>
      <c r="F82" s="3366">
        <v>108</v>
      </c>
      <c r="G82" s="3367">
        <v>104</v>
      </c>
      <c r="H82" s="3737">
        <v>2003</v>
      </c>
      <c r="I82" s="3356">
        <v>4</v>
      </c>
    </row>
    <row r="83" spans="1:31">
      <c r="A83" s="3278" t="s">
        <v>1204</v>
      </c>
      <c r="B83" s="3359">
        <f t="shared" ref="B83:C85" si="61">B84+(B$82-B$86)/4</f>
        <v>109.75</v>
      </c>
      <c r="C83" s="3359">
        <f t="shared" si="61"/>
        <v>112.25</v>
      </c>
      <c r="D83" s="3359">
        <f t="shared" si="27"/>
        <v>112.25</v>
      </c>
      <c r="E83" s="3359"/>
      <c r="F83" s="3359">
        <f t="shared" ref="F83:G85" si="62">F84+(F$82-F$86)/4</f>
        <v>107.25</v>
      </c>
      <c r="G83" s="3359">
        <f t="shared" si="62"/>
        <v>103.5</v>
      </c>
      <c r="H83" s="3738">
        <v>2003</v>
      </c>
      <c r="I83" s="3340">
        <v>3</v>
      </c>
    </row>
    <row r="84" spans="1:31">
      <c r="A84" s="3278" t="s">
        <v>1205</v>
      </c>
      <c r="B84" s="3359">
        <f t="shared" si="61"/>
        <v>108.5</v>
      </c>
      <c r="C84" s="3359">
        <f t="shared" si="61"/>
        <v>110.5</v>
      </c>
      <c r="D84" s="3359">
        <f t="shared" si="27"/>
        <v>110.5</v>
      </c>
      <c r="E84" s="3359"/>
      <c r="F84" s="3359">
        <f t="shared" si="62"/>
        <v>106.5</v>
      </c>
      <c r="G84" s="3359">
        <f t="shared" si="62"/>
        <v>103</v>
      </c>
      <c r="H84" s="3738">
        <v>2003</v>
      </c>
      <c r="I84" s="3342">
        <v>2</v>
      </c>
    </row>
    <row r="85" spans="1:31" ht="13.5" thickBot="1">
      <c r="A85" s="3278" t="s">
        <v>1206</v>
      </c>
      <c r="B85" s="3359">
        <f t="shared" si="61"/>
        <v>107.25</v>
      </c>
      <c r="C85" s="3359">
        <f t="shared" si="61"/>
        <v>108.75</v>
      </c>
      <c r="D85" s="3359">
        <f t="shared" si="27"/>
        <v>108.75</v>
      </c>
      <c r="E85" s="3359"/>
      <c r="F85" s="3359">
        <f t="shared" si="62"/>
        <v>105.75</v>
      </c>
      <c r="G85" s="3359">
        <f t="shared" si="62"/>
        <v>102.5</v>
      </c>
      <c r="H85" s="3739">
        <v>2003</v>
      </c>
      <c r="I85" s="3368">
        <v>1</v>
      </c>
    </row>
    <row r="86" spans="1:31" ht="13.5" thickBot="1">
      <c r="A86" s="3278" t="s">
        <v>1207</v>
      </c>
      <c r="B86" s="3346">
        <v>106</v>
      </c>
      <c r="C86" s="3346">
        <v>107</v>
      </c>
      <c r="D86" s="3346">
        <f t="shared" si="27"/>
        <v>107</v>
      </c>
      <c r="E86" s="3346"/>
      <c r="F86" s="3346">
        <v>105</v>
      </c>
      <c r="G86" s="3347">
        <v>102</v>
      </c>
      <c r="H86" s="3737">
        <v>2002</v>
      </c>
      <c r="I86" s="3348">
        <v>4</v>
      </c>
    </row>
    <row r="87" spans="1:31">
      <c r="A87" s="3278" t="s">
        <v>1208</v>
      </c>
      <c r="B87" s="3359">
        <f t="shared" ref="B87:C89" si="63">B88+(B$86-B$90)/4</f>
        <v>105</v>
      </c>
      <c r="C87" s="3359">
        <f t="shared" si="63"/>
        <v>106</v>
      </c>
      <c r="D87" s="3359">
        <f t="shared" si="27"/>
        <v>106</v>
      </c>
      <c r="E87" s="3359"/>
      <c r="F87" s="3359">
        <f t="shared" ref="F87:G89" si="64">F88+(F$86-F$90)/4</f>
        <v>104.5</v>
      </c>
      <c r="G87" s="3359">
        <f t="shared" si="64"/>
        <v>101.5</v>
      </c>
      <c r="H87" s="3738">
        <v>2002</v>
      </c>
      <c r="I87" s="3340">
        <v>3</v>
      </c>
    </row>
    <row r="88" spans="1:31">
      <c r="A88" s="3278" t="s">
        <v>1209</v>
      </c>
      <c r="B88" s="3359">
        <f t="shared" si="63"/>
        <v>104</v>
      </c>
      <c r="C88" s="3359">
        <f t="shared" si="63"/>
        <v>105</v>
      </c>
      <c r="D88" s="3359">
        <f t="shared" si="27"/>
        <v>105</v>
      </c>
      <c r="E88" s="3359"/>
      <c r="F88" s="3359">
        <f t="shared" si="64"/>
        <v>104</v>
      </c>
      <c r="G88" s="3359">
        <f t="shared" si="64"/>
        <v>101</v>
      </c>
      <c r="H88" s="3738">
        <v>2002</v>
      </c>
      <c r="I88" s="3342">
        <v>2</v>
      </c>
    </row>
    <row r="89" spans="1:31" s="3370" customFormat="1" ht="13.5" thickBot="1">
      <c r="A89" s="3369" t="s">
        <v>1210</v>
      </c>
      <c r="B89" s="3370">
        <f t="shared" si="63"/>
        <v>103</v>
      </c>
      <c r="C89" s="3370">
        <f t="shared" si="63"/>
        <v>104</v>
      </c>
      <c r="D89" s="3370">
        <f t="shared" si="27"/>
        <v>104</v>
      </c>
      <c r="F89" s="3370">
        <f t="shared" si="64"/>
        <v>103.5</v>
      </c>
      <c r="G89" s="3370">
        <f t="shared" si="64"/>
        <v>100.5</v>
      </c>
      <c r="H89" s="3739">
        <v>2002</v>
      </c>
      <c r="I89" s="3371">
        <v>1</v>
      </c>
      <c r="N89" s="3284"/>
      <c r="O89" s="3372"/>
      <c r="S89" s="3284"/>
      <c r="T89" s="3372"/>
      <c r="X89" s="3284"/>
      <c r="AE89" s="3284"/>
    </row>
    <row r="90" spans="1:31" ht="13.5" thickBot="1">
      <c r="B90" s="3373">
        <v>102</v>
      </c>
      <c r="C90" s="3374">
        <v>103</v>
      </c>
      <c r="D90" s="3374">
        <f t="shared" si="27"/>
        <v>103</v>
      </c>
      <c r="E90" s="3374"/>
      <c r="F90" s="3374">
        <v>103</v>
      </c>
      <c r="G90" s="3375">
        <v>100</v>
      </c>
    </row>
    <row r="91" spans="1:31">
      <c r="H91" s="3274"/>
    </row>
    <row r="92" spans="1:31" s="3377" customFormat="1">
      <c r="A92" s="3376" t="s">
        <v>1211</v>
      </c>
      <c r="F92" s="3274"/>
      <c r="G92" s="3274"/>
      <c r="H92" s="3274"/>
      <c r="I92" s="3274"/>
      <c r="L92" s="3393"/>
      <c r="N92" s="3378"/>
      <c r="O92" s="3379"/>
      <c r="S92" s="3378"/>
      <c r="T92" s="3379"/>
      <c r="X92" s="3378"/>
      <c r="AE92" s="3378"/>
    </row>
    <row r="93" spans="1:31" s="3377" customFormat="1">
      <c r="A93" s="3377" t="s">
        <v>1212</v>
      </c>
      <c r="F93" s="3274"/>
      <c r="G93" s="3274"/>
      <c r="H93" s="3274"/>
      <c r="I93" s="3274"/>
      <c r="L93" s="3393"/>
      <c r="N93" s="3378"/>
      <c r="O93" s="3379"/>
      <c r="S93" s="3378"/>
      <c r="T93" s="3379"/>
      <c r="X93" s="3378"/>
      <c r="AE93" s="3378"/>
    </row>
    <row r="94" spans="1:31" s="3377" customFormat="1">
      <c r="A94" s="3377" t="s">
        <v>1213</v>
      </c>
      <c r="F94" s="3274"/>
      <c r="G94" s="3274"/>
      <c r="H94" s="3274"/>
      <c r="I94" s="3274"/>
      <c r="L94" s="3393"/>
      <c r="N94" s="3378"/>
      <c r="O94" s="3379"/>
      <c r="S94" s="3378"/>
      <c r="T94" s="3379"/>
      <c r="X94" s="3378"/>
      <c r="AE94" s="3378"/>
    </row>
    <row r="95" spans="1:31" s="3377" customFormat="1">
      <c r="A95" s="3377" t="s">
        <v>1214</v>
      </c>
      <c r="F95" s="3274"/>
      <c r="G95" s="3274"/>
      <c r="H95" s="3274"/>
      <c r="I95" s="3274"/>
      <c r="L95" s="3393"/>
      <c r="N95" s="3378"/>
      <c r="O95" s="3379"/>
      <c r="S95" s="3378"/>
      <c r="T95" s="3379"/>
      <c r="X95" s="3378"/>
      <c r="AE95" s="3378"/>
    </row>
    <row r="96" spans="1:31">
      <c r="H96" s="3274"/>
    </row>
    <row r="97" spans="8:8">
      <c r="H97" s="3274"/>
    </row>
    <row r="98" spans="8:8">
      <c r="H98" s="3274"/>
    </row>
    <row r="99" spans="8:8">
      <c r="H99" s="3274"/>
    </row>
    <row r="100" spans="8:8">
      <c r="H100" s="3274"/>
    </row>
    <row r="101" spans="8:8">
      <c r="H101" s="3274"/>
    </row>
    <row r="102" spans="8:8">
      <c r="H102" s="3274"/>
    </row>
    <row r="103" spans="8:8">
      <c r="H103" s="3274"/>
    </row>
    <row r="104" spans="8:8">
      <c r="H104" s="3274"/>
    </row>
    <row r="105" spans="8:8">
      <c r="H105" s="3274"/>
    </row>
    <row r="106" spans="8:8">
      <c r="H106" s="3274"/>
    </row>
    <row r="107" spans="8:8">
      <c r="H107" s="3274"/>
    </row>
    <row r="108" spans="8:8">
      <c r="H108" s="3274"/>
    </row>
    <row r="109" spans="8:8">
      <c r="H109" s="3274"/>
    </row>
    <row r="110" spans="8:8">
      <c r="H110" s="3274"/>
    </row>
    <row r="111" spans="8:8">
      <c r="H111" s="3274"/>
    </row>
    <row r="112" spans="8:8">
      <c r="H112" s="3274"/>
    </row>
    <row r="113" spans="8:20">
      <c r="H113" s="3274"/>
    </row>
    <row r="114" spans="8:20">
      <c r="H114" s="3274"/>
    </row>
    <row r="115" spans="8:20">
      <c r="H115" s="3274"/>
    </row>
    <row r="116" spans="8:20">
      <c r="H116" s="3274"/>
    </row>
    <row r="117" spans="8:20">
      <c r="H117" s="3274"/>
    </row>
    <row r="118" spans="8:20">
      <c r="H118" s="3274"/>
    </row>
    <row r="119" spans="8:20">
      <c r="H119" s="3274"/>
      <c r="T119" s="3274"/>
    </row>
    <row r="120" spans="8:20">
      <c r="H120" s="3274"/>
      <c r="T120" s="3274"/>
    </row>
    <row r="121" spans="8:20">
      <c r="H121" s="3274"/>
      <c r="T121" s="3274"/>
    </row>
    <row r="122" spans="8:20">
      <c r="H122" s="3274"/>
      <c r="T122" s="3274"/>
    </row>
    <row r="123" spans="8:20">
      <c r="H123" s="3274"/>
      <c r="T123" s="3274"/>
    </row>
    <row r="124" spans="8:20">
      <c r="H124" s="3274"/>
      <c r="T124" s="3274"/>
    </row>
  </sheetData>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22:H25"/>
    <mergeCell ref="H26:H29"/>
    <mergeCell ref="H30:H33"/>
    <mergeCell ref="H34:H37"/>
    <mergeCell ref="H42:H4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51" t="s">
        <v>1150</v>
      </c>
      <c r="C1" s="3751"/>
      <c r="D1" s="3751"/>
      <c r="E1" s="3751"/>
      <c r="F1" s="3751"/>
      <c r="G1" s="3747" t="s">
        <v>1151</v>
      </c>
      <c r="H1" s="3747"/>
      <c r="I1" s="3747"/>
      <c r="J1" s="3747"/>
      <c r="K1" s="3747"/>
      <c r="L1" s="3747"/>
      <c r="N1" s="3747" t="s">
        <v>1152</v>
      </c>
      <c r="O1" s="3747"/>
      <c r="P1" s="3747"/>
      <c r="Q1" s="3747"/>
      <c r="R1" s="1441"/>
      <c r="S1" s="3747" t="s">
        <v>1153</v>
      </c>
      <c r="T1" s="3747"/>
      <c r="U1" s="3747"/>
      <c r="V1" s="3747"/>
      <c r="X1" s="3746" t="s">
        <v>1154</v>
      </c>
      <c r="Y1" s="3747"/>
      <c r="Z1" s="3747"/>
      <c r="AA1" s="3747"/>
      <c r="AB1" s="3747"/>
      <c r="AD1" s="3746" t="s">
        <v>1155</v>
      </c>
      <c r="AE1" s="3747"/>
      <c r="AF1" s="3747"/>
      <c r="AG1" s="3747"/>
      <c r="AH1" s="3747"/>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752">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749"/>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749"/>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750"/>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748">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749"/>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749"/>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750"/>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748">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749"/>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749"/>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750"/>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753">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754"/>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754"/>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755"/>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748">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749"/>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749"/>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750"/>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748">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749">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749">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750">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748">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749">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749">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750">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748">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749">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749">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750">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748">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749">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749">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750">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748">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749">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749">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750">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748">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749">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749">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750">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748">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749">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749">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750">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748">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749">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749">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750">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748">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749">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749">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750">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748">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749">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749">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750">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757" t="s">
        <v>3007</v>
      </c>
      <c r="D1" s="3758"/>
      <c r="E1" s="3758"/>
      <c r="F1" s="3758"/>
      <c r="G1" s="3758"/>
      <c r="H1" s="3758"/>
      <c r="I1" s="3758"/>
      <c r="J1" s="3758"/>
      <c r="K1" s="3758"/>
      <c r="L1" s="3758"/>
      <c r="M1" s="3758"/>
      <c r="N1" s="3758"/>
      <c r="O1" s="3758"/>
      <c r="P1" s="3758"/>
      <c r="Q1" s="3758"/>
      <c r="R1" s="3758"/>
      <c r="S1" s="3759"/>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508" t="s">
        <v>33</v>
      </c>
      <c r="D22" s="3509"/>
      <c r="E22" s="3509"/>
      <c r="F22" s="3509"/>
      <c r="G22" s="3509"/>
      <c r="H22" s="3509"/>
      <c r="I22" s="3509"/>
      <c r="J22" s="3509"/>
      <c r="K22" s="3509"/>
      <c r="L22" s="3509"/>
      <c r="M22" s="3509"/>
      <c r="N22" s="3509"/>
      <c r="O22" s="3509"/>
      <c r="P22" s="3509"/>
      <c r="Q22" s="3756"/>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646" t="s">
        <v>121</v>
      </c>
    </row>
    <row r="43" spans="1:7" ht="13.5" customHeight="1">
      <c r="A43" s="947" t="s">
        <v>792</v>
      </c>
      <c r="B43" s="254" t="s">
        <v>1064</v>
      </c>
      <c r="C43" s="277">
        <f ca="1">ROUND(IF('数据-取费表'!B22&lt;=1,C39*F22*'数据-取费表'!B21/2,C39*(POWER((1+F22),'数据-取费表'!B21/2)-1)),0)</f>
        <v>9</v>
      </c>
      <c r="D43" s="277"/>
      <c r="E43" s="277"/>
      <c r="F43" s="278"/>
      <c r="G43" s="3647"/>
    </row>
    <row r="44" spans="1:7" ht="13.5" customHeight="1">
      <c r="A44" s="947" t="s">
        <v>793</v>
      </c>
      <c r="B44" s="254" t="s">
        <v>1066</v>
      </c>
      <c r="C44" s="277">
        <f ca="1">ROUND(IF('数据-取费表'!B22&lt;=1,C40*F22*'数据-取费表'!B21/2,C40*(POWER((1+F22),'数据-取费表'!B21/2)-1)),4)</f>
        <v>1.4E-3</v>
      </c>
      <c r="D44" s="277"/>
      <c r="E44" s="277"/>
      <c r="F44" s="278"/>
      <c r="G44" s="3648"/>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760" t="s">
        <v>156</v>
      </c>
      <c r="B1" s="3760"/>
      <c r="C1" s="3760"/>
      <c r="D1" s="3760"/>
      <c r="E1" s="3760"/>
      <c r="F1" s="376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761" t="s">
        <v>169</v>
      </c>
      <c r="B2" s="3761"/>
      <c r="C2" s="3761"/>
      <c r="D2" s="3761"/>
      <c r="E2" s="3761"/>
      <c r="F2" s="376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76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76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05" t="str">
        <f>IF(项目基本情况!B9="房地产市场价值","估价结果一览表","结果表-2")</f>
        <v>估价结果一览表</v>
      </c>
      <c r="B1" s="3405"/>
      <c r="C1" s="3405"/>
      <c r="D1" s="3405"/>
      <c r="E1" s="3405"/>
      <c r="F1" s="3405"/>
      <c r="G1" s="3405"/>
      <c r="H1" s="3405"/>
      <c r="I1" s="3405"/>
    </row>
    <row r="2" spans="1:9" ht="30" customHeight="1" thickTop="1">
      <c r="A2" s="3406" t="s">
        <v>1641</v>
      </c>
      <c r="B2" s="3406" t="s">
        <v>1642</v>
      </c>
      <c r="C2" s="3406" t="s">
        <v>1643</v>
      </c>
      <c r="D2" s="3406" t="str">
        <f>结果表!D116</f>
        <v>出让国有建设用地使用权价值</v>
      </c>
      <c r="E2" s="3406"/>
      <c r="F2" s="3406" t="str">
        <f>结果表!F116</f>
        <v>在建建筑物价值</v>
      </c>
      <c r="G2" s="3406"/>
      <c r="H2" s="3406" t="str">
        <f>IF(项目基本情况!B9="房地产市场价值","房地产市场价值","房地产价值")</f>
        <v>房地产市场价值</v>
      </c>
      <c r="I2" s="3406"/>
    </row>
    <row r="3" spans="1:9" ht="15">
      <c r="A3" s="3407"/>
      <c r="B3" s="3407"/>
      <c r="C3" s="3407"/>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407" t="s">
        <v>1640</v>
      </c>
      <c r="B5" s="3407"/>
      <c r="C5" s="3407"/>
      <c r="D5" s="3408" t="e">
        <f ca="1">结果表!D119</f>
        <v>#REF!</v>
      </c>
      <c r="E5" s="3408"/>
      <c r="F5" s="3408" t="e">
        <f ca="1">结果表!F119</f>
        <v>#REF!</v>
      </c>
      <c r="G5" s="3408"/>
      <c r="H5" s="3408" t="str">
        <f ca="1">结果表!H119</f>
        <v>贰万元整</v>
      </c>
      <c r="I5" s="3408"/>
    </row>
    <row r="6" spans="1:9" ht="15.75">
      <c r="A6" s="3409" t="str">
        <f>结果表!A120</f>
        <v/>
      </c>
      <c r="B6" s="3409"/>
      <c r="C6" s="3409"/>
      <c r="D6" s="3409">
        <f>结果表!D120</f>
        <v>0</v>
      </c>
      <c r="E6" s="3409"/>
      <c r="F6" s="3409"/>
      <c r="G6" s="3409"/>
      <c r="H6" s="3409"/>
      <c r="I6" s="3409"/>
    </row>
    <row r="7" spans="1:9" ht="15">
      <c r="A7" s="3407" t="s">
        <v>1640</v>
      </c>
      <c r="B7" s="3407"/>
      <c r="C7" s="3407"/>
      <c r="D7" s="3410" t="str">
        <f>结果表!D121</f>
        <v>零元整</v>
      </c>
      <c r="E7" s="3411"/>
      <c r="F7" s="3411"/>
      <c r="G7" s="3411"/>
      <c r="H7" s="3411"/>
      <c r="I7" s="3412"/>
    </row>
    <row r="8" spans="1:9" ht="15.75">
      <c r="A8" s="3409" t="str">
        <f>结果表!A122</f>
        <v/>
      </c>
      <c r="B8" s="3409"/>
      <c r="C8" s="3409"/>
      <c r="D8" s="3409">
        <f ca="1">结果表!D122</f>
        <v>2</v>
      </c>
      <c r="E8" s="3409"/>
      <c r="F8" s="3409"/>
      <c r="G8" s="3409"/>
      <c r="H8" s="3409"/>
      <c r="I8" s="3409"/>
    </row>
    <row r="9" spans="1:9" ht="15">
      <c r="A9" s="3407" t="s">
        <v>1640</v>
      </c>
      <c r="B9" s="3407"/>
      <c r="C9" s="3407"/>
      <c r="D9" s="3408" t="str">
        <f ca="1">结果表!D123</f>
        <v>贰万元整</v>
      </c>
      <c r="E9" s="3408"/>
      <c r="F9" s="3408"/>
      <c r="G9" s="3408"/>
      <c r="H9" s="3408"/>
      <c r="I9" s="3408"/>
    </row>
    <row r="10" spans="1:9" ht="15.75">
      <c r="A10" s="3409" t="str">
        <f>结果表!A124</f>
        <v/>
      </c>
      <c r="B10" s="3409"/>
      <c r="C10" s="3409"/>
      <c r="D10" s="3409" t="str">
        <f>结果表!D124</f>
        <v>——</v>
      </c>
      <c r="E10" s="3409"/>
      <c r="F10" s="3409"/>
      <c r="G10" s="3409"/>
      <c r="H10" s="3409"/>
      <c r="I10" s="3409"/>
    </row>
    <row r="11" spans="1:9" ht="15">
      <c r="A11" s="3407" t="s">
        <v>1640</v>
      </c>
      <c r="B11" s="3407"/>
      <c r="C11" s="3407"/>
      <c r="D11" s="3408" t="e">
        <f>结果表!D125</f>
        <v>#VALUE!</v>
      </c>
      <c r="E11" s="3408"/>
      <c r="F11" s="3408"/>
      <c r="G11" s="3408"/>
      <c r="H11" s="3408"/>
      <c r="I11" s="3408"/>
    </row>
    <row r="12" spans="1:9" ht="15.75">
      <c r="A12" s="3409" t="str">
        <f>结果表!A126</f>
        <v/>
      </c>
      <c r="B12" s="3409"/>
      <c r="C12" s="3409"/>
      <c r="D12" s="3409" t="str">
        <f>结果表!D126</f>
        <v>——</v>
      </c>
      <c r="E12" s="3409"/>
      <c r="F12" s="3409"/>
      <c r="G12" s="3409"/>
      <c r="H12" s="3409"/>
      <c r="I12" s="3409"/>
    </row>
    <row r="13" spans="1:9" ht="15.75" thickBot="1">
      <c r="A13" s="3413" t="s">
        <v>1640</v>
      </c>
      <c r="B13" s="3413"/>
      <c r="C13" s="3413"/>
      <c r="D13" s="3414" t="e">
        <f>结果表!D127</f>
        <v>#VALUE!</v>
      </c>
      <c r="E13" s="3414"/>
      <c r="F13" s="3414"/>
      <c r="G13" s="3414"/>
      <c r="H13" s="3414"/>
      <c r="I13" s="3414"/>
    </row>
    <row r="14" spans="1:9" ht="15" thickTop="1">
      <c r="A14" s="3415" t="s">
        <v>1645</v>
      </c>
      <c r="B14" s="3415"/>
      <c r="C14" s="3415"/>
      <c r="D14" s="3415"/>
      <c r="E14" s="3415"/>
      <c r="F14" s="3415"/>
      <c r="G14" s="3415"/>
      <c r="H14" s="3415"/>
      <c r="I14" s="3415"/>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760" t="s">
        <v>871</v>
      </c>
      <c r="B1" s="376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7" workbookViewId="0">
      <selection activeCell="P9" sqref="P9"/>
    </sheetView>
  </sheetViews>
  <sheetFormatPr defaultRowHeight="12"/>
  <cols>
    <col min="1" max="1" width="3.5" style="3178" customWidth="1"/>
    <col min="2" max="2" width="28.375" style="3178" customWidth="1"/>
    <col min="3" max="3" width="64.75" style="3178" customWidth="1"/>
    <col min="4" max="4" width="24.5" style="3178" hidden="1" customWidth="1"/>
    <col min="5" max="5" width="17.625" style="3178" customWidth="1"/>
    <col min="6" max="6" width="13" style="3178" customWidth="1"/>
    <col min="7" max="8" width="13.375" style="3178" customWidth="1"/>
    <col min="9" max="9" width="9.375" style="3178" customWidth="1"/>
    <col min="10" max="10" width="7.125" style="3178" customWidth="1"/>
    <col min="11" max="11" width="26.625" style="3178" customWidth="1"/>
    <col min="12" max="12" width="20" style="3178" hidden="1" customWidth="1"/>
    <col min="13" max="13" width="10.875" style="3178" hidden="1" customWidth="1"/>
    <col min="14" max="14" width="9.875" style="3178" customWidth="1"/>
    <col min="15" max="15" width="8" style="3178" hidden="1" customWidth="1"/>
    <col min="16" max="16" width="20" style="3178" customWidth="1"/>
    <col min="17" max="17" width="12.25" style="3178" hidden="1" customWidth="1"/>
    <col min="18" max="19" width="20" style="3178" hidden="1" customWidth="1"/>
    <col min="20" max="20" width="12.375" style="3178" customWidth="1"/>
    <col min="21" max="21" width="14.375" style="3178" customWidth="1"/>
    <col min="22" max="22" width="20" style="3178" hidden="1" customWidth="1"/>
    <col min="23" max="23" width="20" style="3178" customWidth="1"/>
    <col min="24" max="16384" width="9" style="3178"/>
  </cols>
  <sheetData>
    <row r="1" spans="1:22">
      <c r="A1" s="3178" t="s">
        <v>3629</v>
      </c>
      <c r="C1" s="3178" t="s">
        <v>3342</v>
      </c>
      <c r="D1" s="3178" t="s">
        <v>3566</v>
      </c>
      <c r="E1" s="3178" t="s">
        <v>3343</v>
      </c>
      <c r="F1" s="3178" t="s">
        <v>3344</v>
      </c>
      <c r="G1" s="3178" t="s">
        <v>3345</v>
      </c>
      <c r="I1" s="3178" t="s">
        <v>3346</v>
      </c>
      <c r="J1" s="3178" t="s">
        <v>3347</v>
      </c>
      <c r="K1" s="3178" t="s">
        <v>3480</v>
      </c>
      <c r="L1" s="3178" t="s">
        <v>3567</v>
      </c>
      <c r="M1" s="3178" t="s">
        <v>3568</v>
      </c>
      <c r="N1" s="3178" t="s">
        <v>3469</v>
      </c>
      <c r="O1" s="3178" t="s">
        <v>3569</v>
      </c>
      <c r="P1" s="3178" t="s">
        <v>3352</v>
      </c>
      <c r="Q1" s="3178" t="s">
        <v>3348</v>
      </c>
      <c r="R1" s="3178" t="s">
        <v>3570</v>
      </c>
      <c r="S1" s="3178" t="s">
        <v>3571</v>
      </c>
      <c r="T1" s="3178" t="s">
        <v>3349</v>
      </c>
      <c r="U1" s="3178" t="s">
        <v>3350</v>
      </c>
      <c r="V1" s="3178"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c r="A3" s="3178">
        <v>2</v>
      </c>
      <c r="B3" s="3178" t="s">
        <v>3632</v>
      </c>
      <c r="C3" s="3178" t="s">
        <v>3673</v>
      </c>
      <c r="D3" s="3178" t="s">
        <v>3579</v>
      </c>
      <c r="E3" s="3178" t="s">
        <v>3580</v>
      </c>
      <c r="F3" s="3178">
        <v>47891.57</v>
      </c>
      <c r="G3" s="3178">
        <v>105361.45</v>
      </c>
      <c r="H3" s="3186">
        <f t="shared" ref="H3:H13" si="0">ROUND(G3/F3,2)</f>
        <v>2.2000000000000002</v>
      </c>
      <c r="I3" s="3178" t="s">
        <v>3581</v>
      </c>
      <c r="J3" s="3178" t="s">
        <v>3575</v>
      </c>
      <c r="K3" s="3178" t="s">
        <v>3582</v>
      </c>
      <c r="L3" s="3178" t="s">
        <v>3576</v>
      </c>
      <c r="M3" s="3180">
        <v>44406.000497685185</v>
      </c>
      <c r="N3" s="3180">
        <v>44410.000497685185</v>
      </c>
      <c r="O3" s="3178" t="s">
        <v>3577</v>
      </c>
      <c r="P3" s="3178" t="s">
        <v>3583</v>
      </c>
      <c r="Q3" s="3178">
        <v>91664.46</v>
      </c>
      <c r="R3" s="3178">
        <v>27500</v>
      </c>
      <c r="S3" s="3178" t="s">
        <v>3584</v>
      </c>
      <c r="T3" s="3178">
        <v>91664.46</v>
      </c>
      <c r="U3" s="3178">
        <v>8700</v>
      </c>
      <c r="V3" s="3178">
        <v>0</v>
      </c>
    </row>
    <row r="4" spans="1:22" s="3213" customFormat="1">
      <c r="A4" s="3213">
        <v>3</v>
      </c>
      <c r="B4" s="3213" t="s">
        <v>3614</v>
      </c>
      <c r="C4" s="3213" t="s">
        <v>3637</v>
      </c>
      <c r="D4" s="3213" t="s">
        <v>3586</v>
      </c>
      <c r="E4" s="3213" t="s">
        <v>3587</v>
      </c>
      <c r="F4" s="3213">
        <v>41000.75</v>
      </c>
      <c r="G4" s="3213">
        <v>102502</v>
      </c>
      <c r="H4" s="3213">
        <f t="shared" si="0"/>
        <v>2.5</v>
      </c>
      <c r="I4" s="3213" t="s">
        <v>3588</v>
      </c>
      <c r="J4" s="3213" t="s">
        <v>3575</v>
      </c>
      <c r="K4" s="3213" t="s">
        <v>3582</v>
      </c>
      <c r="L4" s="3213" t="s">
        <v>3576</v>
      </c>
      <c r="M4" s="3214">
        <v>44236.000497685185</v>
      </c>
      <c r="N4" s="3214">
        <v>44237.000497685185</v>
      </c>
      <c r="O4" s="3213" t="s">
        <v>3577</v>
      </c>
      <c r="P4" s="3213" t="s">
        <v>3678</v>
      </c>
      <c r="Q4" s="3213">
        <v>146578</v>
      </c>
      <c r="R4" s="3213">
        <v>45000</v>
      </c>
      <c r="S4" s="3213" t="s">
        <v>1331</v>
      </c>
      <c r="T4" s="3213">
        <v>146578</v>
      </c>
      <c r="U4" s="3213">
        <v>14300</v>
      </c>
      <c r="V4" s="3213">
        <v>0</v>
      </c>
    </row>
    <row r="5" spans="1:22" s="3213" customFormat="1">
      <c r="A5" s="3213">
        <v>4</v>
      </c>
      <c r="B5" s="3213" t="s">
        <v>3613</v>
      </c>
      <c r="C5" s="3213" t="s">
        <v>3672</v>
      </c>
      <c r="D5" s="3213" t="s">
        <v>3590</v>
      </c>
      <c r="E5" s="3213" t="s">
        <v>3587</v>
      </c>
      <c r="F5" s="3213">
        <v>62136.68</v>
      </c>
      <c r="G5" s="3213">
        <v>147241</v>
      </c>
      <c r="H5" s="3213">
        <f t="shared" si="0"/>
        <v>2.37</v>
      </c>
      <c r="I5" s="3213" t="s">
        <v>3588</v>
      </c>
      <c r="J5" s="3213" t="s">
        <v>3575</v>
      </c>
      <c r="K5" s="3213" t="s">
        <v>3675</v>
      </c>
      <c r="L5" s="3213" t="s">
        <v>3576</v>
      </c>
      <c r="M5" s="3214">
        <v>44190.000497685185</v>
      </c>
      <c r="N5" s="3214">
        <v>44190.000497685185</v>
      </c>
      <c r="O5" s="3213" t="s">
        <v>3577</v>
      </c>
      <c r="P5" s="3213" t="s">
        <v>3679</v>
      </c>
      <c r="Q5" s="3213">
        <v>206138</v>
      </c>
      <c r="R5" s="3213">
        <v>62000</v>
      </c>
      <c r="S5" s="3213" t="s">
        <v>3591</v>
      </c>
      <c r="T5" s="3213">
        <v>206138</v>
      </c>
      <c r="U5" s="3213">
        <v>14000</v>
      </c>
      <c r="V5" s="3213">
        <v>0</v>
      </c>
    </row>
    <row r="6" spans="1:22" s="3188" customFormat="1">
      <c r="A6" s="3188">
        <v>5</v>
      </c>
      <c r="B6" s="3188" t="s">
        <v>3633</v>
      </c>
      <c r="C6" s="3188" t="s">
        <v>3671</v>
      </c>
      <c r="D6" s="3188" t="s">
        <v>3592</v>
      </c>
      <c r="E6" s="3188" t="s">
        <v>3580</v>
      </c>
      <c r="F6" s="3188">
        <v>72673.490000000005</v>
      </c>
      <c r="G6" s="3188">
        <v>159882</v>
      </c>
      <c r="H6" s="3186">
        <f t="shared" si="0"/>
        <v>2.2000000000000002</v>
      </c>
      <c r="I6" s="3188" t="s">
        <v>3581</v>
      </c>
      <c r="J6" s="3188" t="s">
        <v>3575</v>
      </c>
      <c r="K6" s="3188" t="s">
        <v>3582</v>
      </c>
      <c r="L6" s="3188" t="s">
        <v>3576</v>
      </c>
      <c r="M6" s="3189">
        <v>44189.000497685185</v>
      </c>
      <c r="N6" s="3189">
        <v>44189.000497685185</v>
      </c>
      <c r="O6" s="3188" t="s">
        <v>3577</v>
      </c>
      <c r="P6" s="3188" t="s">
        <v>3593</v>
      </c>
      <c r="Q6" s="3188">
        <v>252613.56</v>
      </c>
      <c r="R6" s="3188">
        <v>80000</v>
      </c>
      <c r="S6" s="3188" t="s">
        <v>3594</v>
      </c>
      <c r="T6" s="3188">
        <v>252613.56</v>
      </c>
      <c r="U6" s="3188">
        <v>15800</v>
      </c>
      <c r="V6" s="3188">
        <v>0</v>
      </c>
    </row>
    <row r="7" spans="1:22" s="3190" customFormat="1">
      <c r="A7" s="3190">
        <v>6</v>
      </c>
      <c r="B7" s="3190" t="s">
        <v>3636</v>
      </c>
      <c r="C7" s="3190" t="s">
        <v>3670</v>
      </c>
      <c r="D7" s="3190" t="s">
        <v>3595</v>
      </c>
      <c r="E7" s="3190" t="s">
        <v>3587</v>
      </c>
      <c r="F7" s="3190">
        <v>43870.1</v>
      </c>
      <c r="G7" s="3190">
        <v>109675.25</v>
      </c>
      <c r="H7" s="3190">
        <f t="shared" si="0"/>
        <v>2.5</v>
      </c>
      <c r="I7" s="3190" t="s">
        <v>3596</v>
      </c>
      <c r="J7" s="3190" t="s">
        <v>3575</v>
      </c>
      <c r="K7" s="3190" t="s">
        <v>3676</v>
      </c>
      <c r="L7" s="3190" t="s">
        <v>3576</v>
      </c>
      <c r="M7" s="3191">
        <v>44187.000497685185</v>
      </c>
      <c r="N7" s="3191">
        <v>44187.000497685185</v>
      </c>
      <c r="O7" s="3190" t="s">
        <v>3577</v>
      </c>
      <c r="P7" s="3190" t="s">
        <v>3597</v>
      </c>
      <c r="Q7" s="3190">
        <v>148061.57999999999</v>
      </c>
      <c r="R7" s="3190">
        <v>45000</v>
      </c>
      <c r="S7" s="3190" t="s">
        <v>3598</v>
      </c>
      <c r="T7" s="3190">
        <v>148061.57999999999</v>
      </c>
      <c r="U7" s="3190">
        <v>13500</v>
      </c>
      <c r="V7" s="3190">
        <v>0</v>
      </c>
    </row>
    <row r="8" spans="1:22" hidden="1">
      <c r="A8" s="3179">
        <v>7</v>
      </c>
      <c r="C8" s="3178" t="s">
        <v>3599</v>
      </c>
      <c r="D8" s="3178" t="s">
        <v>3600</v>
      </c>
      <c r="E8" s="3178" t="s">
        <v>3587</v>
      </c>
      <c r="F8" s="3178">
        <v>33783.57</v>
      </c>
      <c r="G8" s="3178">
        <v>84458.9</v>
      </c>
      <c r="H8" s="3190">
        <f t="shared" si="0"/>
        <v>2.5</v>
      </c>
      <c r="I8" s="3178" t="s">
        <v>3596</v>
      </c>
      <c r="J8" s="3178" t="s">
        <v>3575</v>
      </c>
      <c r="K8" s="3178" t="s">
        <v>3582</v>
      </c>
      <c r="L8" s="3178" t="s">
        <v>3576</v>
      </c>
      <c r="M8" s="3180">
        <v>44186.000497685185</v>
      </c>
      <c r="N8" s="3178" t="s">
        <v>3601</v>
      </c>
      <c r="O8" s="3178" t="s">
        <v>3602</v>
      </c>
      <c r="P8" s="3178" t="s">
        <v>3603</v>
      </c>
      <c r="Q8" s="3178">
        <v>110641.16</v>
      </c>
      <c r="R8" s="3178">
        <v>40000</v>
      </c>
      <c r="S8" s="3178" t="s">
        <v>1331</v>
      </c>
      <c r="T8" s="3178" t="s">
        <v>3601</v>
      </c>
      <c r="U8" s="3178" t="s">
        <v>3601</v>
      </c>
      <c r="V8" s="3178">
        <v>0</v>
      </c>
    </row>
    <row r="9" spans="1:22" s="3211" customFormat="1">
      <c r="A9" s="3210">
        <v>8</v>
      </c>
      <c r="B9" s="3211" t="s">
        <v>3615</v>
      </c>
      <c r="C9" s="3211" t="s">
        <v>3669</v>
      </c>
      <c r="D9" s="3211" t="s">
        <v>3604</v>
      </c>
      <c r="E9" s="3211" t="s">
        <v>3587</v>
      </c>
      <c r="F9" s="3211">
        <v>47891.78</v>
      </c>
      <c r="G9" s="3211">
        <v>108059</v>
      </c>
      <c r="H9" s="3210">
        <f t="shared" si="0"/>
        <v>2.2599999999999998</v>
      </c>
      <c r="I9" s="3211" t="s">
        <v>3588</v>
      </c>
      <c r="J9" s="3211" t="s">
        <v>3575</v>
      </c>
      <c r="K9" s="3211" t="s">
        <v>3675</v>
      </c>
      <c r="L9" s="3211" t="s">
        <v>3576</v>
      </c>
      <c r="M9" s="3212">
        <v>43720.000497685185</v>
      </c>
      <c r="N9" s="3212">
        <v>43720.000497685185</v>
      </c>
      <c r="O9" s="3211" t="s">
        <v>3577</v>
      </c>
      <c r="P9" s="3211" t="s">
        <v>3680</v>
      </c>
      <c r="Q9" s="3211">
        <v>151283</v>
      </c>
      <c r="R9" s="3211">
        <v>50000</v>
      </c>
      <c r="S9" s="3211" t="s">
        <v>1331</v>
      </c>
      <c r="T9" s="3211">
        <v>151283</v>
      </c>
      <c r="U9" s="3211">
        <v>14000</v>
      </c>
      <c r="V9" s="3211">
        <v>0</v>
      </c>
    </row>
    <row r="10" spans="1:22" hidden="1">
      <c r="A10" s="3179">
        <v>9</v>
      </c>
      <c r="B10" s="3178" t="s">
        <v>3642</v>
      </c>
      <c r="C10" s="3178" t="s">
        <v>3668</v>
      </c>
      <c r="D10" s="3178" t="s">
        <v>3605</v>
      </c>
      <c r="E10" s="3178" t="s">
        <v>3580</v>
      </c>
      <c r="F10" s="3178">
        <v>40285.32</v>
      </c>
      <c r="G10" s="3178">
        <v>80571</v>
      </c>
      <c r="H10" s="3190">
        <f t="shared" si="0"/>
        <v>2</v>
      </c>
      <c r="I10" s="3178" t="s">
        <v>3606</v>
      </c>
      <c r="J10" s="3178" t="s">
        <v>3575</v>
      </c>
      <c r="K10" s="3178" t="s">
        <v>3582</v>
      </c>
      <c r="L10" s="3178" t="s">
        <v>3576</v>
      </c>
      <c r="M10" s="3180">
        <v>43532.000497685185</v>
      </c>
      <c r="N10" s="3180">
        <v>43532.000497685185</v>
      </c>
      <c r="O10" s="3178" t="s">
        <v>3577</v>
      </c>
      <c r="P10" s="3178" t="s">
        <v>3607</v>
      </c>
      <c r="Q10" s="3178">
        <v>127302.2</v>
      </c>
      <c r="R10" s="3178">
        <v>40000</v>
      </c>
      <c r="S10" s="3178" t="s">
        <v>1331</v>
      </c>
      <c r="T10" s="3178">
        <v>127302.2</v>
      </c>
      <c r="U10" s="3178">
        <v>15800</v>
      </c>
      <c r="V10" s="3178">
        <v>0</v>
      </c>
    </row>
    <row r="11" spans="1:22" hidden="1">
      <c r="A11" s="3186">
        <v>10</v>
      </c>
      <c r="C11" s="3178" t="s">
        <v>3585</v>
      </c>
      <c r="D11" s="3178" t="s">
        <v>3608</v>
      </c>
      <c r="E11" s="3178" t="s">
        <v>3574</v>
      </c>
      <c r="F11" s="3178">
        <v>41000.75</v>
      </c>
      <c r="G11" s="3178">
        <v>102502</v>
      </c>
      <c r="H11" s="3190">
        <f t="shared" si="0"/>
        <v>2.5</v>
      </c>
      <c r="I11" s="3178">
        <v>2.5</v>
      </c>
      <c r="J11" s="3178" t="s">
        <v>3575</v>
      </c>
      <c r="K11" s="3178" t="s">
        <v>3609</v>
      </c>
      <c r="L11" s="3178" t="s">
        <v>3576</v>
      </c>
      <c r="M11" s="3180">
        <v>43492.000497685185</v>
      </c>
      <c r="N11" s="3178" t="s">
        <v>3601</v>
      </c>
      <c r="O11" s="3178" t="s">
        <v>3610</v>
      </c>
      <c r="P11" s="3178" t="s">
        <v>3603</v>
      </c>
      <c r="Q11" s="3178">
        <v>158879</v>
      </c>
      <c r="R11" s="3178">
        <v>48000</v>
      </c>
      <c r="S11" s="3178" t="s">
        <v>1331</v>
      </c>
      <c r="T11" s="3178" t="s">
        <v>3601</v>
      </c>
      <c r="U11" s="3178" t="s">
        <v>3601</v>
      </c>
      <c r="V11" s="3178">
        <v>0</v>
      </c>
    </row>
    <row r="12" spans="1:22" hidden="1">
      <c r="A12" s="3179">
        <v>11</v>
      </c>
      <c r="C12" s="3178" t="s">
        <v>3403</v>
      </c>
      <c r="D12" s="3178" t="s">
        <v>3611</v>
      </c>
      <c r="E12" s="3178" t="s">
        <v>3574</v>
      </c>
      <c r="F12" s="3178">
        <v>47891.78</v>
      </c>
      <c r="G12" s="3178">
        <v>108059</v>
      </c>
      <c r="H12" s="3190">
        <f t="shared" si="0"/>
        <v>2.2599999999999998</v>
      </c>
      <c r="I12" s="3178">
        <v>2.2599999999999998</v>
      </c>
      <c r="J12" s="3178" t="s">
        <v>3575</v>
      </c>
      <c r="K12" s="3178" t="s">
        <v>3609</v>
      </c>
      <c r="L12" s="3178" t="s">
        <v>3576</v>
      </c>
      <c r="M12" s="3180">
        <v>43492.000497685185</v>
      </c>
      <c r="N12" s="3178" t="s">
        <v>3601</v>
      </c>
      <c r="O12" s="3178" t="s">
        <v>3610</v>
      </c>
      <c r="P12" s="3178" t="s">
        <v>3603</v>
      </c>
      <c r="Q12" s="3178">
        <v>162089</v>
      </c>
      <c r="R12" s="3178">
        <v>50000</v>
      </c>
      <c r="S12" s="3178" t="s">
        <v>1331</v>
      </c>
      <c r="T12" s="3178" t="s">
        <v>3601</v>
      </c>
      <c r="U12" s="3178" t="s">
        <v>3601</v>
      </c>
      <c r="V12" s="3178">
        <v>0</v>
      </c>
    </row>
    <row r="13" spans="1:22" hidden="1">
      <c r="A13" s="3186">
        <v>12</v>
      </c>
      <c r="C13" s="3178" t="s">
        <v>3589</v>
      </c>
      <c r="D13" s="3178" t="s">
        <v>3612</v>
      </c>
      <c r="E13" s="3178" t="s">
        <v>3574</v>
      </c>
      <c r="F13" s="3178">
        <v>62136.68</v>
      </c>
      <c r="G13" s="3178">
        <v>147241</v>
      </c>
      <c r="H13" s="3190">
        <f t="shared" si="0"/>
        <v>2.37</v>
      </c>
      <c r="I13" s="3178">
        <v>2.37</v>
      </c>
      <c r="J13" s="3178" t="s">
        <v>3575</v>
      </c>
      <c r="K13" s="3178" t="s">
        <v>3609</v>
      </c>
      <c r="L13" s="3178" t="s">
        <v>3576</v>
      </c>
      <c r="M13" s="3180">
        <v>43492.000497685185</v>
      </c>
      <c r="N13" s="3178" t="s">
        <v>3601</v>
      </c>
      <c r="O13" s="3178" t="s">
        <v>3610</v>
      </c>
      <c r="P13" s="3178" t="s">
        <v>3603</v>
      </c>
      <c r="Q13" s="3178">
        <v>220862</v>
      </c>
      <c r="R13" s="3178">
        <v>67000</v>
      </c>
      <c r="S13" s="3178" t="s">
        <v>1331</v>
      </c>
      <c r="T13" s="3178" t="s">
        <v>3601</v>
      </c>
      <c r="U13" s="3178" t="s">
        <v>3601</v>
      </c>
      <c r="V13" s="3178">
        <v>0</v>
      </c>
    </row>
    <row r="46" spans="5:5">
      <c r="E46" s="3178" t="s">
        <v>3646</v>
      </c>
    </row>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8" customWidth="1"/>
    <col min="2" max="2" width="7.125" style="3088" customWidth="1"/>
    <col min="3" max="3" width="6.375" style="3088" customWidth="1"/>
    <col min="4" max="4" width="29.875" style="3088" customWidth="1"/>
    <col min="5" max="5" width="19.125" style="3088" customWidth="1"/>
    <col min="6" max="6" width="13.75" style="3088" customWidth="1"/>
    <col min="7" max="7" width="9.375" style="3088" hidden="1" customWidth="1"/>
    <col min="8" max="9" width="10.5" style="3088" bestFit="1" customWidth="1"/>
    <col min="10" max="10" width="8.875" style="3088" customWidth="1"/>
    <col min="11" max="11" width="10.75" style="3088" customWidth="1"/>
    <col min="12" max="12" width="13.75" style="3088" customWidth="1"/>
    <col min="13" max="13" width="12.75" style="3088" customWidth="1"/>
    <col min="14" max="14" width="14.75" style="3088" customWidth="1"/>
    <col min="15" max="16384" width="9" style="3088"/>
  </cols>
  <sheetData>
    <row r="1" spans="1:15" s="3115" customFormat="1" ht="13.5" customHeight="1">
      <c r="A1" s="3111" t="s">
        <v>608</v>
      </c>
      <c r="B1" s="3113" t="s">
        <v>3180</v>
      </c>
      <c r="C1" s="3113" t="s">
        <v>3181</v>
      </c>
      <c r="D1" s="3111" t="s">
        <v>3182</v>
      </c>
      <c r="E1" s="3111" t="s">
        <v>3282</v>
      </c>
      <c r="F1" s="3111" t="s">
        <v>3186</v>
      </c>
      <c r="G1" s="3111" t="s">
        <v>3187</v>
      </c>
      <c r="H1" s="3112" t="s">
        <v>3190</v>
      </c>
      <c r="I1" s="3112" t="s">
        <v>1111</v>
      </c>
      <c r="J1" s="3112" t="s">
        <v>746</v>
      </c>
      <c r="K1" s="3111" t="s">
        <v>3292</v>
      </c>
      <c r="L1" s="3112" t="s">
        <v>3278</v>
      </c>
      <c r="M1" s="3112" t="s">
        <v>3279</v>
      </c>
      <c r="N1" s="3112" t="s">
        <v>3280</v>
      </c>
      <c r="O1" s="3114"/>
    </row>
    <row r="2" spans="1:15" s="3134" customFormat="1" ht="27">
      <c r="A2" s="3129">
        <v>1</v>
      </c>
      <c r="B2" s="3129" t="s">
        <v>3276</v>
      </c>
      <c r="C2" s="3129" t="s">
        <v>3478</v>
      </c>
      <c r="D2" s="3129" t="s">
        <v>3295</v>
      </c>
      <c r="E2" s="3129" t="s">
        <v>3284</v>
      </c>
      <c r="F2" s="3129" t="s">
        <v>3285</v>
      </c>
      <c r="G2" s="3130"/>
      <c r="H2" s="3131">
        <v>39972.523999999998</v>
      </c>
      <c r="I2" s="3131">
        <v>95934</v>
      </c>
      <c r="J2" s="3131">
        <v>2.4</v>
      </c>
      <c r="K2" s="3130" t="s">
        <v>3293</v>
      </c>
      <c r="L2" s="3129">
        <v>143901</v>
      </c>
      <c r="M2" s="3129">
        <v>15000</v>
      </c>
      <c r="N2" s="3132">
        <v>43432</v>
      </c>
      <c r="O2" s="3133"/>
    </row>
    <row r="3" spans="1:15" s="3136" customFormat="1" ht="40.5">
      <c r="A3" s="3129">
        <v>2</v>
      </c>
      <c r="B3" s="3129" t="s">
        <v>3276</v>
      </c>
      <c r="C3" s="3129" t="s">
        <v>3277</v>
      </c>
      <c r="D3" s="3129" t="s">
        <v>3296</v>
      </c>
      <c r="E3" s="3129" t="s">
        <v>3283</v>
      </c>
      <c r="F3" s="3129" t="s">
        <v>3504</v>
      </c>
      <c r="G3" s="3129"/>
      <c r="H3" s="3129">
        <v>46473.406999999999</v>
      </c>
      <c r="I3" s="3129">
        <v>116183.52</v>
      </c>
      <c r="J3" s="3129">
        <v>2.5</v>
      </c>
      <c r="K3" s="3129">
        <v>50</v>
      </c>
      <c r="L3" s="3129">
        <v>1510392000</v>
      </c>
      <c r="M3" s="3129">
        <v>13000</v>
      </c>
      <c r="N3" s="3132">
        <v>43169</v>
      </c>
      <c r="O3" s="3135"/>
    </row>
    <row r="4" spans="1:15" s="3136" customFormat="1" ht="40.5" customHeight="1">
      <c r="A4" s="3129">
        <v>3</v>
      </c>
      <c r="B4" s="3129" t="s">
        <v>3501</v>
      </c>
      <c r="C4" s="3129" t="s">
        <v>3502</v>
      </c>
      <c r="D4" s="3129" t="s">
        <v>3508</v>
      </c>
      <c r="E4" s="3129" t="s">
        <v>3503</v>
      </c>
      <c r="F4" s="3129" t="s">
        <v>3506</v>
      </c>
      <c r="G4" s="3129"/>
      <c r="H4" s="3129">
        <v>50285.32</v>
      </c>
      <c r="I4" s="3129">
        <v>80571</v>
      </c>
      <c r="J4" s="3129">
        <v>2</v>
      </c>
      <c r="K4" s="3129">
        <v>40</v>
      </c>
      <c r="L4" s="3129">
        <v>127302.2</v>
      </c>
      <c r="M4" s="3129">
        <v>15800</v>
      </c>
      <c r="N4" s="3132">
        <v>43532</v>
      </c>
      <c r="O4" s="3135"/>
    </row>
    <row r="5" spans="1:15" s="3077" customFormat="1" ht="40.5">
      <c r="A5" s="3109">
        <v>4</v>
      </c>
      <c r="B5" s="3109" t="s">
        <v>3276</v>
      </c>
      <c r="C5" s="3109" t="s">
        <v>3277</v>
      </c>
      <c r="D5" s="3109" t="s">
        <v>3281</v>
      </c>
      <c r="E5" s="3109" t="s">
        <v>3286</v>
      </c>
      <c r="F5" s="3109" t="s">
        <v>3287</v>
      </c>
      <c r="G5" s="3109"/>
      <c r="H5" s="3109">
        <v>62373.906999999999</v>
      </c>
      <c r="I5" s="3109">
        <v>149697</v>
      </c>
      <c r="J5" s="3109">
        <v>2.4</v>
      </c>
      <c r="K5" s="3109">
        <v>40</v>
      </c>
      <c r="L5" s="3109">
        <v>1600410627</v>
      </c>
      <c r="M5" s="3109">
        <v>10691</v>
      </c>
      <c r="N5" s="3110">
        <v>43169</v>
      </c>
      <c r="O5" s="3107"/>
    </row>
    <row r="6" spans="1:15" s="3077" customFormat="1">
      <c r="A6" s="3127"/>
      <c r="B6" s="3127"/>
      <c r="C6" s="3127"/>
      <c r="D6" s="3127"/>
      <c r="E6" s="3127"/>
      <c r="F6" s="3127"/>
      <c r="G6" s="3127"/>
      <c r="H6" s="3127"/>
      <c r="I6" s="3127"/>
      <c r="J6" s="3127"/>
      <c r="K6" s="3127"/>
      <c r="L6" s="3127"/>
      <c r="M6" s="3127"/>
      <c r="N6" s="3128"/>
      <c r="O6" s="3107"/>
    </row>
    <row r="7" spans="1:15" s="3077" customFormat="1" ht="12">
      <c r="A7" s="3107"/>
      <c r="B7" s="3107"/>
      <c r="C7" s="3107"/>
      <c r="D7" s="3107"/>
      <c r="E7" s="3107"/>
      <c r="F7" s="3107"/>
      <c r="G7" s="3107"/>
      <c r="H7" s="3107"/>
      <c r="I7" s="3107"/>
      <c r="J7" s="3107"/>
      <c r="K7" s="3107"/>
      <c r="L7" s="3107"/>
      <c r="M7" s="3107"/>
      <c r="N7" s="3107"/>
      <c r="O7" s="3107"/>
    </row>
    <row r="8" spans="1:15" s="3077" customFormat="1" ht="12"/>
    <row r="9" spans="1:15" s="3077" customFormat="1" ht="12"/>
    <row r="10" spans="1:15" s="3077" customFormat="1" ht="12">
      <c r="L10" s="3078"/>
    </row>
    <row r="11" spans="1:15" s="3077" customFormat="1" ht="12"/>
    <row r="12" spans="1:15" s="3077" customFormat="1" ht="12"/>
  </sheetData>
  <phoneticPr fontId="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7" customFormat="1" ht="11.25">
      <c r="A1" s="3766" t="s">
        <v>3175</v>
      </c>
      <c r="B1" s="3766" t="s">
        <v>3176</v>
      </c>
      <c r="C1" s="3766" t="s">
        <v>3177</v>
      </c>
      <c r="D1" s="3771" t="s">
        <v>3178</v>
      </c>
      <c r="E1" s="3766" t="s">
        <v>3179</v>
      </c>
      <c r="F1" s="3773" t="s">
        <v>3180</v>
      </c>
      <c r="G1" s="3775" t="s">
        <v>3181</v>
      </c>
      <c r="H1" s="3766" t="s">
        <v>3182</v>
      </c>
      <c r="I1" s="3777" t="s">
        <v>3183</v>
      </c>
      <c r="J1" s="3766" t="s">
        <v>3184</v>
      </c>
      <c r="K1" s="3779" t="s">
        <v>3185</v>
      </c>
      <c r="L1" s="3766" t="s">
        <v>3186</v>
      </c>
      <c r="M1" s="3766" t="s">
        <v>3187</v>
      </c>
      <c r="N1" s="3768" t="s">
        <v>3188</v>
      </c>
      <c r="O1" s="3768" t="s">
        <v>3189</v>
      </c>
      <c r="P1" s="3764" t="s">
        <v>3190</v>
      </c>
      <c r="Q1" s="3769" t="s">
        <v>3191</v>
      </c>
      <c r="R1" s="3764" t="s">
        <v>3192</v>
      </c>
      <c r="S1" s="3764" t="s">
        <v>3193</v>
      </c>
    </row>
    <row r="2" spans="1:34" s="3038" customFormat="1" ht="11.25">
      <c r="A2" s="3767"/>
      <c r="B2" s="3767"/>
      <c r="C2" s="3767"/>
      <c r="D2" s="3772"/>
      <c r="E2" s="3767"/>
      <c r="F2" s="3774"/>
      <c r="G2" s="3776"/>
      <c r="H2" s="3767"/>
      <c r="I2" s="3778"/>
      <c r="J2" s="3767"/>
      <c r="K2" s="3780"/>
      <c r="L2" s="3767"/>
      <c r="M2" s="3767"/>
      <c r="N2" s="3765"/>
      <c r="O2" s="3765"/>
      <c r="P2" s="3765"/>
      <c r="Q2" s="3770"/>
      <c r="R2" s="3765"/>
      <c r="S2" s="3765"/>
    </row>
    <row r="3" spans="1:34" s="3044" customFormat="1" ht="72">
      <c r="A3" s="3039" t="s">
        <v>3222</v>
      </c>
      <c r="B3" s="3040">
        <v>2017</v>
      </c>
      <c r="C3" s="3041" t="s">
        <v>3194</v>
      </c>
      <c r="D3" s="3041"/>
      <c r="E3" s="3041">
        <v>2</v>
      </c>
      <c r="F3" s="3048" t="s">
        <v>3208</v>
      </c>
      <c r="G3" s="3042" t="s">
        <v>3195</v>
      </c>
      <c r="H3" s="3042" t="s">
        <v>3196</v>
      </c>
      <c r="I3" s="3042"/>
      <c r="J3" s="3042" t="s">
        <v>3197</v>
      </c>
      <c r="K3" s="3042" t="s">
        <v>3198</v>
      </c>
      <c r="L3" s="3042" t="s">
        <v>3199</v>
      </c>
      <c r="M3" s="3042" t="s">
        <v>3200</v>
      </c>
      <c r="N3" s="3043">
        <v>20148.59</v>
      </c>
      <c r="O3" s="3043">
        <v>195592.13</v>
      </c>
      <c r="P3" s="3043">
        <v>72.180000000000007</v>
      </c>
      <c r="Q3" s="3043">
        <f>R3+S3</f>
        <v>2988.92</v>
      </c>
      <c r="R3" s="3043">
        <f>ROUND(N3/P3,2)</f>
        <v>279.14</v>
      </c>
      <c r="S3" s="3043">
        <f>ROUND(O3/P3,2)</f>
        <v>2709.78</v>
      </c>
    </row>
    <row r="4" spans="1:34" s="3044" customFormat="1" ht="72">
      <c r="A4" s="3040" t="s">
        <v>3223</v>
      </c>
      <c r="B4" s="3040">
        <v>2017</v>
      </c>
      <c r="C4" s="3041" t="s">
        <v>3194</v>
      </c>
      <c r="D4" s="3041"/>
      <c r="E4" s="3041">
        <v>3</v>
      </c>
      <c r="F4" s="3048" t="s">
        <v>3208</v>
      </c>
      <c r="G4" s="3045" t="s">
        <v>3201</v>
      </c>
      <c r="H4" s="3042" t="s">
        <v>3202</v>
      </c>
      <c r="I4" s="3042"/>
      <c r="J4" s="3042" t="s">
        <v>3203</v>
      </c>
      <c r="K4" s="3042" t="s">
        <v>3198</v>
      </c>
      <c r="L4" s="3042" t="s">
        <v>3204</v>
      </c>
      <c r="M4" s="3042" t="s">
        <v>3205</v>
      </c>
      <c r="N4" s="3043">
        <v>46469.07</v>
      </c>
      <c r="O4" s="3043">
        <v>462882.97</v>
      </c>
      <c r="P4" s="3043">
        <v>148.22</v>
      </c>
      <c r="Q4" s="3043">
        <f>R4+S4</f>
        <v>3436.46</v>
      </c>
      <c r="R4" s="3043">
        <f>ROUND(N4/P4,2)</f>
        <v>313.51</v>
      </c>
      <c r="S4" s="3043">
        <f>ROUND(O4/P4,2)</f>
        <v>3122.95</v>
      </c>
    </row>
    <row r="5" spans="1:34" s="3049" customFormat="1" ht="84">
      <c r="A5" s="3040">
        <v>3</v>
      </c>
      <c r="B5" s="3040">
        <v>2017</v>
      </c>
      <c r="C5" s="3046" t="s">
        <v>3206</v>
      </c>
      <c r="D5" s="3047" t="s">
        <v>3207</v>
      </c>
      <c r="E5" s="3046">
        <v>4</v>
      </c>
      <c r="F5" s="3048" t="s">
        <v>3208</v>
      </c>
      <c r="G5" s="3045" t="s">
        <v>3195</v>
      </c>
      <c r="H5" s="3042" t="s">
        <v>3209</v>
      </c>
      <c r="I5" s="3042"/>
      <c r="J5" s="3042" t="s">
        <v>3197</v>
      </c>
      <c r="K5" s="3042" t="s">
        <v>3198</v>
      </c>
      <c r="L5" s="3042" t="s">
        <v>3210</v>
      </c>
      <c r="M5" s="3042" t="s">
        <v>3211</v>
      </c>
      <c r="N5" s="3043">
        <v>106922.18</v>
      </c>
      <c r="O5" s="3043">
        <v>1002860.16</v>
      </c>
      <c r="P5" s="3043">
        <v>217.58</v>
      </c>
      <c r="Q5" s="3043">
        <f>R5+S5</f>
        <v>5100.58</v>
      </c>
      <c r="R5" s="3043">
        <f>ROUND(N5/P5,2)</f>
        <v>491.42</v>
      </c>
      <c r="S5" s="3043">
        <f>ROUND(O5/P5,2)</f>
        <v>4609.16</v>
      </c>
    </row>
    <row r="6" spans="1:34" s="3054" customFormat="1" ht="60">
      <c r="A6" s="3040">
        <v>4</v>
      </c>
      <c r="B6" s="3040">
        <v>2018</v>
      </c>
      <c r="C6" s="3050">
        <v>8</v>
      </c>
      <c r="D6" s="3050" t="s">
        <v>3212</v>
      </c>
      <c r="E6" s="3051">
        <v>1</v>
      </c>
      <c r="F6" s="3051" t="s">
        <v>3213</v>
      </c>
      <c r="G6" s="3051" t="s">
        <v>3201</v>
      </c>
      <c r="H6" s="3051" t="s">
        <v>3214</v>
      </c>
      <c r="I6" s="3051"/>
      <c r="J6" s="3051" t="s">
        <v>3215</v>
      </c>
      <c r="K6" s="3051" t="s">
        <v>3216</v>
      </c>
      <c r="L6" s="3051" t="s">
        <v>3217</v>
      </c>
      <c r="M6" s="3051" t="s">
        <v>3218</v>
      </c>
      <c r="N6" s="3052">
        <v>55495.91</v>
      </c>
      <c r="O6" s="3052">
        <v>418159.92</v>
      </c>
      <c r="P6" s="3053">
        <v>165.53</v>
      </c>
      <c r="Q6" s="3052">
        <f>R6+S6</f>
        <v>2861.45</v>
      </c>
      <c r="R6" s="3043">
        <f>ROUND(N6/P6,2)</f>
        <v>335.26</v>
      </c>
      <c r="S6" s="3043">
        <f>ROUND(O6/P6,2)</f>
        <v>2526.19</v>
      </c>
      <c r="U6" s="3055"/>
      <c r="V6" s="3055"/>
      <c r="W6" s="3055"/>
      <c r="X6" s="3055"/>
      <c r="Y6" s="3055"/>
      <c r="Z6" s="3055"/>
      <c r="AA6" s="3055"/>
      <c r="AB6" s="3055"/>
      <c r="AC6" s="3055"/>
      <c r="AD6" s="3055"/>
      <c r="AE6" s="3055"/>
      <c r="AF6" s="3055"/>
      <c r="AG6" s="3055"/>
      <c r="AH6" s="3055"/>
    </row>
    <row r="7" spans="1:34" s="3061" customFormat="1" ht="60">
      <c r="A7" s="3039" t="s">
        <v>3224</v>
      </c>
      <c r="B7" s="3040">
        <v>2018</v>
      </c>
      <c r="C7" s="3056">
        <v>5</v>
      </c>
      <c r="D7" s="3056"/>
      <c r="E7" s="3057">
        <v>3</v>
      </c>
      <c r="F7" s="3058" t="s">
        <v>3213</v>
      </c>
      <c r="G7" s="3058" t="s">
        <v>3201</v>
      </c>
      <c r="H7" s="3058" t="s">
        <v>3219</v>
      </c>
      <c r="I7" s="3058"/>
      <c r="J7" s="3058" t="s">
        <v>3215</v>
      </c>
      <c r="K7" s="3058" t="s">
        <v>3216</v>
      </c>
      <c r="L7" s="3058" t="s">
        <v>3220</v>
      </c>
      <c r="M7" s="3059" t="s">
        <v>3221</v>
      </c>
      <c r="N7" s="3060">
        <v>230654.05</v>
      </c>
      <c r="O7" s="3040">
        <v>598903.21</v>
      </c>
      <c r="P7" s="3060">
        <v>193.55</v>
      </c>
      <c r="Q7" s="3052">
        <f>R7+S7</f>
        <v>4286.01</v>
      </c>
      <c r="R7" s="3043">
        <f>ROUND(N7/P7,2)</f>
        <v>1191.7</v>
      </c>
      <c r="S7" s="3043">
        <f>ROUND(O7/P7,2)</f>
        <v>3094.31</v>
      </c>
    </row>
    <row r="9" spans="1:34">
      <c r="R9" s="3071">
        <f>ROUND(AVERAGE(S3:S7),0)</f>
        <v>3212</v>
      </c>
    </row>
    <row r="10" spans="1:34">
      <c r="R10">
        <f>AVERAGE(R3:R7)</f>
        <v>522.2059999999999</v>
      </c>
    </row>
    <row r="11" spans="1:34">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782" t="s">
        <v>3237</v>
      </c>
      <c r="B1" s="3782" t="s">
        <v>3238</v>
      </c>
      <c r="C1" s="3782" t="s">
        <v>3239</v>
      </c>
      <c r="D1" s="3082" t="s">
        <v>3240</v>
      </c>
      <c r="E1" s="3083"/>
      <c r="F1" s="3083"/>
      <c r="G1" s="3084"/>
      <c r="H1" s="3782" t="s">
        <v>3259</v>
      </c>
      <c r="I1" s="3781" t="s">
        <v>3244</v>
      </c>
      <c r="J1" s="3781"/>
      <c r="K1" s="3782" t="s">
        <v>3247</v>
      </c>
      <c r="L1" s="3782" t="s">
        <v>3248</v>
      </c>
      <c r="M1" s="3782" t="s">
        <v>3256</v>
      </c>
      <c r="N1" s="3782" t="s">
        <v>3258</v>
      </c>
      <c r="O1" s="3781" t="s">
        <v>3249</v>
      </c>
      <c r="P1" s="3781"/>
    </row>
    <row r="2" spans="1:18">
      <c r="A2" s="3782"/>
      <c r="B2" s="3782"/>
      <c r="C2" s="3782"/>
      <c r="D2" s="3064" t="s">
        <v>3288</v>
      </c>
      <c r="E2" s="3064" t="s">
        <v>3241</v>
      </c>
      <c r="F2" s="3064" t="s">
        <v>3242</v>
      </c>
      <c r="G2" s="3064" t="s">
        <v>3243</v>
      </c>
      <c r="H2" s="3782"/>
      <c r="I2" s="3064" t="s">
        <v>3245</v>
      </c>
      <c r="J2" s="3064" t="s">
        <v>3246</v>
      </c>
      <c r="K2" s="3781"/>
      <c r="L2" s="3781"/>
      <c r="M2" s="3781"/>
      <c r="N2" s="3781"/>
      <c r="O2" s="3065" t="s">
        <v>3250</v>
      </c>
      <c r="P2" s="3065" t="s">
        <v>3251</v>
      </c>
    </row>
    <row r="3" spans="1:18" ht="54">
      <c r="A3" s="3066" t="s">
        <v>3253</v>
      </c>
      <c r="B3" s="3068" t="s">
        <v>3262</v>
      </c>
      <c r="C3" s="3067">
        <v>31048.687999999998</v>
      </c>
      <c r="D3" s="3067">
        <v>54335.4</v>
      </c>
      <c r="E3" s="3067">
        <v>23286.6</v>
      </c>
      <c r="F3" s="3067">
        <v>0</v>
      </c>
      <c r="G3" s="3067">
        <f>D3+E3+F3</f>
        <v>77622</v>
      </c>
      <c r="H3" s="3067">
        <v>36673.82</v>
      </c>
      <c r="I3" s="3067">
        <v>146500</v>
      </c>
      <c r="J3" s="3067">
        <f>ROUND(I3*10000/G3,2)</f>
        <v>18873.52</v>
      </c>
      <c r="K3" s="3068" t="s">
        <v>3263</v>
      </c>
      <c r="L3" s="3068" t="s">
        <v>3261</v>
      </c>
      <c r="M3" s="3068" t="s">
        <v>3257</v>
      </c>
      <c r="N3" s="3070">
        <v>42941</v>
      </c>
      <c r="O3" s="3067">
        <f>I3+3245*E3/10000</f>
        <v>154056.50169999999</v>
      </c>
      <c r="P3" s="3067">
        <f>ROUND(O3*10000/G3,0)</f>
        <v>19847</v>
      </c>
    </row>
    <row r="4" spans="1:18" ht="81">
      <c r="A4" s="3066" t="s">
        <v>3252</v>
      </c>
      <c r="B4" s="3068" t="s">
        <v>3264</v>
      </c>
      <c r="C4" s="3067">
        <v>95947</v>
      </c>
      <c r="D4" s="3067">
        <v>211083</v>
      </c>
      <c r="E4" s="3067">
        <v>0</v>
      </c>
      <c r="F4" s="3067">
        <v>0</v>
      </c>
      <c r="G4" s="3067">
        <f>D4+E4+F4</f>
        <v>211083</v>
      </c>
      <c r="H4" s="3067">
        <v>168440.53</v>
      </c>
      <c r="I4" s="3067">
        <v>370000</v>
      </c>
      <c r="J4" s="3067">
        <f>ROUND(I4*10000/G4,2)</f>
        <v>17528.650000000001</v>
      </c>
      <c r="K4" s="3068" t="s">
        <v>3266</v>
      </c>
      <c r="L4" s="3068" t="s">
        <v>3261</v>
      </c>
      <c r="M4" s="3068" t="s">
        <v>3265</v>
      </c>
      <c r="N4" s="3070">
        <v>43045</v>
      </c>
      <c r="O4" s="3067">
        <f>I4</f>
        <v>370000</v>
      </c>
      <c r="P4" s="3067">
        <f>ROUND(O4*10000/G4,0)</f>
        <v>17529</v>
      </c>
    </row>
    <row r="5" spans="1:18" ht="54">
      <c r="A5" s="3066" t="s">
        <v>3254</v>
      </c>
      <c r="B5" s="3068" t="s">
        <v>3255</v>
      </c>
      <c r="C5" s="3067">
        <v>63029.618999999999</v>
      </c>
      <c r="D5" s="3067">
        <v>100847.2</v>
      </c>
      <c r="E5" s="3067">
        <v>24911.8</v>
      </c>
      <c r="F5" s="3067">
        <v>300</v>
      </c>
      <c r="G5" s="3067">
        <f>D5+E5+F5</f>
        <v>126059</v>
      </c>
      <c r="H5" s="3067">
        <v>110919.93</v>
      </c>
      <c r="I5" s="3067">
        <v>252000</v>
      </c>
      <c r="J5" s="3067">
        <f>ROUND(I5*10000/G5,2)</f>
        <v>19990.64</v>
      </c>
      <c r="K5" s="3068" t="s">
        <v>3260</v>
      </c>
      <c r="L5" s="3068" t="s">
        <v>3261</v>
      </c>
      <c r="M5" s="3068" t="s">
        <v>3257</v>
      </c>
      <c r="N5" s="3069">
        <v>42850</v>
      </c>
      <c r="O5" s="3067">
        <f>(I5-H5/G5*F5+4715*E5/10000)</f>
        <v>263481.94223425776</v>
      </c>
      <c r="P5" s="3067">
        <f>ROUND(O5*10000/(G5-F5),0)</f>
        <v>20951</v>
      </c>
      <c r="Q5">
        <f>ROUND(P6/4,0)</f>
        <v>4861</v>
      </c>
      <c r="R5">
        <f>P6*0.12</f>
        <v>2333.08</v>
      </c>
    </row>
    <row r="6" spans="1:18">
      <c r="H6">
        <f>I5-H5</f>
        <v>141080.07</v>
      </c>
      <c r="P6">
        <f>AVERAGE(P3:P5)</f>
        <v>19442.333333333332</v>
      </c>
      <c r="Q6" s="3063">
        <f>Q5-R5</f>
        <v>2527.92</v>
      </c>
    </row>
    <row r="7" spans="1:18">
      <c r="H7">
        <f>H6*10000/(G5-300)</f>
        <v>11218.288154326927</v>
      </c>
    </row>
    <row r="10" spans="1:18" ht="54">
      <c r="A10" s="3074" t="s">
        <v>3274</v>
      </c>
      <c r="B10" s="3068" t="s">
        <v>3267</v>
      </c>
      <c r="C10" s="3067">
        <v>20291.366999999998</v>
      </c>
      <c r="D10" s="3067">
        <f>36524-E10</f>
        <v>35324</v>
      </c>
      <c r="E10" s="3067">
        <v>1200</v>
      </c>
      <c r="F10" s="3067">
        <v>0</v>
      </c>
      <c r="G10" s="3067">
        <f>D10+E10+F10</f>
        <v>36524</v>
      </c>
      <c r="H10" s="3075">
        <f>276835300/10000</f>
        <v>27683.53</v>
      </c>
      <c r="I10" s="3067">
        <v>62800</v>
      </c>
      <c r="J10" s="3067">
        <f>ROUND(I10*10000/G10,2)</f>
        <v>17194.169999999998</v>
      </c>
      <c r="K10" s="3068" t="s">
        <v>3268</v>
      </c>
      <c r="L10" s="3068" t="s">
        <v>3269</v>
      </c>
      <c r="M10" s="3068" t="s">
        <v>3270</v>
      </c>
      <c r="N10" s="3069">
        <v>43118</v>
      </c>
      <c r="O10" s="3067">
        <f>I10+E10*2620/10000</f>
        <v>63114.400000000001</v>
      </c>
      <c r="P10" s="3067">
        <f>ROUND(O10*10000/G10,0)</f>
        <v>17280</v>
      </c>
    </row>
    <row r="11" spans="1:18">
      <c r="A11" s="3073"/>
      <c r="B11" s="3068"/>
      <c r="C11" s="3067"/>
      <c r="D11" s="3067"/>
      <c r="E11" s="3067"/>
      <c r="F11" s="3067"/>
      <c r="G11" s="3067"/>
      <c r="H11" s="3067"/>
      <c r="I11" s="3067"/>
      <c r="J11" s="3067"/>
      <c r="K11" s="3068"/>
      <c r="L11" s="3068"/>
      <c r="M11" s="3068"/>
      <c r="N11" s="3069"/>
      <c r="O11" s="3067"/>
      <c r="P11" s="3076">
        <f>AVERAGE(P10,P5,P4,P3)</f>
        <v>18901.75</v>
      </c>
    </row>
    <row r="16" spans="1:18">
      <c r="N16" s="3063">
        <f>'比较法-住宅'!C48-土地案例!R11-J10*0.25+J10*0.75*0.12</f>
        <v>25661.0504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8" customWidth="1"/>
    <col min="2" max="2" width="13.875" style="3108" customWidth="1"/>
    <col min="3" max="3" width="7.875" style="3108" customWidth="1"/>
    <col min="4" max="4" width="17.5" style="3108" customWidth="1"/>
    <col min="5" max="5" width="11.75" style="3108" customWidth="1"/>
    <col min="6" max="6" width="13.875" style="3108" customWidth="1"/>
    <col min="7" max="7" width="8" style="3108" customWidth="1"/>
    <col min="8" max="8" width="9" style="3108" customWidth="1"/>
    <col min="9" max="9" width="31" style="3108" hidden="1" customWidth="1"/>
    <col min="10" max="11" width="10.625" style="3108" customWidth="1"/>
    <col min="12" max="12" width="11.5" style="3108" customWidth="1"/>
    <col min="13" max="13" width="6.25" style="3108" customWidth="1"/>
    <col min="14" max="14" width="7.875" style="3108" customWidth="1"/>
    <col min="15" max="254" width="9" style="3108"/>
    <col min="255" max="255" width="104.5" style="3108" customWidth="1"/>
    <col min="256" max="256" width="6.25" style="3108" customWidth="1"/>
    <col min="257" max="257" width="13.875" style="3108" customWidth="1"/>
    <col min="258" max="258" width="7.875" style="3108" customWidth="1"/>
    <col min="259" max="259" width="48" style="3108" customWidth="1"/>
    <col min="260" max="261" width="13.875" style="3108" customWidth="1"/>
    <col min="262" max="262" width="20.75" style="3108" customWidth="1"/>
    <col min="263" max="264" width="9" style="3108" customWidth="1"/>
    <col min="265" max="265" width="72.375" style="3108" customWidth="1"/>
    <col min="266" max="267" width="10.625" style="3108" customWidth="1"/>
    <col min="268" max="268" width="14.375" style="3108" customWidth="1"/>
    <col min="269" max="269" width="6.25" style="3108" customWidth="1"/>
    <col min="270" max="270" width="7.875" style="3108" customWidth="1"/>
    <col min="271" max="510" width="9" style="3108"/>
    <col min="511" max="511" width="104.5" style="3108" customWidth="1"/>
    <col min="512" max="512" width="6.25" style="3108" customWidth="1"/>
    <col min="513" max="513" width="13.875" style="3108" customWidth="1"/>
    <col min="514" max="514" width="7.875" style="3108" customWidth="1"/>
    <col min="515" max="515" width="48" style="3108" customWidth="1"/>
    <col min="516" max="517" width="13.875" style="3108" customWidth="1"/>
    <col min="518" max="518" width="20.75" style="3108" customWidth="1"/>
    <col min="519" max="520" width="9" style="3108" customWidth="1"/>
    <col min="521" max="521" width="72.375" style="3108" customWidth="1"/>
    <col min="522" max="523" width="10.625" style="3108" customWidth="1"/>
    <col min="524" max="524" width="14.375" style="3108" customWidth="1"/>
    <col min="525" max="525" width="6.25" style="3108" customWidth="1"/>
    <col min="526" max="526" width="7.875" style="3108" customWidth="1"/>
    <col min="527" max="766" width="9" style="3108"/>
    <col min="767" max="767" width="104.5" style="3108" customWidth="1"/>
    <col min="768" max="768" width="6.25" style="3108" customWidth="1"/>
    <col min="769" max="769" width="13.875" style="3108" customWidth="1"/>
    <col min="770" max="770" width="7.875" style="3108" customWidth="1"/>
    <col min="771" max="771" width="48" style="3108" customWidth="1"/>
    <col min="772" max="773" width="13.875" style="3108" customWidth="1"/>
    <col min="774" max="774" width="20.75" style="3108" customWidth="1"/>
    <col min="775" max="776" width="9" style="3108" customWidth="1"/>
    <col min="777" max="777" width="72.375" style="3108" customWidth="1"/>
    <col min="778" max="779" width="10.625" style="3108" customWidth="1"/>
    <col min="780" max="780" width="14.375" style="3108" customWidth="1"/>
    <col min="781" max="781" width="6.25" style="3108" customWidth="1"/>
    <col min="782" max="782" width="7.875" style="3108" customWidth="1"/>
    <col min="783" max="1022" width="9" style="3108"/>
    <col min="1023" max="1023" width="104.5" style="3108" customWidth="1"/>
    <col min="1024" max="1024" width="6.25" style="3108" customWidth="1"/>
    <col min="1025" max="1025" width="13.875" style="3108" customWidth="1"/>
    <col min="1026" max="1026" width="7.875" style="3108" customWidth="1"/>
    <col min="1027" max="1027" width="48" style="3108" customWidth="1"/>
    <col min="1028" max="1029" width="13.875" style="3108" customWidth="1"/>
    <col min="1030" max="1030" width="20.75" style="3108" customWidth="1"/>
    <col min="1031" max="1032" width="9" style="3108" customWidth="1"/>
    <col min="1033" max="1033" width="72.375" style="3108" customWidth="1"/>
    <col min="1034" max="1035" width="10.625" style="3108" customWidth="1"/>
    <col min="1036" max="1036" width="14.375" style="3108" customWidth="1"/>
    <col min="1037" max="1037" width="6.25" style="3108" customWidth="1"/>
    <col min="1038" max="1038" width="7.875" style="3108" customWidth="1"/>
    <col min="1039" max="1278" width="9" style="3108"/>
    <col min="1279" max="1279" width="104.5" style="3108" customWidth="1"/>
    <col min="1280" max="1280" width="6.25" style="3108" customWidth="1"/>
    <col min="1281" max="1281" width="13.875" style="3108" customWidth="1"/>
    <col min="1282" max="1282" width="7.875" style="3108" customWidth="1"/>
    <col min="1283" max="1283" width="48" style="3108" customWidth="1"/>
    <col min="1284" max="1285" width="13.875" style="3108" customWidth="1"/>
    <col min="1286" max="1286" width="20.75" style="3108" customWidth="1"/>
    <col min="1287" max="1288" width="9" style="3108" customWidth="1"/>
    <col min="1289" max="1289" width="72.375" style="3108" customWidth="1"/>
    <col min="1290" max="1291" width="10.625" style="3108" customWidth="1"/>
    <col min="1292" max="1292" width="14.375" style="3108" customWidth="1"/>
    <col min="1293" max="1293" width="6.25" style="3108" customWidth="1"/>
    <col min="1294" max="1294" width="7.875" style="3108" customWidth="1"/>
    <col min="1295" max="1534" width="9" style="3108"/>
    <col min="1535" max="1535" width="104.5" style="3108" customWidth="1"/>
    <col min="1536" max="1536" width="6.25" style="3108" customWidth="1"/>
    <col min="1537" max="1537" width="13.875" style="3108" customWidth="1"/>
    <col min="1538" max="1538" width="7.875" style="3108" customWidth="1"/>
    <col min="1539" max="1539" width="48" style="3108" customWidth="1"/>
    <col min="1540" max="1541" width="13.875" style="3108" customWidth="1"/>
    <col min="1542" max="1542" width="20.75" style="3108" customWidth="1"/>
    <col min="1543" max="1544" width="9" style="3108" customWidth="1"/>
    <col min="1545" max="1545" width="72.375" style="3108" customWidth="1"/>
    <col min="1546" max="1547" width="10.625" style="3108" customWidth="1"/>
    <col min="1548" max="1548" width="14.375" style="3108" customWidth="1"/>
    <col min="1549" max="1549" width="6.25" style="3108" customWidth="1"/>
    <col min="1550" max="1550" width="7.875" style="3108" customWidth="1"/>
    <col min="1551" max="1790" width="9" style="3108"/>
    <col min="1791" max="1791" width="104.5" style="3108" customWidth="1"/>
    <col min="1792" max="1792" width="6.25" style="3108" customWidth="1"/>
    <col min="1793" max="1793" width="13.875" style="3108" customWidth="1"/>
    <col min="1794" max="1794" width="7.875" style="3108" customWidth="1"/>
    <col min="1795" max="1795" width="48" style="3108" customWidth="1"/>
    <col min="1796" max="1797" width="13.875" style="3108" customWidth="1"/>
    <col min="1798" max="1798" width="20.75" style="3108" customWidth="1"/>
    <col min="1799" max="1800" width="9" style="3108" customWidth="1"/>
    <col min="1801" max="1801" width="72.375" style="3108" customWidth="1"/>
    <col min="1802" max="1803" width="10.625" style="3108" customWidth="1"/>
    <col min="1804" max="1804" width="14.375" style="3108" customWidth="1"/>
    <col min="1805" max="1805" width="6.25" style="3108" customWidth="1"/>
    <col min="1806" max="1806" width="7.875" style="3108" customWidth="1"/>
    <col min="1807" max="2046" width="9" style="3108"/>
    <col min="2047" max="2047" width="104.5" style="3108" customWidth="1"/>
    <col min="2048" max="2048" width="6.25" style="3108" customWidth="1"/>
    <col min="2049" max="2049" width="13.875" style="3108" customWidth="1"/>
    <col min="2050" max="2050" width="7.875" style="3108" customWidth="1"/>
    <col min="2051" max="2051" width="48" style="3108" customWidth="1"/>
    <col min="2052" max="2053" width="13.875" style="3108" customWidth="1"/>
    <col min="2054" max="2054" width="20.75" style="3108" customWidth="1"/>
    <col min="2055" max="2056" width="9" style="3108" customWidth="1"/>
    <col min="2057" max="2057" width="72.375" style="3108" customWidth="1"/>
    <col min="2058" max="2059" width="10.625" style="3108" customWidth="1"/>
    <col min="2060" max="2060" width="14.375" style="3108" customWidth="1"/>
    <col min="2061" max="2061" width="6.25" style="3108" customWidth="1"/>
    <col min="2062" max="2062" width="7.875" style="3108" customWidth="1"/>
    <col min="2063" max="2302" width="9" style="3108"/>
    <col min="2303" max="2303" width="104.5" style="3108" customWidth="1"/>
    <col min="2304" max="2304" width="6.25" style="3108" customWidth="1"/>
    <col min="2305" max="2305" width="13.875" style="3108" customWidth="1"/>
    <col min="2306" max="2306" width="7.875" style="3108" customWidth="1"/>
    <col min="2307" max="2307" width="48" style="3108" customWidth="1"/>
    <col min="2308" max="2309" width="13.875" style="3108" customWidth="1"/>
    <col min="2310" max="2310" width="20.75" style="3108" customWidth="1"/>
    <col min="2311" max="2312" width="9" style="3108" customWidth="1"/>
    <col min="2313" max="2313" width="72.375" style="3108" customWidth="1"/>
    <col min="2314" max="2315" width="10.625" style="3108" customWidth="1"/>
    <col min="2316" max="2316" width="14.375" style="3108" customWidth="1"/>
    <col min="2317" max="2317" width="6.25" style="3108" customWidth="1"/>
    <col min="2318" max="2318" width="7.875" style="3108" customWidth="1"/>
    <col min="2319" max="2558" width="9" style="3108"/>
    <col min="2559" max="2559" width="104.5" style="3108" customWidth="1"/>
    <col min="2560" max="2560" width="6.25" style="3108" customWidth="1"/>
    <col min="2561" max="2561" width="13.875" style="3108" customWidth="1"/>
    <col min="2562" max="2562" width="7.875" style="3108" customWidth="1"/>
    <col min="2563" max="2563" width="48" style="3108" customWidth="1"/>
    <col min="2564" max="2565" width="13.875" style="3108" customWidth="1"/>
    <col min="2566" max="2566" width="20.75" style="3108" customWidth="1"/>
    <col min="2567" max="2568" width="9" style="3108" customWidth="1"/>
    <col min="2569" max="2569" width="72.375" style="3108" customWidth="1"/>
    <col min="2570" max="2571" width="10.625" style="3108" customWidth="1"/>
    <col min="2572" max="2572" width="14.375" style="3108" customWidth="1"/>
    <col min="2573" max="2573" width="6.25" style="3108" customWidth="1"/>
    <col min="2574" max="2574" width="7.875" style="3108" customWidth="1"/>
    <col min="2575" max="2814" width="9" style="3108"/>
    <col min="2815" max="2815" width="104.5" style="3108" customWidth="1"/>
    <col min="2816" max="2816" width="6.25" style="3108" customWidth="1"/>
    <col min="2817" max="2817" width="13.875" style="3108" customWidth="1"/>
    <col min="2818" max="2818" width="7.875" style="3108" customWidth="1"/>
    <col min="2819" max="2819" width="48" style="3108" customWidth="1"/>
    <col min="2820" max="2821" width="13.875" style="3108" customWidth="1"/>
    <col min="2822" max="2822" width="20.75" style="3108" customWidth="1"/>
    <col min="2823" max="2824" width="9" style="3108" customWidth="1"/>
    <col min="2825" max="2825" width="72.375" style="3108" customWidth="1"/>
    <col min="2826" max="2827" width="10.625" style="3108" customWidth="1"/>
    <col min="2828" max="2828" width="14.375" style="3108" customWidth="1"/>
    <col min="2829" max="2829" width="6.25" style="3108" customWidth="1"/>
    <col min="2830" max="2830" width="7.875" style="3108" customWidth="1"/>
    <col min="2831" max="3070" width="9" style="3108"/>
    <col min="3071" max="3071" width="104.5" style="3108" customWidth="1"/>
    <col min="3072" max="3072" width="6.25" style="3108" customWidth="1"/>
    <col min="3073" max="3073" width="13.875" style="3108" customWidth="1"/>
    <col min="3074" max="3074" width="7.875" style="3108" customWidth="1"/>
    <col min="3075" max="3075" width="48" style="3108" customWidth="1"/>
    <col min="3076" max="3077" width="13.875" style="3108" customWidth="1"/>
    <col min="3078" max="3078" width="20.75" style="3108" customWidth="1"/>
    <col min="3079" max="3080" width="9" style="3108" customWidth="1"/>
    <col min="3081" max="3081" width="72.375" style="3108" customWidth="1"/>
    <col min="3082" max="3083" width="10.625" style="3108" customWidth="1"/>
    <col min="3084" max="3084" width="14.375" style="3108" customWidth="1"/>
    <col min="3085" max="3085" width="6.25" style="3108" customWidth="1"/>
    <col min="3086" max="3086" width="7.875" style="3108" customWidth="1"/>
    <col min="3087" max="3326" width="9" style="3108"/>
    <col min="3327" max="3327" width="104.5" style="3108" customWidth="1"/>
    <col min="3328" max="3328" width="6.25" style="3108" customWidth="1"/>
    <col min="3329" max="3329" width="13.875" style="3108" customWidth="1"/>
    <col min="3330" max="3330" width="7.875" style="3108" customWidth="1"/>
    <col min="3331" max="3331" width="48" style="3108" customWidth="1"/>
    <col min="3332" max="3333" width="13.875" style="3108" customWidth="1"/>
    <col min="3334" max="3334" width="20.75" style="3108" customWidth="1"/>
    <col min="3335" max="3336" width="9" style="3108" customWidth="1"/>
    <col min="3337" max="3337" width="72.375" style="3108" customWidth="1"/>
    <col min="3338" max="3339" width="10.625" style="3108" customWidth="1"/>
    <col min="3340" max="3340" width="14.375" style="3108" customWidth="1"/>
    <col min="3341" max="3341" width="6.25" style="3108" customWidth="1"/>
    <col min="3342" max="3342" width="7.875" style="3108" customWidth="1"/>
    <col min="3343" max="3582" width="9" style="3108"/>
    <col min="3583" max="3583" width="104.5" style="3108" customWidth="1"/>
    <col min="3584" max="3584" width="6.25" style="3108" customWidth="1"/>
    <col min="3585" max="3585" width="13.875" style="3108" customWidth="1"/>
    <col min="3586" max="3586" width="7.875" style="3108" customWidth="1"/>
    <col min="3587" max="3587" width="48" style="3108" customWidth="1"/>
    <col min="3588" max="3589" width="13.875" style="3108" customWidth="1"/>
    <col min="3590" max="3590" width="20.75" style="3108" customWidth="1"/>
    <col min="3591" max="3592" width="9" style="3108" customWidth="1"/>
    <col min="3593" max="3593" width="72.375" style="3108" customWidth="1"/>
    <col min="3594" max="3595" width="10.625" style="3108" customWidth="1"/>
    <col min="3596" max="3596" width="14.375" style="3108" customWidth="1"/>
    <col min="3597" max="3597" width="6.25" style="3108" customWidth="1"/>
    <col min="3598" max="3598" width="7.875" style="3108" customWidth="1"/>
    <col min="3599" max="3838" width="9" style="3108"/>
    <col min="3839" max="3839" width="104.5" style="3108" customWidth="1"/>
    <col min="3840" max="3840" width="6.25" style="3108" customWidth="1"/>
    <col min="3841" max="3841" width="13.875" style="3108" customWidth="1"/>
    <col min="3842" max="3842" width="7.875" style="3108" customWidth="1"/>
    <col min="3843" max="3843" width="48" style="3108" customWidth="1"/>
    <col min="3844" max="3845" width="13.875" style="3108" customWidth="1"/>
    <col min="3846" max="3846" width="20.75" style="3108" customWidth="1"/>
    <col min="3847" max="3848" width="9" style="3108" customWidth="1"/>
    <col min="3849" max="3849" width="72.375" style="3108" customWidth="1"/>
    <col min="3850" max="3851" width="10.625" style="3108" customWidth="1"/>
    <col min="3852" max="3852" width="14.375" style="3108" customWidth="1"/>
    <col min="3853" max="3853" width="6.25" style="3108" customWidth="1"/>
    <col min="3854" max="3854" width="7.875" style="3108" customWidth="1"/>
    <col min="3855" max="4094" width="9" style="3108"/>
    <col min="4095" max="4095" width="104.5" style="3108" customWidth="1"/>
    <col min="4096" max="4096" width="6.25" style="3108" customWidth="1"/>
    <col min="4097" max="4097" width="13.875" style="3108" customWidth="1"/>
    <col min="4098" max="4098" width="7.875" style="3108" customWidth="1"/>
    <col min="4099" max="4099" width="48" style="3108" customWidth="1"/>
    <col min="4100" max="4101" width="13.875" style="3108" customWidth="1"/>
    <col min="4102" max="4102" width="20.75" style="3108" customWidth="1"/>
    <col min="4103" max="4104" width="9" style="3108" customWidth="1"/>
    <col min="4105" max="4105" width="72.375" style="3108" customWidth="1"/>
    <col min="4106" max="4107" width="10.625" style="3108" customWidth="1"/>
    <col min="4108" max="4108" width="14.375" style="3108" customWidth="1"/>
    <col min="4109" max="4109" width="6.25" style="3108" customWidth="1"/>
    <col min="4110" max="4110" width="7.875" style="3108" customWidth="1"/>
    <col min="4111" max="4350" width="9" style="3108"/>
    <col min="4351" max="4351" width="104.5" style="3108" customWidth="1"/>
    <col min="4352" max="4352" width="6.25" style="3108" customWidth="1"/>
    <col min="4353" max="4353" width="13.875" style="3108" customWidth="1"/>
    <col min="4354" max="4354" width="7.875" style="3108" customWidth="1"/>
    <col min="4355" max="4355" width="48" style="3108" customWidth="1"/>
    <col min="4356" max="4357" width="13.875" style="3108" customWidth="1"/>
    <col min="4358" max="4358" width="20.75" style="3108" customWidth="1"/>
    <col min="4359" max="4360" width="9" style="3108" customWidth="1"/>
    <col min="4361" max="4361" width="72.375" style="3108" customWidth="1"/>
    <col min="4362" max="4363" width="10.625" style="3108" customWidth="1"/>
    <col min="4364" max="4364" width="14.375" style="3108" customWidth="1"/>
    <col min="4365" max="4365" width="6.25" style="3108" customWidth="1"/>
    <col min="4366" max="4366" width="7.875" style="3108" customWidth="1"/>
    <col min="4367" max="4606" width="9" style="3108"/>
    <col min="4607" max="4607" width="104.5" style="3108" customWidth="1"/>
    <col min="4608" max="4608" width="6.25" style="3108" customWidth="1"/>
    <col min="4609" max="4609" width="13.875" style="3108" customWidth="1"/>
    <col min="4610" max="4610" width="7.875" style="3108" customWidth="1"/>
    <col min="4611" max="4611" width="48" style="3108" customWidth="1"/>
    <col min="4612" max="4613" width="13.875" style="3108" customWidth="1"/>
    <col min="4614" max="4614" width="20.75" style="3108" customWidth="1"/>
    <col min="4615" max="4616" width="9" style="3108" customWidth="1"/>
    <col min="4617" max="4617" width="72.375" style="3108" customWidth="1"/>
    <col min="4618" max="4619" width="10.625" style="3108" customWidth="1"/>
    <col min="4620" max="4620" width="14.375" style="3108" customWidth="1"/>
    <col min="4621" max="4621" width="6.25" style="3108" customWidth="1"/>
    <col min="4622" max="4622" width="7.875" style="3108" customWidth="1"/>
    <col min="4623" max="4862" width="9" style="3108"/>
    <col min="4863" max="4863" width="104.5" style="3108" customWidth="1"/>
    <col min="4864" max="4864" width="6.25" style="3108" customWidth="1"/>
    <col min="4865" max="4865" width="13.875" style="3108" customWidth="1"/>
    <col min="4866" max="4866" width="7.875" style="3108" customWidth="1"/>
    <col min="4867" max="4867" width="48" style="3108" customWidth="1"/>
    <col min="4868" max="4869" width="13.875" style="3108" customWidth="1"/>
    <col min="4870" max="4870" width="20.75" style="3108" customWidth="1"/>
    <col min="4871" max="4872" width="9" style="3108" customWidth="1"/>
    <col min="4873" max="4873" width="72.375" style="3108" customWidth="1"/>
    <col min="4874" max="4875" width="10.625" style="3108" customWidth="1"/>
    <col min="4876" max="4876" width="14.375" style="3108" customWidth="1"/>
    <col min="4877" max="4877" width="6.25" style="3108" customWidth="1"/>
    <col min="4878" max="4878" width="7.875" style="3108" customWidth="1"/>
    <col min="4879" max="5118" width="9" style="3108"/>
    <col min="5119" max="5119" width="104.5" style="3108" customWidth="1"/>
    <col min="5120" max="5120" width="6.25" style="3108" customWidth="1"/>
    <col min="5121" max="5121" width="13.875" style="3108" customWidth="1"/>
    <col min="5122" max="5122" width="7.875" style="3108" customWidth="1"/>
    <col min="5123" max="5123" width="48" style="3108" customWidth="1"/>
    <col min="5124" max="5125" width="13.875" style="3108" customWidth="1"/>
    <col min="5126" max="5126" width="20.75" style="3108" customWidth="1"/>
    <col min="5127" max="5128" width="9" style="3108" customWidth="1"/>
    <col min="5129" max="5129" width="72.375" style="3108" customWidth="1"/>
    <col min="5130" max="5131" width="10.625" style="3108" customWidth="1"/>
    <col min="5132" max="5132" width="14.375" style="3108" customWidth="1"/>
    <col min="5133" max="5133" width="6.25" style="3108" customWidth="1"/>
    <col min="5134" max="5134" width="7.875" style="3108" customWidth="1"/>
    <col min="5135" max="5374" width="9" style="3108"/>
    <col min="5375" max="5375" width="104.5" style="3108" customWidth="1"/>
    <col min="5376" max="5376" width="6.25" style="3108" customWidth="1"/>
    <col min="5377" max="5377" width="13.875" style="3108" customWidth="1"/>
    <col min="5378" max="5378" width="7.875" style="3108" customWidth="1"/>
    <col min="5379" max="5379" width="48" style="3108" customWidth="1"/>
    <col min="5380" max="5381" width="13.875" style="3108" customWidth="1"/>
    <col min="5382" max="5382" width="20.75" style="3108" customWidth="1"/>
    <col min="5383" max="5384" width="9" style="3108" customWidth="1"/>
    <col min="5385" max="5385" width="72.375" style="3108" customWidth="1"/>
    <col min="5386" max="5387" width="10.625" style="3108" customWidth="1"/>
    <col min="5388" max="5388" width="14.375" style="3108" customWidth="1"/>
    <col min="5389" max="5389" width="6.25" style="3108" customWidth="1"/>
    <col min="5390" max="5390" width="7.875" style="3108" customWidth="1"/>
    <col min="5391" max="5630" width="9" style="3108"/>
    <col min="5631" max="5631" width="104.5" style="3108" customWidth="1"/>
    <col min="5632" max="5632" width="6.25" style="3108" customWidth="1"/>
    <col min="5633" max="5633" width="13.875" style="3108" customWidth="1"/>
    <col min="5634" max="5634" width="7.875" style="3108" customWidth="1"/>
    <col min="5635" max="5635" width="48" style="3108" customWidth="1"/>
    <col min="5636" max="5637" width="13.875" style="3108" customWidth="1"/>
    <col min="5638" max="5638" width="20.75" style="3108" customWidth="1"/>
    <col min="5639" max="5640" width="9" style="3108" customWidth="1"/>
    <col min="5641" max="5641" width="72.375" style="3108" customWidth="1"/>
    <col min="5642" max="5643" width="10.625" style="3108" customWidth="1"/>
    <col min="5644" max="5644" width="14.375" style="3108" customWidth="1"/>
    <col min="5645" max="5645" width="6.25" style="3108" customWidth="1"/>
    <col min="5646" max="5646" width="7.875" style="3108" customWidth="1"/>
    <col min="5647" max="5886" width="9" style="3108"/>
    <col min="5887" max="5887" width="104.5" style="3108" customWidth="1"/>
    <col min="5888" max="5888" width="6.25" style="3108" customWidth="1"/>
    <col min="5889" max="5889" width="13.875" style="3108" customWidth="1"/>
    <col min="5890" max="5890" width="7.875" style="3108" customWidth="1"/>
    <col min="5891" max="5891" width="48" style="3108" customWidth="1"/>
    <col min="5892" max="5893" width="13.875" style="3108" customWidth="1"/>
    <col min="5894" max="5894" width="20.75" style="3108" customWidth="1"/>
    <col min="5895" max="5896" width="9" style="3108" customWidth="1"/>
    <col min="5897" max="5897" width="72.375" style="3108" customWidth="1"/>
    <col min="5898" max="5899" width="10.625" style="3108" customWidth="1"/>
    <col min="5900" max="5900" width="14.375" style="3108" customWidth="1"/>
    <col min="5901" max="5901" width="6.25" style="3108" customWidth="1"/>
    <col min="5902" max="5902" width="7.875" style="3108" customWidth="1"/>
    <col min="5903" max="6142" width="9" style="3108"/>
    <col min="6143" max="6143" width="104.5" style="3108" customWidth="1"/>
    <col min="6144" max="6144" width="6.25" style="3108" customWidth="1"/>
    <col min="6145" max="6145" width="13.875" style="3108" customWidth="1"/>
    <col min="6146" max="6146" width="7.875" style="3108" customWidth="1"/>
    <col min="6147" max="6147" width="48" style="3108" customWidth="1"/>
    <col min="6148" max="6149" width="13.875" style="3108" customWidth="1"/>
    <col min="6150" max="6150" width="20.75" style="3108" customWidth="1"/>
    <col min="6151" max="6152" width="9" style="3108" customWidth="1"/>
    <col min="6153" max="6153" width="72.375" style="3108" customWidth="1"/>
    <col min="6154" max="6155" width="10.625" style="3108" customWidth="1"/>
    <col min="6156" max="6156" width="14.375" style="3108" customWidth="1"/>
    <col min="6157" max="6157" width="6.25" style="3108" customWidth="1"/>
    <col min="6158" max="6158" width="7.875" style="3108" customWidth="1"/>
    <col min="6159" max="6398" width="9" style="3108"/>
    <col min="6399" max="6399" width="104.5" style="3108" customWidth="1"/>
    <col min="6400" max="6400" width="6.25" style="3108" customWidth="1"/>
    <col min="6401" max="6401" width="13.875" style="3108" customWidth="1"/>
    <col min="6402" max="6402" width="7.875" style="3108" customWidth="1"/>
    <col min="6403" max="6403" width="48" style="3108" customWidth="1"/>
    <col min="6404" max="6405" width="13.875" style="3108" customWidth="1"/>
    <col min="6406" max="6406" width="20.75" style="3108" customWidth="1"/>
    <col min="6407" max="6408" width="9" style="3108" customWidth="1"/>
    <col min="6409" max="6409" width="72.375" style="3108" customWidth="1"/>
    <col min="6410" max="6411" width="10.625" style="3108" customWidth="1"/>
    <col min="6412" max="6412" width="14.375" style="3108" customWidth="1"/>
    <col min="6413" max="6413" width="6.25" style="3108" customWidth="1"/>
    <col min="6414" max="6414" width="7.875" style="3108" customWidth="1"/>
    <col min="6415" max="6654" width="9" style="3108"/>
    <col min="6655" max="6655" width="104.5" style="3108" customWidth="1"/>
    <col min="6656" max="6656" width="6.25" style="3108" customWidth="1"/>
    <col min="6657" max="6657" width="13.875" style="3108" customWidth="1"/>
    <col min="6658" max="6658" width="7.875" style="3108" customWidth="1"/>
    <col min="6659" max="6659" width="48" style="3108" customWidth="1"/>
    <col min="6660" max="6661" width="13.875" style="3108" customWidth="1"/>
    <col min="6662" max="6662" width="20.75" style="3108" customWidth="1"/>
    <col min="6663" max="6664" width="9" style="3108" customWidth="1"/>
    <col min="6665" max="6665" width="72.375" style="3108" customWidth="1"/>
    <col min="6666" max="6667" width="10.625" style="3108" customWidth="1"/>
    <col min="6668" max="6668" width="14.375" style="3108" customWidth="1"/>
    <col min="6669" max="6669" width="6.25" style="3108" customWidth="1"/>
    <col min="6670" max="6670" width="7.875" style="3108" customWidth="1"/>
    <col min="6671" max="6910" width="9" style="3108"/>
    <col min="6911" max="6911" width="104.5" style="3108" customWidth="1"/>
    <col min="6912" max="6912" width="6.25" style="3108" customWidth="1"/>
    <col min="6913" max="6913" width="13.875" style="3108" customWidth="1"/>
    <col min="6914" max="6914" width="7.875" style="3108" customWidth="1"/>
    <col min="6915" max="6915" width="48" style="3108" customWidth="1"/>
    <col min="6916" max="6917" width="13.875" style="3108" customWidth="1"/>
    <col min="6918" max="6918" width="20.75" style="3108" customWidth="1"/>
    <col min="6919" max="6920" width="9" style="3108" customWidth="1"/>
    <col min="6921" max="6921" width="72.375" style="3108" customWidth="1"/>
    <col min="6922" max="6923" width="10.625" style="3108" customWidth="1"/>
    <col min="6924" max="6924" width="14.375" style="3108" customWidth="1"/>
    <col min="6925" max="6925" width="6.25" style="3108" customWidth="1"/>
    <col min="6926" max="6926" width="7.875" style="3108" customWidth="1"/>
    <col min="6927" max="7166" width="9" style="3108"/>
    <col min="7167" max="7167" width="104.5" style="3108" customWidth="1"/>
    <col min="7168" max="7168" width="6.25" style="3108" customWidth="1"/>
    <col min="7169" max="7169" width="13.875" style="3108" customWidth="1"/>
    <col min="7170" max="7170" width="7.875" style="3108" customWidth="1"/>
    <col min="7171" max="7171" width="48" style="3108" customWidth="1"/>
    <col min="7172" max="7173" width="13.875" style="3108" customWidth="1"/>
    <col min="7174" max="7174" width="20.75" style="3108" customWidth="1"/>
    <col min="7175" max="7176" width="9" style="3108" customWidth="1"/>
    <col min="7177" max="7177" width="72.375" style="3108" customWidth="1"/>
    <col min="7178" max="7179" width="10.625" style="3108" customWidth="1"/>
    <col min="7180" max="7180" width="14.375" style="3108" customWidth="1"/>
    <col min="7181" max="7181" width="6.25" style="3108" customWidth="1"/>
    <col min="7182" max="7182" width="7.875" style="3108" customWidth="1"/>
    <col min="7183" max="7422" width="9" style="3108"/>
    <col min="7423" max="7423" width="104.5" style="3108" customWidth="1"/>
    <col min="7424" max="7424" width="6.25" style="3108" customWidth="1"/>
    <col min="7425" max="7425" width="13.875" style="3108" customWidth="1"/>
    <col min="7426" max="7426" width="7.875" style="3108" customWidth="1"/>
    <col min="7427" max="7427" width="48" style="3108" customWidth="1"/>
    <col min="7428" max="7429" width="13.875" style="3108" customWidth="1"/>
    <col min="7430" max="7430" width="20.75" style="3108" customWidth="1"/>
    <col min="7431" max="7432" width="9" style="3108" customWidth="1"/>
    <col min="7433" max="7433" width="72.375" style="3108" customWidth="1"/>
    <col min="7434" max="7435" width="10.625" style="3108" customWidth="1"/>
    <col min="7436" max="7436" width="14.375" style="3108" customWidth="1"/>
    <col min="7437" max="7437" width="6.25" style="3108" customWidth="1"/>
    <col min="7438" max="7438" width="7.875" style="3108" customWidth="1"/>
    <col min="7439" max="7678" width="9" style="3108"/>
    <col min="7679" max="7679" width="104.5" style="3108" customWidth="1"/>
    <col min="7680" max="7680" width="6.25" style="3108" customWidth="1"/>
    <col min="7681" max="7681" width="13.875" style="3108" customWidth="1"/>
    <col min="7682" max="7682" width="7.875" style="3108" customWidth="1"/>
    <col min="7683" max="7683" width="48" style="3108" customWidth="1"/>
    <col min="7684" max="7685" width="13.875" style="3108" customWidth="1"/>
    <col min="7686" max="7686" width="20.75" style="3108" customWidth="1"/>
    <col min="7687" max="7688" width="9" style="3108" customWidth="1"/>
    <col min="7689" max="7689" width="72.375" style="3108" customWidth="1"/>
    <col min="7690" max="7691" width="10.625" style="3108" customWidth="1"/>
    <col min="7692" max="7692" width="14.375" style="3108" customWidth="1"/>
    <col min="7693" max="7693" width="6.25" style="3108" customWidth="1"/>
    <col min="7694" max="7694" width="7.875" style="3108" customWidth="1"/>
    <col min="7695" max="7934" width="9" style="3108"/>
    <col min="7935" max="7935" width="104.5" style="3108" customWidth="1"/>
    <col min="7936" max="7936" width="6.25" style="3108" customWidth="1"/>
    <col min="7937" max="7937" width="13.875" style="3108" customWidth="1"/>
    <col min="7938" max="7938" width="7.875" style="3108" customWidth="1"/>
    <col min="7939" max="7939" width="48" style="3108" customWidth="1"/>
    <col min="7940" max="7941" width="13.875" style="3108" customWidth="1"/>
    <col min="7942" max="7942" width="20.75" style="3108" customWidth="1"/>
    <col min="7943" max="7944" width="9" style="3108" customWidth="1"/>
    <col min="7945" max="7945" width="72.375" style="3108" customWidth="1"/>
    <col min="7946" max="7947" width="10.625" style="3108" customWidth="1"/>
    <col min="7948" max="7948" width="14.375" style="3108" customWidth="1"/>
    <col min="7949" max="7949" width="6.25" style="3108" customWidth="1"/>
    <col min="7950" max="7950" width="7.875" style="3108" customWidth="1"/>
    <col min="7951" max="8190" width="9" style="3108"/>
    <col min="8191" max="8191" width="104.5" style="3108" customWidth="1"/>
    <col min="8192" max="8192" width="6.25" style="3108" customWidth="1"/>
    <col min="8193" max="8193" width="13.875" style="3108" customWidth="1"/>
    <col min="8194" max="8194" width="7.875" style="3108" customWidth="1"/>
    <col min="8195" max="8195" width="48" style="3108" customWidth="1"/>
    <col min="8196" max="8197" width="13.875" style="3108" customWidth="1"/>
    <col min="8198" max="8198" width="20.75" style="3108" customWidth="1"/>
    <col min="8199" max="8200" width="9" style="3108" customWidth="1"/>
    <col min="8201" max="8201" width="72.375" style="3108" customWidth="1"/>
    <col min="8202" max="8203" width="10.625" style="3108" customWidth="1"/>
    <col min="8204" max="8204" width="14.375" style="3108" customWidth="1"/>
    <col min="8205" max="8205" width="6.25" style="3108" customWidth="1"/>
    <col min="8206" max="8206" width="7.875" style="3108" customWidth="1"/>
    <col min="8207" max="8446" width="9" style="3108"/>
    <col min="8447" max="8447" width="104.5" style="3108" customWidth="1"/>
    <col min="8448" max="8448" width="6.25" style="3108" customWidth="1"/>
    <col min="8449" max="8449" width="13.875" style="3108" customWidth="1"/>
    <col min="8450" max="8450" width="7.875" style="3108" customWidth="1"/>
    <col min="8451" max="8451" width="48" style="3108" customWidth="1"/>
    <col min="8452" max="8453" width="13.875" style="3108" customWidth="1"/>
    <col min="8454" max="8454" width="20.75" style="3108" customWidth="1"/>
    <col min="8455" max="8456" width="9" style="3108" customWidth="1"/>
    <col min="8457" max="8457" width="72.375" style="3108" customWidth="1"/>
    <col min="8458" max="8459" width="10.625" style="3108" customWidth="1"/>
    <col min="8460" max="8460" width="14.375" style="3108" customWidth="1"/>
    <col min="8461" max="8461" width="6.25" style="3108" customWidth="1"/>
    <col min="8462" max="8462" width="7.875" style="3108" customWidth="1"/>
    <col min="8463" max="8702" width="9" style="3108"/>
    <col min="8703" max="8703" width="104.5" style="3108" customWidth="1"/>
    <col min="8704" max="8704" width="6.25" style="3108" customWidth="1"/>
    <col min="8705" max="8705" width="13.875" style="3108" customWidth="1"/>
    <col min="8706" max="8706" width="7.875" style="3108" customWidth="1"/>
    <col min="8707" max="8707" width="48" style="3108" customWidth="1"/>
    <col min="8708" max="8709" width="13.875" style="3108" customWidth="1"/>
    <col min="8710" max="8710" width="20.75" style="3108" customWidth="1"/>
    <col min="8711" max="8712" width="9" style="3108" customWidth="1"/>
    <col min="8713" max="8713" width="72.375" style="3108" customWidth="1"/>
    <col min="8714" max="8715" width="10.625" style="3108" customWidth="1"/>
    <col min="8716" max="8716" width="14.375" style="3108" customWidth="1"/>
    <col min="8717" max="8717" width="6.25" style="3108" customWidth="1"/>
    <col min="8718" max="8718" width="7.875" style="3108" customWidth="1"/>
    <col min="8719" max="8958" width="9" style="3108"/>
    <col min="8959" max="8959" width="104.5" style="3108" customWidth="1"/>
    <col min="8960" max="8960" width="6.25" style="3108" customWidth="1"/>
    <col min="8961" max="8961" width="13.875" style="3108" customWidth="1"/>
    <col min="8962" max="8962" width="7.875" style="3108" customWidth="1"/>
    <col min="8963" max="8963" width="48" style="3108" customWidth="1"/>
    <col min="8964" max="8965" width="13.875" style="3108" customWidth="1"/>
    <col min="8966" max="8966" width="20.75" style="3108" customWidth="1"/>
    <col min="8967" max="8968" width="9" style="3108" customWidth="1"/>
    <col min="8969" max="8969" width="72.375" style="3108" customWidth="1"/>
    <col min="8970" max="8971" width="10.625" style="3108" customWidth="1"/>
    <col min="8972" max="8972" width="14.375" style="3108" customWidth="1"/>
    <col min="8973" max="8973" width="6.25" style="3108" customWidth="1"/>
    <col min="8974" max="8974" width="7.875" style="3108" customWidth="1"/>
    <col min="8975" max="9214" width="9" style="3108"/>
    <col min="9215" max="9215" width="104.5" style="3108" customWidth="1"/>
    <col min="9216" max="9216" width="6.25" style="3108" customWidth="1"/>
    <col min="9217" max="9217" width="13.875" style="3108" customWidth="1"/>
    <col min="9218" max="9218" width="7.875" style="3108" customWidth="1"/>
    <col min="9219" max="9219" width="48" style="3108" customWidth="1"/>
    <col min="9220" max="9221" width="13.875" style="3108" customWidth="1"/>
    <col min="9222" max="9222" width="20.75" style="3108" customWidth="1"/>
    <col min="9223" max="9224" width="9" style="3108" customWidth="1"/>
    <col min="9225" max="9225" width="72.375" style="3108" customWidth="1"/>
    <col min="9226" max="9227" width="10.625" style="3108" customWidth="1"/>
    <col min="9228" max="9228" width="14.375" style="3108" customWidth="1"/>
    <col min="9229" max="9229" width="6.25" style="3108" customWidth="1"/>
    <col min="9230" max="9230" width="7.875" style="3108" customWidth="1"/>
    <col min="9231" max="9470" width="9" style="3108"/>
    <col min="9471" max="9471" width="104.5" style="3108" customWidth="1"/>
    <col min="9472" max="9472" width="6.25" style="3108" customWidth="1"/>
    <col min="9473" max="9473" width="13.875" style="3108" customWidth="1"/>
    <col min="9474" max="9474" width="7.875" style="3108" customWidth="1"/>
    <col min="9475" max="9475" width="48" style="3108" customWidth="1"/>
    <col min="9476" max="9477" width="13.875" style="3108" customWidth="1"/>
    <col min="9478" max="9478" width="20.75" style="3108" customWidth="1"/>
    <col min="9479" max="9480" width="9" style="3108" customWidth="1"/>
    <col min="9481" max="9481" width="72.375" style="3108" customWidth="1"/>
    <col min="9482" max="9483" width="10.625" style="3108" customWidth="1"/>
    <col min="9484" max="9484" width="14.375" style="3108" customWidth="1"/>
    <col min="9485" max="9485" width="6.25" style="3108" customWidth="1"/>
    <col min="9486" max="9486" width="7.875" style="3108" customWidth="1"/>
    <col min="9487" max="9726" width="9" style="3108"/>
    <col min="9727" max="9727" width="104.5" style="3108" customWidth="1"/>
    <col min="9728" max="9728" width="6.25" style="3108" customWidth="1"/>
    <col min="9729" max="9729" width="13.875" style="3108" customWidth="1"/>
    <col min="9730" max="9730" width="7.875" style="3108" customWidth="1"/>
    <col min="9731" max="9731" width="48" style="3108" customWidth="1"/>
    <col min="9732" max="9733" width="13.875" style="3108" customWidth="1"/>
    <col min="9734" max="9734" width="20.75" style="3108" customWidth="1"/>
    <col min="9735" max="9736" width="9" style="3108" customWidth="1"/>
    <col min="9737" max="9737" width="72.375" style="3108" customWidth="1"/>
    <col min="9738" max="9739" width="10.625" style="3108" customWidth="1"/>
    <col min="9740" max="9740" width="14.375" style="3108" customWidth="1"/>
    <col min="9741" max="9741" width="6.25" style="3108" customWidth="1"/>
    <col min="9742" max="9742" width="7.875" style="3108" customWidth="1"/>
    <col min="9743" max="9982" width="9" style="3108"/>
    <col min="9983" max="9983" width="104.5" style="3108" customWidth="1"/>
    <col min="9984" max="9984" width="6.25" style="3108" customWidth="1"/>
    <col min="9985" max="9985" width="13.875" style="3108" customWidth="1"/>
    <col min="9986" max="9986" width="7.875" style="3108" customWidth="1"/>
    <col min="9987" max="9987" width="48" style="3108" customWidth="1"/>
    <col min="9988" max="9989" width="13.875" style="3108" customWidth="1"/>
    <col min="9990" max="9990" width="20.75" style="3108" customWidth="1"/>
    <col min="9991" max="9992" width="9" style="3108" customWidth="1"/>
    <col min="9993" max="9993" width="72.375" style="3108" customWidth="1"/>
    <col min="9994" max="9995" width="10.625" style="3108" customWidth="1"/>
    <col min="9996" max="9996" width="14.375" style="3108" customWidth="1"/>
    <col min="9997" max="9997" width="6.25" style="3108" customWidth="1"/>
    <col min="9998" max="9998" width="7.875" style="3108" customWidth="1"/>
    <col min="9999" max="10238" width="9" style="3108"/>
    <col min="10239" max="10239" width="104.5" style="3108" customWidth="1"/>
    <col min="10240" max="10240" width="6.25" style="3108" customWidth="1"/>
    <col min="10241" max="10241" width="13.875" style="3108" customWidth="1"/>
    <col min="10242" max="10242" width="7.875" style="3108" customWidth="1"/>
    <col min="10243" max="10243" width="48" style="3108" customWidth="1"/>
    <col min="10244" max="10245" width="13.875" style="3108" customWidth="1"/>
    <col min="10246" max="10246" width="20.75" style="3108" customWidth="1"/>
    <col min="10247" max="10248" width="9" style="3108" customWidth="1"/>
    <col min="10249" max="10249" width="72.375" style="3108" customWidth="1"/>
    <col min="10250" max="10251" width="10.625" style="3108" customWidth="1"/>
    <col min="10252" max="10252" width="14.375" style="3108" customWidth="1"/>
    <col min="10253" max="10253" width="6.25" style="3108" customWidth="1"/>
    <col min="10254" max="10254" width="7.875" style="3108" customWidth="1"/>
    <col min="10255" max="10494" width="9" style="3108"/>
    <col min="10495" max="10495" width="104.5" style="3108" customWidth="1"/>
    <col min="10496" max="10496" width="6.25" style="3108" customWidth="1"/>
    <col min="10497" max="10497" width="13.875" style="3108" customWidth="1"/>
    <col min="10498" max="10498" width="7.875" style="3108" customWidth="1"/>
    <col min="10499" max="10499" width="48" style="3108" customWidth="1"/>
    <col min="10500" max="10501" width="13.875" style="3108" customWidth="1"/>
    <col min="10502" max="10502" width="20.75" style="3108" customWidth="1"/>
    <col min="10503" max="10504" width="9" style="3108" customWidth="1"/>
    <col min="10505" max="10505" width="72.375" style="3108" customWidth="1"/>
    <col min="10506" max="10507" width="10.625" style="3108" customWidth="1"/>
    <col min="10508" max="10508" width="14.375" style="3108" customWidth="1"/>
    <col min="10509" max="10509" width="6.25" style="3108" customWidth="1"/>
    <col min="10510" max="10510" width="7.875" style="3108" customWidth="1"/>
    <col min="10511" max="10750" width="9" style="3108"/>
    <col min="10751" max="10751" width="104.5" style="3108" customWidth="1"/>
    <col min="10752" max="10752" width="6.25" style="3108" customWidth="1"/>
    <col min="10753" max="10753" width="13.875" style="3108" customWidth="1"/>
    <col min="10754" max="10754" width="7.875" style="3108" customWidth="1"/>
    <col min="10755" max="10755" width="48" style="3108" customWidth="1"/>
    <col min="10756" max="10757" width="13.875" style="3108" customWidth="1"/>
    <col min="10758" max="10758" width="20.75" style="3108" customWidth="1"/>
    <col min="10759" max="10760" width="9" style="3108" customWidth="1"/>
    <col min="10761" max="10761" width="72.375" style="3108" customWidth="1"/>
    <col min="10762" max="10763" width="10.625" style="3108" customWidth="1"/>
    <col min="10764" max="10764" width="14.375" style="3108" customWidth="1"/>
    <col min="10765" max="10765" width="6.25" style="3108" customWidth="1"/>
    <col min="10766" max="10766" width="7.875" style="3108" customWidth="1"/>
    <col min="10767" max="11006" width="9" style="3108"/>
    <col min="11007" max="11007" width="104.5" style="3108" customWidth="1"/>
    <col min="11008" max="11008" width="6.25" style="3108" customWidth="1"/>
    <col min="11009" max="11009" width="13.875" style="3108" customWidth="1"/>
    <col min="11010" max="11010" width="7.875" style="3108" customWidth="1"/>
    <col min="11011" max="11011" width="48" style="3108" customWidth="1"/>
    <col min="11012" max="11013" width="13.875" style="3108" customWidth="1"/>
    <col min="11014" max="11014" width="20.75" style="3108" customWidth="1"/>
    <col min="11015" max="11016" width="9" style="3108" customWidth="1"/>
    <col min="11017" max="11017" width="72.375" style="3108" customWidth="1"/>
    <col min="11018" max="11019" width="10.625" style="3108" customWidth="1"/>
    <col min="11020" max="11020" width="14.375" style="3108" customWidth="1"/>
    <col min="11021" max="11021" width="6.25" style="3108" customWidth="1"/>
    <col min="11022" max="11022" width="7.875" style="3108" customWidth="1"/>
    <col min="11023" max="11262" width="9" style="3108"/>
    <col min="11263" max="11263" width="104.5" style="3108" customWidth="1"/>
    <col min="11264" max="11264" width="6.25" style="3108" customWidth="1"/>
    <col min="11265" max="11265" width="13.875" style="3108" customWidth="1"/>
    <col min="11266" max="11266" width="7.875" style="3108" customWidth="1"/>
    <col min="11267" max="11267" width="48" style="3108" customWidth="1"/>
    <col min="11268" max="11269" width="13.875" style="3108" customWidth="1"/>
    <col min="11270" max="11270" width="20.75" style="3108" customWidth="1"/>
    <col min="11271" max="11272" width="9" style="3108" customWidth="1"/>
    <col min="11273" max="11273" width="72.375" style="3108" customWidth="1"/>
    <col min="11274" max="11275" width="10.625" style="3108" customWidth="1"/>
    <col min="11276" max="11276" width="14.375" style="3108" customWidth="1"/>
    <col min="11277" max="11277" width="6.25" style="3108" customWidth="1"/>
    <col min="11278" max="11278" width="7.875" style="3108" customWidth="1"/>
    <col min="11279" max="11518" width="9" style="3108"/>
    <col min="11519" max="11519" width="104.5" style="3108" customWidth="1"/>
    <col min="11520" max="11520" width="6.25" style="3108" customWidth="1"/>
    <col min="11521" max="11521" width="13.875" style="3108" customWidth="1"/>
    <col min="11522" max="11522" width="7.875" style="3108" customWidth="1"/>
    <col min="11523" max="11523" width="48" style="3108" customWidth="1"/>
    <col min="11524" max="11525" width="13.875" style="3108" customWidth="1"/>
    <col min="11526" max="11526" width="20.75" style="3108" customWidth="1"/>
    <col min="11527" max="11528" width="9" style="3108" customWidth="1"/>
    <col min="11529" max="11529" width="72.375" style="3108" customWidth="1"/>
    <col min="11530" max="11531" width="10.625" style="3108" customWidth="1"/>
    <col min="11532" max="11532" width="14.375" style="3108" customWidth="1"/>
    <col min="11533" max="11533" width="6.25" style="3108" customWidth="1"/>
    <col min="11534" max="11534" width="7.875" style="3108" customWidth="1"/>
    <col min="11535" max="11774" width="9" style="3108"/>
    <col min="11775" max="11775" width="104.5" style="3108" customWidth="1"/>
    <col min="11776" max="11776" width="6.25" style="3108" customWidth="1"/>
    <col min="11777" max="11777" width="13.875" style="3108" customWidth="1"/>
    <col min="11778" max="11778" width="7.875" style="3108" customWidth="1"/>
    <col min="11779" max="11779" width="48" style="3108" customWidth="1"/>
    <col min="11780" max="11781" width="13.875" style="3108" customWidth="1"/>
    <col min="11782" max="11782" width="20.75" style="3108" customWidth="1"/>
    <col min="11783" max="11784" width="9" style="3108" customWidth="1"/>
    <col min="11785" max="11785" width="72.375" style="3108" customWidth="1"/>
    <col min="11786" max="11787" width="10.625" style="3108" customWidth="1"/>
    <col min="11788" max="11788" width="14.375" style="3108" customWidth="1"/>
    <col min="11789" max="11789" width="6.25" style="3108" customWidth="1"/>
    <col min="11790" max="11790" width="7.875" style="3108" customWidth="1"/>
    <col min="11791" max="12030" width="9" style="3108"/>
    <col min="12031" max="12031" width="104.5" style="3108" customWidth="1"/>
    <col min="12032" max="12032" width="6.25" style="3108" customWidth="1"/>
    <col min="12033" max="12033" width="13.875" style="3108" customWidth="1"/>
    <col min="12034" max="12034" width="7.875" style="3108" customWidth="1"/>
    <col min="12035" max="12035" width="48" style="3108" customWidth="1"/>
    <col min="12036" max="12037" width="13.875" style="3108" customWidth="1"/>
    <col min="12038" max="12038" width="20.75" style="3108" customWidth="1"/>
    <col min="12039" max="12040" width="9" style="3108" customWidth="1"/>
    <col min="12041" max="12041" width="72.375" style="3108" customWidth="1"/>
    <col min="12042" max="12043" width="10.625" style="3108" customWidth="1"/>
    <col min="12044" max="12044" width="14.375" style="3108" customWidth="1"/>
    <col min="12045" max="12045" width="6.25" style="3108" customWidth="1"/>
    <col min="12046" max="12046" width="7.875" style="3108" customWidth="1"/>
    <col min="12047" max="12286" width="9" style="3108"/>
    <col min="12287" max="12287" width="104.5" style="3108" customWidth="1"/>
    <col min="12288" max="12288" width="6.25" style="3108" customWidth="1"/>
    <col min="12289" max="12289" width="13.875" style="3108" customWidth="1"/>
    <col min="12290" max="12290" width="7.875" style="3108" customWidth="1"/>
    <col min="12291" max="12291" width="48" style="3108" customWidth="1"/>
    <col min="12292" max="12293" width="13.875" style="3108" customWidth="1"/>
    <col min="12294" max="12294" width="20.75" style="3108" customWidth="1"/>
    <col min="12295" max="12296" width="9" style="3108" customWidth="1"/>
    <col min="12297" max="12297" width="72.375" style="3108" customWidth="1"/>
    <col min="12298" max="12299" width="10.625" style="3108" customWidth="1"/>
    <col min="12300" max="12300" width="14.375" style="3108" customWidth="1"/>
    <col min="12301" max="12301" width="6.25" style="3108" customWidth="1"/>
    <col min="12302" max="12302" width="7.875" style="3108" customWidth="1"/>
    <col min="12303" max="12542" width="9" style="3108"/>
    <col min="12543" max="12543" width="104.5" style="3108" customWidth="1"/>
    <col min="12544" max="12544" width="6.25" style="3108" customWidth="1"/>
    <col min="12545" max="12545" width="13.875" style="3108" customWidth="1"/>
    <col min="12546" max="12546" width="7.875" style="3108" customWidth="1"/>
    <col min="12547" max="12547" width="48" style="3108" customWidth="1"/>
    <col min="12548" max="12549" width="13.875" style="3108" customWidth="1"/>
    <col min="12550" max="12550" width="20.75" style="3108" customWidth="1"/>
    <col min="12551" max="12552" width="9" style="3108" customWidth="1"/>
    <col min="12553" max="12553" width="72.375" style="3108" customWidth="1"/>
    <col min="12554" max="12555" width="10.625" style="3108" customWidth="1"/>
    <col min="12556" max="12556" width="14.375" style="3108" customWidth="1"/>
    <col min="12557" max="12557" width="6.25" style="3108" customWidth="1"/>
    <col min="12558" max="12558" width="7.875" style="3108" customWidth="1"/>
    <col min="12559" max="12798" width="9" style="3108"/>
    <col min="12799" max="12799" width="104.5" style="3108" customWidth="1"/>
    <col min="12800" max="12800" width="6.25" style="3108" customWidth="1"/>
    <col min="12801" max="12801" width="13.875" style="3108" customWidth="1"/>
    <col min="12802" max="12802" width="7.875" style="3108" customWidth="1"/>
    <col min="12803" max="12803" width="48" style="3108" customWidth="1"/>
    <col min="12804" max="12805" width="13.875" style="3108" customWidth="1"/>
    <col min="12806" max="12806" width="20.75" style="3108" customWidth="1"/>
    <col min="12807" max="12808" width="9" style="3108" customWidth="1"/>
    <col min="12809" max="12809" width="72.375" style="3108" customWidth="1"/>
    <col min="12810" max="12811" width="10.625" style="3108" customWidth="1"/>
    <col min="12812" max="12812" width="14.375" style="3108" customWidth="1"/>
    <col min="12813" max="12813" width="6.25" style="3108" customWidth="1"/>
    <col min="12814" max="12814" width="7.875" style="3108" customWidth="1"/>
    <col min="12815" max="13054" width="9" style="3108"/>
    <col min="13055" max="13055" width="104.5" style="3108" customWidth="1"/>
    <col min="13056" max="13056" width="6.25" style="3108" customWidth="1"/>
    <col min="13057" max="13057" width="13.875" style="3108" customWidth="1"/>
    <col min="13058" max="13058" width="7.875" style="3108" customWidth="1"/>
    <col min="13059" max="13059" width="48" style="3108" customWidth="1"/>
    <col min="13060" max="13061" width="13.875" style="3108" customWidth="1"/>
    <col min="13062" max="13062" width="20.75" style="3108" customWidth="1"/>
    <col min="13063" max="13064" width="9" style="3108" customWidth="1"/>
    <col min="13065" max="13065" width="72.375" style="3108" customWidth="1"/>
    <col min="13066" max="13067" width="10.625" style="3108" customWidth="1"/>
    <col min="13068" max="13068" width="14.375" style="3108" customWidth="1"/>
    <col min="13069" max="13069" width="6.25" style="3108" customWidth="1"/>
    <col min="13070" max="13070" width="7.875" style="3108" customWidth="1"/>
    <col min="13071" max="13310" width="9" style="3108"/>
    <col min="13311" max="13311" width="104.5" style="3108" customWidth="1"/>
    <col min="13312" max="13312" width="6.25" style="3108" customWidth="1"/>
    <col min="13313" max="13313" width="13.875" style="3108" customWidth="1"/>
    <col min="13314" max="13314" width="7.875" style="3108" customWidth="1"/>
    <col min="13315" max="13315" width="48" style="3108" customWidth="1"/>
    <col min="13316" max="13317" width="13.875" style="3108" customWidth="1"/>
    <col min="13318" max="13318" width="20.75" style="3108" customWidth="1"/>
    <col min="13319" max="13320" width="9" style="3108" customWidth="1"/>
    <col min="13321" max="13321" width="72.375" style="3108" customWidth="1"/>
    <col min="13322" max="13323" width="10.625" style="3108" customWidth="1"/>
    <col min="13324" max="13324" width="14.375" style="3108" customWidth="1"/>
    <col min="13325" max="13325" width="6.25" style="3108" customWidth="1"/>
    <col min="13326" max="13326" width="7.875" style="3108" customWidth="1"/>
    <col min="13327" max="13566" width="9" style="3108"/>
    <col min="13567" max="13567" width="104.5" style="3108" customWidth="1"/>
    <col min="13568" max="13568" width="6.25" style="3108" customWidth="1"/>
    <col min="13569" max="13569" width="13.875" style="3108" customWidth="1"/>
    <col min="13570" max="13570" width="7.875" style="3108" customWidth="1"/>
    <col min="13571" max="13571" width="48" style="3108" customWidth="1"/>
    <col min="13572" max="13573" width="13.875" style="3108" customWidth="1"/>
    <col min="13574" max="13574" width="20.75" style="3108" customWidth="1"/>
    <col min="13575" max="13576" width="9" style="3108" customWidth="1"/>
    <col min="13577" max="13577" width="72.375" style="3108" customWidth="1"/>
    <col min="13578" max="13579" width="10.625" style="3108" customWidth="1"/>
    <col min="13580" max="13580" width="14.375" style="3108" customWidth="1"/>
    <col min="13581" max="13581" width="6.25" style="3108" customWidth="1"/>
    <col min="13582" max="13582" width="7.875" style="3108" customWidth="1"/>
    <col min="13583" max="13822" width="9" style="3108"/>
    <col min="13823" max="13823" width="104.5" style="3108" customWidth="1"/>
    <col min="13824" max="13824" width="6.25" style="3108" customWidth="1"/>
    <col min="13825" max="13825" width="13.875" style="3108" customWidth="1"/>
    <col min="13826" max="13826" width="7.875" style="3108" customWidth="1"/>
    <col min="13827" max="13827" width="48" style="3108" customWidth="1"/>
    <col min="13828" max="13829" width="13.875" style="3108" customWidth="1"/>
    <col min="13830" max="13830" width="20.75" style="3108" customWidth="1"/>
    <col min="13831" max="13832" width="9" style="3108" customWidth="1"/>
    <col min="13833" max="13833" width="72.375" style="3108" customWidth="1"/>
    <col min="13834" max="13835" width="10.625" style="3108" customWidth="1"/>
    <col min="13836" max="13836" width="14.375" style="3108" customWidth="1"/>
    <col min="13837" max="13837" width="6.25" style="3108" customWidth="1"/>
    <col min="13838" max="13838" width="7.875" style="3108" customWidth="1"/>
    <col min="13839" max="14078" width="9" style="3108"/>
    <col min="14079" max="14079" width="104.5" style="3108" customWidth="1"/>
    <col min="14080" max="14080" width="6.25" style="3108" customWidth="1"/>
    <col min="14081" max="14081" width="13.875" style="3108" customWidth="1"/>
    <col min="14082" max="14082" width="7.875" style="3108" customWidth="1"/>
    <col min="14083" max="14083" width="48" style="3108" customWidth="1"/>
    <col min="14084" max="14085" width="13.875" style="3108" customWidth="1"/>
    <col min="14086" max="14086" width="20.75" style="3108" customWidth="1"/>
    <col min="14087" max="14088" width="9" style="3108" customWidth="1"/>
    <col min="14089" max="14089" width="72.375" style="3108" customWidth="1"/>
    <col min="14090" max="14091" width="10.625" style="3108" customWidth="1"/>
    <col min="14092" max="14092" width="14.375" style="3108" customWidth="1"/>
    <col min="14093" max="14093" width="6.25" style="3108" customWidth="1"/>
    <col min="14094" max="14094" width="7.875" style="3108" customWidth="1"/>
    <col min="14095" max="14334" width="9" style="3108"/>
    <col min="14335" max="14335" width="104.5" style="3108" customWidth="1"/>
    <col min="14336" max="14336" width="6.25" style="3108" customWidth="1"/>
    <col min="14337" max="14337" width="13.875" style="3108" customWidth="1"/>
    <col min="14338" max="14338" width="7.875" style="3108" customWidth="1"/>
    <col min="14339" max="14339" width="48" style="3108" customWidth="1"/>
    <col min="14340" max="14341" width="13.875" style="3108" customWidth="1"/>
    <col min="14342" max="14342" width="20.75" style="3108" customWidth="1"/>
    <col min="14343" max="14344" width="9" style="3108" customWidth="1"/>
    <col min="14345" max="14345" width="72.375" style="3108" customWidth="1"/>
    <col min="14346" max="14347" width="10.625" style="3108" customWidth="1"/>
    <col min="14348" max="14348" width="14.375" style="3108" customWidth="1"/>
    <col min="14349" max="14349" width="6.25" style="3108" customWidth="1"/>
    <col min="14350" max="14350" width="7.875" style="3108" customWidth="1"/>
    <col min="14351" max="14590" width="9" style="3108"/>
    <col min="14591" max="14591" width="104.5" style="3108" customWidth="1"/>
    <col min="14592" max="14592" width="6.25" style="3108" customWidth="1"/>
    <col min="14593" max="14593" width="13.875" style="3108" customWidth="1"/>
    <col min="14594" max="14594" width="7.875" style="3108" customWidth="1"/>
    <col min="14595" max="14595" width="48" style="3108" customWidth="1"/>
    <col min="14596" max="14597" width="13.875" style="3108" customWidth="1"/>
    <col min="14598" max="14598" width="20.75" style="3108" customWidth="1"/>
    <col min="14599" max="14600" width="9" style="3108" customWidth="1"/>
    <col min="14601" max="14601" width="72.375" style="3108" customWidth="1"/>
    <col min="14602" max="14603" width="10.625" style="3108" customWidth="1"/>
    <col min="14604" max="14604" width="14.375" style="3108" customWidth="1"/>
    <col min="14605" max="14605" width="6.25" style="3108" customWidth="1"/>
    <col min="14606" max="14606" width="7.875" style="3108" customWidth="1"/>
    <col min="14607" max="14846" width="9" style="3108"/>
    <col min="14847" max="14847" width="104.5" style="3108" customWidth="1"/>
    <col min="14848" max="14848" width="6.25" style="3108" customWidth="1"/>
    <col min="14849" max="14849" width="13.875" style="3108" customWidth="1"/>
    <col min="14850" max="14850" width="7.875" style="3108" customWidth="1"/>
    <col min="14851" max="14851" width="48" style="3108" customWidth="1"/>
    <col min="14852" max="14853" width="13.875" style="3108" customWidth="1"/>
    <col min="14854" max="14854" width="20.75" style="3108" customWidth="1"/>
    <col min="14855" max="14856" width="9" style="3108" customWidth="1"/>
    <col min="14857" max="14857" width="72.375" style="3108" customWidth="1"/>
    <col min="14858" max="14859" width="10.625" style="3108" customWidth="1"/>
    <col min="14860" max="14860" width="14.375" style="3108" customWidth="1"/>
    <col min="14861" max="14861" width="6.25" style="3108" customWidth="1"/>
    <col min="14862" max="14862" width="7.875" style="3108" customWidth="1"/>
    <col min="14863" max="15102" width="9" style="3108"/>
    <col min="15103" max="15103" width="104.5" style="3108" customWidth="1"/>
    <col min="15104" max="15104" width="6.25" style="3108" customWidth="1"/>
    <col min="15105" max="15105" width="13.875" style="3108" customWidth="1"/>
    <col min="15106" max="15106" width="7.875" style="3108" customWidth="1"/>
    <col min="15107" max="15107" width="48" style="3108" customWidth="1"/>
    <col min="15108" max="15109" width="13.875" style="3108" customWidth="1"/>
    <col min="15110" max="15110" width="20.75" style="3108" customWidth="1"/>
    <col min="15111" max="15112" width="9" style="3108" customWidth="1"/>
    <col min="15113" max="15113" width="72.375" style="3108" customWidth="1"/>
    <col min="15114" max="15115" width="10.625" style="3108" customWidth="1"/>
    <col min="15116" max="15116" width="14.375" style="3108" customWidth="1"/>
    <col min="15117" max="15117" width="6.25" style="3108" customWidth="1"/>
    <col min="15118" max="15118" width="7.875" style="3108" customWidth="1"/>
    <col min="15119" max="15358" width="9" style="3108"/>
    <col min="15359" max="15359" width="104.5" style="3108" customWidth="1"/>
    <col min="15360" max="15360" width="6.25" style="3108" customWidth="1"/>
    <col min="15361" max="15361" width="13.875" style="3108" customWidth="1"/>
    <col min="15362" max="15362" width="7.875" style="3108" customWidth="1"/>
    <col min="15363" max="15363" width="48" style="3108" customWidth="1"/>
    <col min="15364" max="15365" width="13.875" style="3108" customWidth="1"/>
    <col min="15366" max="15366" width="20.75" style="3108" customWidth="1"/>
    <col min="15367" max="15368" width="9" style="3108" customWidth="1"/>
    <col min="15369" max="15369" width="72.375" style="3108" customWidth="1"/>
    <col min="15370" max="15371" width="10.625" style="3108" customWidth="1"/>
    <col min="15372" max="15372" width="14.375" style="3108" customWidth="1"/>
    <col min="15373" max="15373" width="6.25" style="3108" customWidth="1"/>
    <col min="15374" max="15374" width="7.875" style="3108" customWidth="1"/>
    <col min="15375" max="15614" width="9" style="3108"/>
    <col min="15615" max="15615" width="104.5" style="3108" customWidth="1"/>
    <col min="15616" max="15616" width="6.25" style="3108" customWidth="1"/>
    <col min="15617" max="15617" width="13.875" style="3108" customWidth="1"/>
    <col min="15618" max="15618" width="7.875" style="3108" customWidth="1"/>
    <col min="15619" max="15619" width="48" style="3108" customWidth="1"/>
    <col min="15620" max="15621" width="13.875" style="3108" customWidth="1"/>
    <col min="15622" max="15622" width="20.75" style="3108" customWidth="1"/>
    <col min="15623" max="15624" width="9" style="3108" customWidth="1"/>
    <col min="15625" max="15625" width="72.375" style="3108" customWidth="1"/>
    <col min="15626" max="15627" width="10.625" style="3108" customWidth="1"/>
    <col min="15628" max="15628" width="14.375" style="3108" customWidth="1"/>
    <col min="15629" max="15629" width="6.25" style="3108" customWidth="1"/>
    <col min="15630" max="15630" width="7.875" style="3108" customWidth="1"/>
    <col min="15631" max="15870" width="9" style="3108"/>
    <col min="15871" max="15871" width="104.5" style="3108" customWidth="1"/>
    <col min="15872" max="15872" width="6.25" style="3108" customWidth="1"/>
    <col min="15873" max="15873" width="13.875" style="3108" customWidth="1"/>
    <col min="15874" max="15874" width="7.875" style="3108" customWidth="1"/>
    <col min="15875" max="15875" width="48" style="3108" customWidth="1"/>
    <col min="15876" max="15877" width="13.875" style="3108" customWidth="1"/>
    <col min="15878" max="15878" width="20.75" style="3108" customWidth="1"/>
    <col min="15879" max="15880" width="9" style="3108" customWidth="1"/>
    <col min="15881" max="15881" width="72.375" style="3108" customWidth="1"/>
    <col min="15882" max="15883" width="10.625" style="3108" customWidth="1"/>
    <col min="15884" max="15884" width="14.375" style="3108" customWidth="1"/>
    <col min="15885" max="15885" width="6.25" style="3108" customWidth="1"/>
    <col min="15886" max="15886" width="7.875" style="3108" customWidth="1"/>
    <col min="15887" max="16126" width="9" style="3108"/>
    <col min="16127" max="16127" width="104.5" style="3108" customWidth="1"/>
    <col min="16128" max="16128" width="6.25" style="3108" customWidth="1"/>
    <col min="16129" max="16129" width="13.875" style="3108" customWidth="1"/>
    <col min="16130" max="16130" width="7.875" style="3108" customWidth="1"/>
    <col min="16131" max="16131" width="48" style="3108" customWidth="1"/>
    <col min="16132" max="16133" width="13.875" style="3108" customWidth="1"/>
    <col min="16134" max="16134" width="20.75" style="3108" customWidth="1"/>
    <col min="16135" max="16136" width="9" style="3108" customWidth="1"/>
    <col min="16137" max="16137" width="72.375" style="3108" customWidth="1"/>
    <col min="16138" max="16139" width="10.625" style="3108" customWidth="1"/>
    <col min="16140" max="16140" width="14.375" style="3108" customWidth="1"/>
    <col min="16141" max="16141" width="6.25" style="3108" customWidth="1"/>
    <col min="16142" max="16142" width="7.875" style="3108" customWidth="1"/>
    <col min="16143" max="16384" width="9" style="3108"/>
  </cols>
  <sheetData>
    <row r="1" spans="1:14" ht="24">
      <c r="A1" s="3108" t="s">
        <v>3342</v>
      </c>
      <c r="B1" s="3108" t="s">
        <v>3343</v>
      </c>
      <c r="C1" s="3108" t="s">
        <v>3347</v>
      </c>
      <c r="D1" s="3108" t="s">
        <v>3480</v>
      </c>
      <c r="E1" s="3108" t="s">
        <v>3344</v>
      </c>
      <c r="F1" s="3108" t="s">
        <v>3345</v>
      </c>
      <c r="G1" s="3108" t="s">
        <v>3346</v>
      </c>
      <c r="H1" s="3108" t="s">
        <v>3469</v>
      </c>
      <c r="I1" s="3108" t="s">
        <v>3352</v>
      </c>
      <c r="J1" s="3108" t="s">
        <v>3348</v>
      </c>
      <c r="K1" s="3108" t="s">
        <v>3349</v>
      </c>
      <c r="L1" s="3108" t="s">
        <v>3350</v>
      </c>
      <c r="M1" s="3108" t="s">
        <v>3351</v>
      </c>
      <c r="N1" s="3108" t="s">
        <v>3353</v>
      </c>
    </row>
    <row r="2" spans="1:14" s="3137" customFormat="1" ht="36">
      <c r="A2" s="3137" t="s">
        <v>3354</v>
      </c>
      <c r="B2" s="3137" t="s">
        <v>3355</v>
      </c>
      <c r="C2" s="3137" t="s">
        <v>3357</v>
      </c>
      <c r="D2" s="3137" t="s">
        <v>3481</v>
      </c>
      <c r="E2" s="3137">
        <v>76997.05</v>
      </c>
      <c r="F2" s="3137">
        <v>79371.899999999994</v>
      </c>
      <c r="G2" s="3137" t="s">
        <v>3356</v>
      </c>
      <c r="H2" s="3137" t="s">
        <v>3358</v>
      </c>
      <c r="I2" s="3137" t="s">
        <v>3359</v>
      </c>
      <c r="J2" s="3137">
        <v>98500</v>
      </c>
      <c r="K2" s="3137">
        <v>130000</v>
      </c>
      <c r="L2" s="3137">
        <v>16378.59</v>
      </c>
      <c r="M2" s="3137">
        <v>31.98</v>
      </c>
      <c r="N2" s="3137" t="s">
        <v>3360</v>
      </c>
    </row>
    <row r="3" spans="1:14" ht="24">
      <c r="A3" s="3108" t="s">
        <v>3361</v>
      </c>
      <c r="B3" s="3108" t="s">
        <v>3362</v>
      </c>
      <c r="C3" s="3108" t="s">
        <v>3357</v>
      </c>
      <c r="D3" s="3108" t="s">
        <v>3062</v>
      </c>
      <c r="E3" s="3108">
        <v>45081.99</v>
      </c>
      <c r="F3" s="3108">
        <v>94672</v>
      </c>
      <c r="G3" s="3108" t="s">
        <v>3363</v>
      </c>
      <c r="H3" s="3108" t="s">
        <v>3364</v>
      </c>
      <c r="I3" s="3108" t="s">
        <v>3365</v>
      </c>
      <c r="J3" s="3108">
        <v>363000</v>
      </c>
      <c r="K3" s="3108">
        <v>374000</v>
      </c>
      <c r="L3" s="3108">
        <v>39504.81</v>
      </c>
      <c r="M3" s="3108">
        <v>3.03</v>
      </c>
      <c r="N3" s="3108" t="s">
        <v>3366</v>
      </c>
    </row>
    <row r="4" spans="1:14" ht="24">
      <c r="A4" s="3108" t="s">
        <v>3367</v>
      </c>
      <c r="B4" s="3108" t="s">
        <v>3355</v>
      </c>
      <c r="C4" s="3108" t="s">
        <v>3357</v>
      </c>
      <c r="D4" s="3108" t="s">
        <v>3482</v>
      </c>
      <c r="E4" s="3108">
        <v>39577.68</v>
      </c>
      <c r="F4" s="3108">
        <v>75553</v>
      </c>
      <c r="G4" s="3108" t="s">
        <v>3368</v>
      </c>
      <c r="H4" s="3108" t="s">
        <v>3364</v>
      </c>
      <c r="I4" s="3108" t="s">
        <v>3369</v>
      </c>
      <c r="J4" s="3108">
        <v>273800</v>
      </c>
      <c r="K4" s="3108">
        <v>294000</v>
      </c>
      <c r="L4" s="3108">
        <v>38913.08</v>
      </c>
      <c r="M4" s="3108">
        <v>7.38</v>
      </c>
      <c r="N4" s="3108" t="s">
        <v>3366</v>
      </c>
    </row>
    <row r="5" spans="1:14" ht="24">
      <c r="A5" s="3108" t="s">
        <v>3370</v>
      </c>
      <c r="B5" s="3108" t="s">
        <v>3362</v>
      </c>
      <c r="C5" s="3108" t="s">
        <v>3357</v>
      </c>
      <c r="D5" s="3108" t="s">
        <v>3062</v>
      </c>
      <c r="E5" s="3108">
        <v>20403.86</v>
      </c>
      <c r="F5" s="3108">
        <v>51009</v>
      </c>
      <c r="G5" s="3108" t="s">
        <v>3371</v>
      </c>
      <c r="H5" s="3108" t="s">
        <v>3372</v>
      </c>
      <c r="I5" s="3108" t="s">
        <v>3373</v>
      </c>
      <c r="J5" s="3108">
        <v>65600</v>
      </c>
      <c r="K5" s="3108">
        <v>65600</v>
      </c>
      <c r="L5" s="3108">
        <v>12860.47</v>
      </c>
      <c r="M5" s="3108">
        <v>0</v>
      </c>
      <c r="N5" s="3108" t="s">
        <v>3360</v>
      </c>
    </row>
    <row r="6" spans="1:14" ht="48">
      <c r="A6" s="3108" t="s">
        <v>3374</v>
      </c>
      <c r="B6" s="3108" t="s">
        <v>3355</v>
      </c>
      <c r="C6" s="3108" t="s">
        <v>3357</v>
      </c>
      <c r="D6" s="3108" t="s">
        <v>3483</v>
      </c>
      <c r="E6" s="3108">
        <v>78681.47</v>
      </c>
      <c r="F6" s="3108">
        <v>188033.66</v>
      </c>
      <c r="G6" s="3108" t="s">
        <v>3375</v>
      </c>
      <c r="H6" s="3108" t="s">
        <v>3372</v>
      </c>
      <c r="I6" s="3108" t="s">
        <v>3376</v>
      </c>
      <c r="J6" s="3108">
        <v>500000</v>
      </c>
      <c r="K6" s="3108">
        <v>670000</v>
      </c>
      <c r="L6" s="3108">
        <v>35631.910000000003</v>
      </c>
      <c r="M6" s="3108">
        <v>34</v>
      </c>
      <c r="N6" s="3108" t="s">
        <v>3366</v>
      </c>
    </row>
    <row r="7" spans="1:14" s="3137" customFormat="1" ht="24">
      <c r="A7" s="3137" t="s">
        <v>3377</v>
      </c>
      <c r="B7" s="3137" t="s">
        <v>3362</v>
      </c>
      <c r="C7" s="3137" t="s">
        <v>3357</v>
      </c>
      <c r="D7" s="3137" t="s">
        <v>3062</v>
      </c>
      <c r="E7" s="3137">
        <v>20796</v>
      </c>
      <c r="F7" s="3137">
        <v>21836</v>
      </c>
      <c r="G7" s="3137" t="s">
        <v>3378</v>
      </c>
      <c r="H7" s="3137" t="s">
        <v>3379</v>
      </c>
      <c r="I7" s="3137" t="s">
        <v>3380</v>
      </c>
      <c r="J7" s="3137">
        <v>28800</v>
      </c>
      <c r="K7" s="3137">
        <v>36000</v>
      </c>
      <c r="L7" s="3137">
        <v>16486.54</v>
      </c>
      <c r="M7" s="3137">
        <v>25</v>
      </c>
      <c r="N7" s="3137" t="s">
        <v>3360</v>
      </c>
    </row>
    <row r="8" spans="1:14" ht="36">
      <c r="A8" s="3108" t="s">
        <v>3381</v>
      </c>
      <c r="B8" s="3108" t="s">
        <v>3355</v>
      </c>
      <c r="C8" s="3108" t="s">
        <v>3357</v>
      </c>
      <c r="D8" s="3108" t="s">
        <v>3484</v>
      </c>
      <c r="E8" s="3108">
        <v>42541.4</v>
      </c>
      <c r="F8" s="3108">
        <v>108921.52</v>
      </c>
      <c r="G8" s="3108" t="s">
        <v>3382</v>
      </c>
      <c r="H8" s="3108" t="s">
        <v>3383</v>
      </c>
      <c r="I8" s="3108" t="s">
        <v>3384</v>
      </c>
      <c r="J8" s="3108">
        <v>292000</v>
      </c>
      <c r="K8" s="3108">
        <v>307000</v>
      </c>
      <c r="L8" s="3108">
        <v>28185.43</v>
      </c>
      <c r="M8" s="3108">
        <v>5.14</v>
      </c>
      <c r="N8" s="3108" t="s">
        <v>3385</v>
      </c>
    </row>
    <row r="9" spans="1:14" ht="24">
      <c r="A9" s="3108" t="s">
        <v>3386</v>
      </c>
      <c r="B9" s="3108" t="s">
        <v>3362</v>
      </c>
      <c r="C9" s="3108" t="s">
        <v>3357</v>
      </c>
      <c r="D9" s="3108" t="s">
        <v>3062</v>
      </c>
      <c r="E9" s="3108">
        <v>54735.8</v>
      </c>
      <c r="F9" s="3108">
        <v>153260.24</v>
      </c>
      <c r="G9" s="3108" t="s">
        <v>3387</v>
      </c>
      <c r="H9" s="3108" t="s">
        <v>3383</v>
      </c>
      <c r="I9" s="3108" t="s">
        <v>3388</v>
      </c>
      <c r="J9" s="3108">
        <v>426000</v>
      </c>
      <c r="K9" s="3108">
        <v>428150</v>
      </c>
      <c r="L9" s="3108">
        <v>27936.13</v>
      </c>
      <c r="M9" s="3108">
        <v>0.5</v>
      </c>
      <c r="N9" s="3108" t="s">
        <v>3366</v>
      </c>
    </row>
    <row r="10" spans="1:14" ht="36">
      <c r="A10" s="3108" t="s">
        <v>3389</v>
      </c>
      <c r="B10" s="3108" t="s">
        <v>3355</v>
      </c>
      <c r="C10" s="3108" t="s">
        <v>3357</v>
      </c>
      <c r="D10" s="3108" t="s">
        <v>3484</v>
      </c>
      <c r="E10" s="3108">
        <v>58822.99</v>
      </c>
      <c r="F10" s="3108">
        <v>97871</v>
      </c>
      <c r="G10" s="3108" t="s">
        <v>3390</v>
      </c>
      <c r="H10" s="3108" t="s">
        <v>3391</v>
      </c>
      <c r="I10" s="3108" t="s">
        <v>3392</v>
      </c>
      <c r="J10" s="3108">
        <v>181000</v>
      </c>
      <c r="K10" s="3108">
        <v>203000</v>
      </c>
      <c r="L10" s="3108">
        <v>20741.59</v>
      </c>
      <c r="M10" s="3108">
        <v>12.15</v>
      </c>
      <c r="N10" s="3108" t="s">
        <v>3360</v>
      </c>
    </row>
    <row r="11" spans="1:14" ht="48">
      <c r="A11" s="3108" t="s">
        <v>3393</v>
      </c>
      <c r="B11" s="3108" t="s">
        <v>3355</v>
      </c>
      <c r="C11" s="3108" t="s">
        <v>3357</v>
      </c>
      <c r="D11" s="3108" t="s">
        <v>3485</v>
      </c>
      <c r="E11" s="3108">
        <v>56722.42</v>
      </c>
      <c r="F11" s="3108">
        <v>124449</v>
      </c>
      <c r="G11" s="3108" t="s">
        <v>3394</v>
      </c>
      <c r="H11" s="3108" t="s">
        <v>3391</v>
      </c>
      <c r="I11" s="3108" t="s">
        <v>3395</v>
      </c>
      <c r="J11" s="3108">
        <v>330000</v>
      </c>
      <c r="K11" s="3108">
        <v>443000</v>
      </c>
      <c r="L11" s="3108">
        <v>35596.910000000003</v>
      </c>
      <c r="M11" s="3108">
        <v>34.24</v>
      </c>
      <c r="N11" s="3108" t="s">
        <v>3366</v>
      </c>
    </row>
    <row r="12" spans="1:14" s="3137" customFormat="1" ht="36">
      <c r="A12" s="3137" t="s">
        <v>3396</v>
      </c>
      <c r="B12" s="3137" t="s">
        <v>3355</v>
      </c>
      <c r="C12" s="3137" t="s">
        <v>3357</v>
      </c>
      <c r="D12" s="3137" t="s">
        <v>3484</v>
      </c>
      <c r="E12" s="3137">
        <v>88404.4</v>
      </c>
      <c r="F12" s="3137">
        <v>173209</v>
      </c>
      <c r="G12" s="3137" t="s">
        <v>3397</v>
      </c>
      <c r="H12" s="3137" t="s">
        <v>3398</v>
      </c>
      <c r="I12" s="3137" t="s">
        <v>3399</v>
      </c>
      <c r="J12" s="3137">
        <v>330000</v>
      </c>
      <c r="K12" s="3137">
        <v>330000</v>
      </c>
      <c r="L12" s="3137">
        <v>19052.13</v>
      </c>
      <c r="M12" s="3137">
        <v>0</v>
      </c>
      <c r="N12" s="3137" t="s">
        <v>3360</v>
      </c>
    </row>
    <row r="13" spans="1:14" ht="24">
      <c r="A13" s="3108" t="s">
        <v>3400</v>
      </c>
      <c r="B13" s="3108" t="s">
        <v>3362</v>
      </c>
      <c r="C13" s="3108" t="s">
        <v>3357</v>
      </c>
      <c r="D13" s="3108" t="s">
        <v>3062</v>
      </c>
      <c r="E13" s="3108">
        <v>45889.5</v>
      </c>
      <c r="F13" s="3108">
        <v>100957</v>
      </c>
      <c r="G13" s="3108" t="s">
        <v>3401</v>
      </c>
      <c r="H13" s="3108" t="s">
        <v>3398</v>
      </c>
      <c r="I13" s="3108" t="s">
        <v>3402</v>
      </c>
      <c r="J13" s="3108">
        <v>260000</v>
      </c>
      <c r="K13" s="3108">
        <v>327000</v>
      </c>
      <c r="L13" s="3108">
        <v>32390.02</v>
      </c>
      <c r="M13" s="3108">
        <v>25.77</v>
      </c>
      <c r="N13" s="3108" t="s">
        <v>3366</v>
      </c>
    </row>
    <row r="14" spans="1:14" s="3117" customFormat="1" ht="24">
      <c r="A14" s="3117" t="s">
        <v>3403</v>
      </c>
      <c r="B14" s="3117" t="s">
        <v>3355</v>
      </c>
      <c r="C14" s="3117" t="s">
        <v>3357</v>
      </c>
      <c r="D14" s="3117" t="s">
        <v>3486</v>
      </c>
      <c r="E14" s="3117">
        <v>47891.78</v>
      </c>
      <c r="F14" s="3117">
        <v>108059</v>
      </c>
      <c r="G14" s="3117" t="s">
        <v>3404</v>
      </c>
      <c r="H14" s="3117" t="s">
        <v>3405</v>
      </c>
      <c r="I14" s="3117" t="s">
        <v>3406</v>
      </c>
      <c r="J14" s="3117">
        <v>151283</v>
      </c>
      <c r="K14" s="3117">
        <v>151283</v>
      </c>
      <c r="L14" s="3117">
        <v>14000.04</v>
      </c>
      <c r="M14" s="3117">
        <v>0</v>
      </c>
      <c r="N14" s="3117" t="s">
        <v>3366</v>
      </c>
    </row>
    <row r="15" spans="1:14" ht="24">
      <c r="A15" s="3108" t="s">
        <v>3407</v>
      </c>
      <c r="B15" s="3108" t="s">
        <v>3362</v>
      </c>
      <c r="C15" s="3108" t="s">
        <v>3357</v>
      </c>
      <c r="D15" s="3108" t="s">
        <v>3062</v>
      </c>
      <c r="E15" s="3108">
        <v>36478.1</v>
      </c>
      <c r="F15" s="3108">
        <v>80251.820000000007</v>
      </c>
      <c r="G15" s="3108" t="s">
        <v>3401</v>
      </c>
      <c r="H15" s="3108" t="s">
        <v>3408</v>
      </c>
      <c r="I15" s="3108" t="s">
        <v>3409</v>
      </c>
      <c r="J15" s="3108">
        <v>225000</v>
      </c>
      <c r="K15" s="3108">
        <v>318000</v>
      </c>
      <c r="L15" s="3108">
        <v>39625.26</v>
      </c>
      <c r="M15" s="3108">
        <v>41.33</v>
      </c>
      <c r="N15" s="3108" t="s">
        <v>3410</v>
      </c>
    </row>
    <row r="16" spans="1:14" ht="24">
      <c r="A16" s="3108" t="s">
        <v>3411</v>
      </c>
      <c r="B16" s="3108" t="s">
        <v>3362</v>
      </c>
      <c r="C16" s="3108" t="s">
        <v>3357</v>
      </c>
      <c r="D16" s="3108" t="s">
        <v>3062</v>
      </c>
      <c r="E16" s="3108">
        <v>35704</v>
      </c>
      <c r="F16" s="3108">
        <v>78548.800000000003</v>
      </c>
      <c r="G16" s="3108" t="s">
        <v>3401</v>
      </c>
      <c r="H16" s="3108" t="s">
        <v>3408</v>
      </c>
      <c r="I16" s="3108" t="s">
        <v>3412</v>
      </c>
      <c r="J16" s="3108">
        <v>220000</v>
      </c>
      <c r="K16" s="3108">
        <v>306000</v>
      </c>
      <c r="L16" s="3108">
        <v>38956.660000000003</v>
      </c>
      <c r="M16" s="3108">
        <v>39.090000000000003</v>
      </c>
      <c r="N16" s="3108" t="s">
        <v>3410</v>
      </c>
    </row>
    <row r="17" spans="1:15" ht="36">
      <c r="A17" s="3108" t="s">
        <v>3413</v>
      </c>
      <c r="B17" s="3108" t="s">
        <v>3355</v>
      </c>
      <c r="C17" s="3108" t="s">
        <v>3357</v>
      </c>
      <c r="D17" s="3108" t="s">
        <v>3487</v>
      </c>
      <c r="E17" s="3108">
        <v>79276.91</v>
      </c>
      <c r="F17" s="3108">
        <v>177023</v>
      </c>
      <c r="G17" s="3108" t="s">
        <v>3414</v>
      </c>
      <c r="H17" s="3108" t="s">
        <v>3415</v>
      </c>
      <c r="I17" s="3108" t="s">
        <v>3402</v>
      </c>
      <c r="J17" s="3108">
        <v>365000</v>
      </c>
      <c r="K17" s="3108">
        <v>444000</v>
      </c>
      <c r="L17" s="3108">
        <v>25081.49</v>
      </c>
      <c r="M17" s="3108">
        <v>21.64</v>
      </c>
      <c r="N17" s="3108" t="s">
        <v>3366</v>
      </c>
    </row>
    <row r="18" spans="1:15" ht="24">
      <c r="A18" s="3108" t="s">
        <v>3416</v>
      </c>
      <c r="B18" s="3108" t="s">
        <v>3355</v>
      </c>
      <c r="C18" s="3108" t="s">
        <v>3357</v>
      </c>
      <c r="D18" s="3108" t="s">
        <v>3488</v>
      </c>
      <c r="E18" s="3108">
        <v>34940.019999999997</v>
      </c>
      <c r="F18" s="3108">
        <v>94338</v>
      </c>
      <c r="G18" s="3108">
        <v>2.7</v>
      </c>
      <c r="H18" s="3108" t="s">
        <v>3415</v>
      </c>
      <c r="I18" s="3108" t="s">
        <v>3417</v>
      </c>
      <c r="J18" s="3108">
        <v>210000</v>
      </c>
      <c r="K18" s="3108">
        <v>246000</v>
      </c>
      <c r="L18" s="3108">
        <v>26076.45</v>
      </c>
      <c r="M18" s="3108">
        <v>17.14</v>
      </c>
      <c r="N18" s="3108" t="s">
        <v>3366</v>
      </c>
    </row>
    <row r="19" spans="1:15" s="3137" customFormat="1" ht="24">
      <c r="A19" s="3137" t="s">
        <v>3418</v>
      </c>
      <c r="B19" s="3137" t="s">
        <v>3362</v>
      </c>
      <c r="C19" s="3137" t="s">
        <v>3357</v>
      </c>
      <c r="D19" s="3137" t="s">
        <v>3062</v>
      </c>
      <c r="E19" s="3137">
        <v>54637.78</v>
      </c>
      <c r="F19" s="3137">
        <v>57370</v>
      </c>
      <c r="G19" s="3137">
        <v>1.05</v>
      </c>
      <c r="H19" s="3137" t="s">
        <v>3419</v>
      </c>
      <c r="I19" s="3137" t="s">
        <v>3420</v>
      </c>
      <c r="J19" s="3137">
        <v>73950</v>
      </c>
      <c r="K19" s="3137">
        <v>94000</v>
      </c>
      <c r="L19" s="3137">
        <v>16384.86</v>
      </c>
      <c r="M19" s="3137">
        <v>27.11</v>
      </c>
      <c r="N19" s="3137" t="s">
        <v>3360</v>
      </c>
    </row>
    <row r="20" spans="1:15" s="3137" customFormat="1" ht="24">
      <c r="A20" s="3137" t="s">
        <v>3512</v>
      </c>
      <c r="B20" s="3137" t="s">
        <v>3362</v>
      </c>
      <c r="C20" s="3137" t="s">
        <v>3357</v>
      </c>
      <c r="D20" s="3137" t="s">
        <v>3062</v>
      </c>
      <c r="E20" s="3137">
        <v>87590.77</v>
      </c>
      <c r="F20" s="3137">
        <v>91970</v>
      </c>
      <c r="G20" s="3137">
        <v>1.05</v>
      </c>
      <c r="H20" s="3137" t="s">
        <v>3419</v>
      </c>
      <c r="I20" s="3137" t="s">
        <v>3422</v>
      </c>
      <c r="J20" s="3137">
        <v>118550</v>
      </c>
      <c r="K20" s="3137">
        <v>177000</v>
      </c>
      <c r="L20" s="3137">
        <v>19245.400000000001</v>
      </c>
      <c r="M20" s="3137">
        <v>49.3</v>
      </c>
      <c r="N20" s="3137" t="s">
        <v>3360</v>
      </c>
    </row>
    <row r="21" spans="1:15" ht="24">
      <c r="A21" s="3108" t="s">
        <v>3423</v>
      </c>
      <c r="B21" s="3108" t="s">
        <v>3362</v>
      </c>
      <c r="C21" s="3108" t="s">
        <v>3357</v>
      </c>
      <c r="D21" s="3108" t="s">
        <v>3062</v>
      </c>
      <c r="E21" s="3108">
        <v>38121.199999999997</v>
      </c>
      <c r="F21" s="3108">
        <v>95303</v>
      </c>
      <c r="G21" s="3108">
        <v>2.5</v>
      </c>
      <c r="H21" s="3108" t="s">
        <v>3424</v>
      </c>
      <c r="I21" s="3108" t="s">
        <v>3425</v>
      </c>
      <c r="J21" s="3108">
        <v>267000</v>
      </c>
      <c r="K21" s="3108">
        <v>332000</v>
      </c>
      <c r="L21" s="3108">
        <v>34836.26</v>
      </c>
      <c r="M21" s="3108">
        <v>24.34</v>
      </c>
      <c r="N21" s="3108" t="s">
        <v>3410</v>
      </c>
    </row>
    <row r="22" spans="1:15" ht="36">
      <c r="A22" s="3108" t="s">
        <v>3426</v>
      </c>
      <c r="B22" s="3108" t="s">
        <v>3362</v>
      </c>
      <c r="C22" s="3108" t="s">
        <v>3357</v>
      </c>
      <c r="D22" s="3108" t="s">
        <v>3062</v>
      </c>
      <c r="E22" s="3108">
        <v>44933.4</v>
      </c>
      <c r="F22" s="3108">
        <v>112333.5</v>
      </c>
      <c r="G22" s="3108">
        <v>2.5</v>
      </c>
      <c r="H22" s="3108" t="s">
        <v>3424</v>
      </c>
      <c r="I22" s="3108" t="s">
        <v>3427</v>
      </c>
      <c r="J22" s="3108">
        <v>315000</v>
      </c>
      <c r="K22" s="3108">
        <v>370000</v>
      </c>
      <c r="L22" s="3108">
        <v>32937.629999999997</v>
      </c>
      <c r="M22" s="3108">
        <v>17.46</v>
      </c>
      <c r="N22" s="3108" t="s">
        <v>3410</v>
      </c>
    </row>
    <row r="23" spans="1:15" s="3137" customFormat="1" ht="24">
      <c r="A23" s="3137" t="s">
        <v>3428</v>
      </c>
      <c r="B23" s="3137" t="s">
        <v>3355</v>
      </c>
      <c r="C23" s="3137" t="s">
        <v>3357</v>
      </c>
      <c r="D23" s="3137" t="s">
        <v>3484</v>
      </c>
      <c r="E23" s="3137">
        <v>53689</v>
      </c>
      <c r="F23" s="3137">
        <v>110976</v>
      </c>
      <c r="G23" s="3137">
        <v>2.0699999999999998</v>
      </c>
      <c r="H23" s="3137" t="s">
        <v>3429</v>
      </c>
      <c r="I23" s="3137" t="s">
        <v>3430</v>
      </c>
      <c r="J23" s="3137">
        <v>206000</v>
      </c>
      <c r="K23" s="3137">
        <v>208000</v>
      </c>
      <c r="L23" s="3137">
        <v>18742.79</v>
      </c>
      <c r="M23" s="3137">
        <v>0.97</v>
      </c>
      <c r="N23" s="3137" t="s">
        <v>3410</v>
      </c>
    </row>
    <row r="24" spans="1:15" s="3116" customFormat="1" ht="24">
      <c r="A24" s="3116" t="s">
        <v>3431</v>
      </c>
      <c r="B24" s="3116" t="s">
        <v>3362</v>
      </c>
      <c r="C24" s="3116" t="s">
        <v>3357</v>
      </c>
      <c r="D24" s="3116" t="s">
        <v>3062</v>
      </c>
      <c r="E24" s="3116">
        <v>39735</v>
      </c>
      <c r="F24" s="3116">
        <v>87417</v>
      </c>
      <c r="G24" s="3116">
        <v>2.2000000000000002</v>
      </c>
      <c r="H24" s="3116" t="s">
        <v>3429</v>
      </c>
      <c r="I24" s="3116" t="s">
        <v>3402</v>
      </c>
      <c r="J24" s="3116">
        <v>170000</v>
      </c>
      <c r="K24" s="3116">
        <v>172700</v>
      </c>
      <c r="L24" s="3116">
        <v>19755.88</v>
      </c>
      <c r="M24" s="3116">
        <v>1.59</v>
      </c>
      <c r="N24" s="3116" t="s">
        <v>3410</v>
      </c>
    </row>
    <row r="25" spans="1:15" ht="24">
      <c r="A25" s="3108" t="s">
        <v>3432</v>
      </c>
      <c r="B25" s="3108" t="s">
        <v>3362</v>
      </c>
      <c r="C25" s="3108" t="s">
        <v>3357</v>
      </c>
      <c r="D25" s="3108" t="s">
        <v>3062</v>
      </c>
      <c r="E25" s="3108">
        <v>74464</v>
      </c>
      <c r="F25" s="3108">
        <v>119142</v>
      </c>
      <c r="G25" s="3108">
        <v>1.6</v>
      </c>
      <c r="H25" s="3108" t="s">
        <v>3433</v>
      </c>
      <c r="I25" s="3108" t="s">
        <v>3402</v>
      </c>
      <c r="J25" s="3108">
        <v>230000</v>
      </c>
      <c r="K25" s="3108">
        <v>327500</v>
      </c>
      <c r="L25" s="3108">
        <v>27488.2</v>
      </c>
      <c r="M25" s="3108">
        <v>42.39</v>
      </c>
      <c r="N25" s="3108" t="s">
        <v>3360</v>
      </c>
    </row>
    <row r="26" spans="1:15" ht="24">
      <c r="A26" s="3108" t="s">
        <v>3434</v>
      </c>
      <c r="B26" s="3108" t="s">
        <v>3355</v>
      </c>
      <c r="C26" s="3108" t="s">
        <v>3357</v>
      </c>
      <c r="D26" s="3108" t="s">
        <v>3488</v>
      </c>
      <c r="E26" s="3108">
        <v>39491.11</v>
      </c>
      <c r="F26" s="3108">
        <v>98728</v>
      </c>
      <c r="G26" s="3108">
        <v>2.5</v>
      </c>
      <c r="H26" s="3108" t="s">
        <v>3435</v>
      </c>
      <c r="I26" s="3108" t="s">
        <v>3436</v>
      </c>
      <c r="J26" s="3108">
        <v>266000</v>
      </c>
      <c r="K26" s="3108">
        <v>302500</v>
      </c>
      <c r="L26" s="3108">
        <v>30639.74</v>
      </c>
      <c r="M26" s="3108">
        <v>13.72</v>
      </c>
      <c r="N26" s="3108" t="s">
        <v>3366</v>
      </c>
    </row>
    <row r="27" spans="1:15" s="3137" customFormat="1" ht="24">
      <c r="A27" s="3137" t="s">
        <v>3489</v>
      </c>
      <c r="B27" s="3137" t="s">
        <v>3362</v>
      </c>
      <c r="C27" s="3137" t="s">
        <v>3490</v>
      </c>
      <c r="D27" s="3137" t="s">
        <v>3062</v>
      </c>
      <c r="E27" s="3137">
        <v>20291.37</v>
      </c>
      <c r="F27" s="3137">
        <v>36524</v>
      </c>
      <c r="G27" s="3137">
        <v>1.8</v>
      </c>
      <c r="H27" s="3137" t="s">
        <v>3491</v>
      </c>
      <c r="I27" s="3137" t="s">
        <v>3492</v>
      </c>
      <c r="J27" s="3137" t="s">
        <v>1331</v>
      </c>
      <c r="K27" s="3137">
        <v>62800</v>
      </c>
      <c r="L27" s="3137">
        <v>17194.16</v>
      </c>
      <c r="M27" s="3137" t="s">
        <v>1331</v>
      </c>
      <c r="N27" s="3137" t="s">
        <v>3366</v>
      </c>
    </row>
    <row r="28" spans="1:15" s="3116" customFormat="1" ht="36">
      <c r="A28" s="3117" t="s">
        <v>3496</v>
      </c>
      <c r="B28" s="3116" t="s">
        <v>3362</v>
      </c>
      <c r="C28" s="3116" t="s">
        <v>3357</v>
      </c>
      <c r="D28" s="3116" t="s">
        <v>3062</v>
      </c>
      <c r="E28" s="3116">
        <v>95947</v>
      </c>
      <c r="F28" s="3116">
        <v>211083</v>
      </c>
      <c r="G28" s="3116">
        <v>2.2000000000000002</v>
      </c>
      <c r="H28" s="3116" t="s">
        <v>3437</v>
      </c>
      <c r="I28" s="3116" t="s">
        <v>3438</v>
      </c>
      <c r="J28" s="3116">
        <v>370000</v>
      </c>
      <c r="K28" s="3116">
        <v>370000</v>
      </c>
      <c r="L28" s="3116">
        <v>17528.650000000001</v>
      </c>
      <c r="M28" s="3116">
        <v>0</v>
      </c>
      <c r="N28" s="3116" t="s">
        <v>3410</v>
      </c>
      <c r="O28" s="3116" t="s">
        <v>3497</v>
      </c>
    </row>
    <row r="29" spans="1:15" ht="36">
      <c r="A29" s="3108" t="s">
        <v>3439</v>
      </c>
      <c r="B29" s="3108" t="s">
        <v>3355</v>
      </c>
      <c r="C29" s="3108" t="s">
        <v>3357</v>
      </c>
      <c r="D29" s="3108" t="s">
        <v>3493</v>
      </c>
      <c r="E29" s="3108">
        <v>90424</v>
      </c>
      <c r="F29" s="3108">
        <v>220105</v>
      </c>
      <c r="G29" s="3108">
        <v>2.4300000000000002</v>
      </c>
      <c r="H29" s="3108" t="s">
        <v>3440</v>
      </c>
      <c r="I29" s="3108" t="s">
        <v>3441</v>
      </c>
      <c r="J29" s="3108">
        <v>360000</v>
      </c>
      <c r="K29" s="3108">
        <v>360000</v>
      </c>
      <c r="L29" s="3108">
        <v>16355.82</v>
      </c>
      <c r="M29" s="3108">
        <v>0</v>
      </c>
      <c r="N29" s="3108" t="s">
        <v>3366</v>
      </c>
    </row>
    <row r="30" spans="1:15" ht="24">
      <c r="A30" s="3108" t="s">
        <v>3442</v>
      </c>
      <c r="B30" s="3108" t="s">
        <v>3355</v>
      </c>
      <c r="C30" s="3108" t="s">
        <v>3357</v>
      </c>
      <c r="D30" s="3108" t="s">
        <v>3484</v>
      </c>
      <c r="E30" s="3108">
        <v>37662.699999999997</v>
      </c>
      <c r="F30" s="3108">
        <v>69250.399999999994</v>
      </c>
      <c r="G30" s="3108">
        <v>1.84</v>
      </c>
      <c r="H30" s="3108" t="s">
        <v>3443</v>
      </c>
      <c r="I30" s="3108" t="s">
        <v>3444</v>
      </c>
      <c r="J30" s="3108">
        <v>181000</v>
      </c>
      <c r="K30" s="3108">
        <v>246000</v>
      </c>
      <c r="L30" s="3108">
        <v>35523.26</v>
      </c>
      <c r="M30" s="3108">
        <v>35.909999999999997</v>
      </c>
      <c r="N30" s="3108" t="s">
        <v>3410</v>
      </c>
    </row>
    <row r="31" spans="1:15" ht="24">
      <c r="A31" s="3108" t="s">
        <v>3445</v>
      </c>
      <c r="B31" s="3108" t="s">
        <v>3355</v>
      </c>
      <c r="C31" s="3108" t="s">
        <v>3357</v>
      </c>
      <c r="D31" s="3108" t="s">
        <v>3482</v>
      </c>
      <c r="E31" s="3108">
        <v>48377.1</v>
      </c>
      <c r="F31" s="3108">
        <v>87296.2</v>
      </c>
      <c r="G31" s="3108">
        <v>1.8</v>
      </c>
      <c r="H31" s="3108" t="s">
        <v>3443</v>
      </c>
      <c r="I31" s="3108" t="s">
        <v>3446</v>
      </c>
      <c r="J31" s="3108">
        <v>160000</v>
      </c>
      <c r="K31" s="3108">
        <v>222000</v>
      </c>
      <c r="L31" s="3108">
        <v>25430.65</v>
      </c>
      <c r="M31" s="3108">
        <v>38.75</v>
      </c>
      <c r="N31" s="3108" t="s">
        <v>3410</v>
      </c>
    </row>
    <row r="32" spans="1:15" ht="36">
      <c r="A32" s="3108" t="s">
        <v>3447</v>
      </c>
      <c r="B32" s="3108" t="s">
        <v>3362</v>
      </c>
      <c r="C32" s="3108" t="s">
        <v>3357</v>
      </c>
      <c r="D32" s="3108" t="s">
        <v>3062</v>
      </c>
      <c r="E32" s="3108">
        <v>92065.1</v>
      </c>
      <c r="F32" s="3108">
        <v>165717.20000000001</v>
      </c>
      <c r="G32" s="3108">
        <v>1.8</v>
      </c>
      <c r="H32" s="3108" t="s">
        <v>3448</v>
      </c>
      <c r="I32" s="3108" t="s">
        <v>3449</v>
      </c>
      <c r="J32" s="3108">
        <v>464000</v>
      </c>
      <c r="K32" s="3108">
        <v>629000</v>
      </c>
      <c r="L32" s="3108">
        <v>37956.230000000003</v>
      </c>
      <c r="M32" s="3108">
        <v>35.56</v>
      </c>
      <c r="N32" s="3108" t="s">
        <v>3410</v>
      </c>
    </row>
    <row r="33" spans="1:14" ht="36">
      <c r="A33" s="3108" t="s">
        <v>3450</v>
      </c>
      <c r="B33" s="3108" t="s">
        <v>3355</v>
      </c>
      <c r="C33" s="3108" t="s">
        <v>3357</v>
      </c>
      <c r="D33" s="3108" t="s">
        <v>3494</v>
      </c>
      <c r="E33" s="3108">
        <v>76286.2</v>
      </c>
      <c r="F33" s="3108">
        <v>181983.1</v>
      </c>
      <c r="G33" s="3108">
        <v>2.5</v>
      </c>
      <c r="H33" s="3108" t="s">
        <v>3451</v>
      </c>
      <c r="I33" s="3108" t="s">
        <v>3452</v>
      </c>
      <c r="J33" s="3108">
        <v>478000</v>
      </c>
      <c r="K33" s="3108">
        <v>716500</v>
      </c>
      <c r="L33" s="3108">
        <v>39371.79</v>
      </c>
      <c r="M33" s="3108">
        <v>49.9</v>
      </c>
      <c r="N33" s="3108" t="s">
        <v>3366</v>
      </c>
    </row>
    <row r="34" spans="1:14" ht="24">
      <c r="A34" s="3108" t="s">
        <v>3453</v>
      </c>
      <c r="B34" s="3108" t="s">
        <v>3355</v>
      </c>
      <c r="C34" s="3108" t="s">
        <v>3357</v>
      </c>
      <c r="D34" s="3108" t="s">
        <v>3488</v>
      </c>
      <c r="E34" s="3108">
        <v>28212.35</v>
      </c>
      <c r="F34" s="3108">
        <v>70531</v>
      </c>
      <c r="G34" s="3108">
        <v>2.5</v>
      </c>
      <c r="H34" s="3108" t="s">
        <v>3454</v>
      </c>
      <c r="I34" s="3108" t="s">
        <v>3455</v>
      </c>
      <c r="J34" s="3108">
        <v>190000</v>
      </c>
      <c r="K34" s="3108">
        <v>270000</v>
      </c>
      <c r="L34" s="3108">
        <v>38281.040000000001</v>
      </c>
      <c r="M34" s="3108">
        <v>42.11</v>
      </c>
      <c r="N34" s="3108" t="s">
        <v>3366</v>
      </c>
    </row>
    <row r="35" spans="1:14" ht="36">
      <c r="A35" s="3108" t="s">
        <v>3456</v>
      </c>
      <c r="B35" s="3108" t="s">
        <v>3355</v>
      </c>
      <c r="C35" s="3108" t="s">
        <v>3357</v>
      </c>
      <c r="D35" s="3108" t="s">
        <v>3484</v>
      </c>
      <c r="E35" s="3108">
        <v>75065.42</v>
      </c>
      <c r="F35" s="3108">
        <v>133506</v>
      </c>
      <c r="G35" s="3108" t="s">
        <v>3457</v>
      </c>
      <c r="H35" s="3108" t="s">
        <v>3458</v>
      </c>
      <c r="I35" s="3108" t="s">
        <v>3459</v>
      </c>
      <c r="J35" s="3108">
        <v>320000</v>
      </c>
      <c r="K35" s="3108">
        <v>479000</v>
      </c>
      <c r="L35" s="3108">
        <v>35878.54</v>
      </c>
      <c r="M35" s="3108">
        <v>49.69</v>
      </c>
      <c r="N35" s="3108" t="s">
        <v>3366</v>
      </c>
    </row>
    <row r="36" spans="1:14" ht="24">
      <c r="A36" s="3108" t="s">
        <v>3460</v>
      </c>
      <c r="B36" s="3108" t="s">
        <v>3355</v>
      </c>
      <c r="C36" s="3108" t="s">
        <v>3357</v>
      </c>
      <c r="D36" s="3108" t="s">
        <v>3488</v>
      </c>
      <c r="E36" s="3108">
        <v>22717.91</v>
      </c>
      <c r="F36" s="3108">
        <v>56795</v>
      </c>
      <c r="G36" s="3108">
        <v>2.5</v>
      </c>
      <c r="H36" s="3108" t="s">
        <v>3458</v>
      </c>
      <c r="I36" s="3108" t="s">
        <v>3461</v>
      </c>
      <c r="J36" s="3108">
        <v>153000</v>
      </c>
      <c r="K36" s="3108">
        <v>229000</v>
      </c>
      <c r="L36" s="3108">
        <v>40320.44</v>
      </c>
      <c r="M36" s="3108">
        <v>49.67</v>
      </c>
      <c r="N36" s="3108" t="s">
        <v>3366</v>
      </c>
    </row>
    <row r="37" spans="1:14" ht="24">
      <c r="A37" s="3108" t="s">
        <v>3462</v>
      </c>
      <c r="B37" s="3108" t="s">
        <v>3355</v>
      </c>
      <c r="C37" s="3108" t="s">
        <v>3357</v>
      </c>
      <c r="D37" s="3108" t="s">
        <v>3488</v>
      </c>
      <c r="E37" s="3108">
        <v>31048.69</v>
      </c>
      <c r="F37" s="3108">
        <v>77622</v>
      </c>
      <c r="G37" s="3108">
        <v>2.5</v>
      </c>
      <c r="H37" s="3108" t="s">
        <v>3463</v>
      </c>
      <c r="I37" s="3108" t="s">
        <v>3399</v>
      </c>
      <c r="J37" s="3108">
        <v>145000</v>
      </c>
      <c r="K37" s="3108">
        <v>146500</v>
      </c>
      <c r="L37" s="3108">
        <v>18873.52</v>
      </c>
      <c r="M37" s="3108">
        <v>1.03</v>
      </c>
      <c r="N37" s="3108" t="s">
        <v>3366</v>
      </c>
    </row>
    <row r="38" spans="1:14" ht="24">
      <c r="A38" s="3108" t="s">
        <v>3464</v>
      </c>
      <c r="B38" s="3108" t="s">
        <v>3355</v>
      </c>
      <c r="C38" s="3108" t="s">
        <v>3357</v>
      </c>
      <c r="D38" s="3108" t="s">
        <v>3495</v>
      </c>
      <c r="E38" s="3108">
        <v>40985.61</v>
      </c>
      <c r="F38" s="3108">
        <v>81971</v>
      </c>
      <c r="G38" s="3108">
        <v>2</v>
      </c>
      <c r="H38" s="3108" t="s">
        <v>3465</v>
      </c>
      <c r="I38" s="3108" t="s">
        <v>3466</v>
      </c>
      <c r="J38" s="3108">
        <v>168000</v>
      </c>
      <c r="K38" s="3108">
        <v>168000</v>
      </c>
      <c r="L38" s="3108">
        <v>20495.04</v>
      </c>
      <c r="M38" s="3108">
        <v>0</v>
      </c>
      <c r="N38" s="3108" t="s">
        <v>3366</v>
      </c>
    </row>
  </sheetData>
  <autoFilter ref="A1:N38" xr:uid="{00000000-0009-0000-0000-000035000000}"/>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16" t="s">
        <v>1662</v>
      </c>
      <c r="B1" s="3416"/>
      <c r="C1" s="3416"/>
      <c r="D1" s="3416"/>
    </row>
    <row r="2" spans="1:4" ht="18">
      <c r="A2" s="3417" t="s">
        <v>1646</v>
      </c>
      <c r="B2" s="3417"/>
      <c r="C2" s="3417"/>
      <c r="D2" s="3417"/>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417" t="s">
        <v>1652</v>
      </c>
      <c r="B6" s="3417"/>
      <c r="C6" s="3417"/>
      <c r="D6" s="3417"/>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418" t="s">
        <v>1655</v>
      </c>
      <c r="B11" s="3419"/>
      <c r="C11" s="3419"/>
      <c r="D11" s="3419"/>
    </row>
    <row r="12" spans="1:4" ht="15.75">
      <c r="A12" s="34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0"/>
      <c r="C12" s="3420"/>
      <c r="D12" s="3420"/>
    </row>
    <row r="13" spans="1:4" ht="30" customHeight="1">
      <c r="A13" s="3419" t="str">
        <f>IF(项目基本情况!B8="抵押","3.抵押双方在办理抵押登记手续时，应使用本公司出具的正式《房地产评估报告》，特提醒报告使用者注意。","——")</f>
        <v>——</v>
      </c>
      <c r="B13" s="3420"/>
      <c r="C13" s="3420"/>
      <c r="D13" s="3420"/>
    </row>
    <row r="14" spans="1:4" ht="15.75" customHeight="1">
      <c r="A14" s="3419" t="str">
        <f>IF(项目基本情况!B8="抵押","4.本次评估估价师所知悉的法定优先受偿款情况说明如下：","——")</f>
        <v>——</v>
      </c>
      <c r="B14" s="3420"/>
      <c r="C14" s="3420"/>
      <c r="D14" s="3420"/>
    </row>
    <row r="15" spans="1:4" ht="42" customHeight="1">
      <c r="A15" s="3419" t="str">
        <f>IF(项目基本情况!B8="抵押","（1）"&amp;CONCATENATE(项目基本情况!L20,项目基本情况!L21,项目基本情况!L22),"——")</f>
        <v>——</v>
      </c>
      <c r="B15" s="3419"/>
      <c r="C15" s="3419"/>
      <c r="D15" s="3419"/>
    </row>
    <row r="16" spans="1:4" ht="30" customHeight="1">
      <c r="A16" s="3422" t="s">
        <v>1656</v>
      </c>
      <c r="B16" s="3422"/>
      <c r="C16" s="3422"/>
      <c r="D16" s="3422"/>
    </row>
    <row r="17" spans="1:4" ht="144" customHeight="1">
      <c r="A17" s="3422" t="s">
        <v>1657</v>
      </c>
      <c r="B17" s="3422"/>
      <c r="C17" s="3422"/>
      <c r="D17" s="3422"/>
    </row>
    <row r="18" spans="1:4" ht="15.75" customHeight="1">
      <c r="A18" s="3419" t="str">
        <f>IF(项目基本情况!B8="抵押",结果表!K120,"——")</f>
        <v>——</v>
      </c>
      <c r="B18" s="3419"/>
      <c r="C18" s="3419"/>
      <c r="D18" s="3419"/>
    </row>
    <row r="19" spans="1:4" ht="46.5" customHeight="1">
      <c r="A19" s="34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spans="1:4" ht="57.75" customHeight="1">
      <c r="A20" s="34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9"/>
      <c r="C20" s="3419"/>
      <c r="D20" s="3419"/>
    </row>
    <row r="21" spans="1:4" ht="57.75" customHeight="1">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3"/>
      <c r="C21" s="3423"/>
      <c r="D21" s="3423"/>
    </row>
    <row r="22" spans="1:4" ht="18.75" customHeight="1">
      <c r="A22" s="3424" t="s">
        <v>1658</v>
      </c>
      <c r="B22" s="3424"/>
      <c r="C22" s="3424"/>
      <c r="D22" s="3424"/>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421">
        <v>42551</v>
      </c>
      <c r="D31" s="34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785" t="s">
        <v>3179</v>
      </c>
      <c r="B1" s="3786" t="s">
        <v>3467</v>
      </c>
      <c r="C1" s="3787" t="s">
        <v>3468</v>
      </c>
      <c r="D1" s="3786" t="s">
        <v>3186</v>
      </c>
      <c r="E1" s="3786" t="s">
        <v>3469</v>
      </c>
      <c r="F1" s="3787" t="s">
        <v>3470</v>
      </c>
      <c r="G1" s="3786" t="s">
        <v>3471</v>
      </c>
      <c r="H1" s="3786" t="s">
        <v>3472</v>
      </c>
      <c r="I1" s="3783" t="s">
        <v>1359</v>
      </c>
      <c r="J1" s="3783" t="s">
        <v>3473</v>
      </c>
      <c r="K1" s="3783" t="s">
        <v>3499</v>
      </c>
    </row>
    <row r="2" spans="1:11" ht="14.25" thickBot="1">
      <c r="A2" s="3785"/>
      <c r="B2" s="3786"/>
      <c r="C2" s="3788"/>
      <c r="D2" s="3786"/>
      <c r="E2" s="3786"/>
      <c r="F2" s="3788"/>
      <c r="G2" s="3786"/>
      <c r="H2" s="3786"/>
      <c r="I2" s="3783"/>
      <c r="J2" s="3783"/>
      <c r="K2" s="3783"/>
    </row>
    <row r="3" spans="1:11" ht="14.25" thickBot="1">
      <c r="A3" s="3785"/>
      <c r="B3" s="3786"/>
      <c r="C3" s="3789"/>
      <c r="D3" s="3786"/>
      <c r="E3" s="3786"/>
      <c r="F3" s="3789"/>
      <c r="G3" s="3786"/>
      <c r="H3" s="3786"/>
      <c r="I3" s="3783"/>
      <c r="J3" s="3783"/>
      <c r="K3" s="3783"/>
    </row>
    <row r="4" spans="1:11" ht="23.25" thickBot="1">
      <c r="A4" s="3095">
        <v>1</v>
      </c>
      <c r="B4" s="3118" t="s">
        <v>3361</v>
      </c>
      <c r="C4" s="3096">
        <v>94672</v>
      </c>
      <c r="D4" s="3118" t="s">
        <v>3474</v>
      </c>
      <c r="E4" s="3096" t="s">
        <v>3364</v>
      </c>
      <c r="F4" s="3096">
        <v>374000</v>
      </c>
      <c r="G4" s="3099">
        <v>285031.46000000002</v>
      </c>
      <c r="H4" s="3096">
        <f>F4-G4</f>
        <v>88968.539999999979</v>
      </c>
      <c r="I4" s="3096">
        <f>ROUND(F4*10000/C4,2)</f>
        <v>39504.82</v>
      </c>
      <c r="J4" s="3097">
        <f>H4/F4</f>
        <v>0.23788379679144381</v>
      </c>
      <c r="K4" s="3096">
        <v>3.03</v>
      </c>
    </row>
    <row r="5" spans="1:11" ht="23.25" thickBot="1">
      <c r="A5" s="3095">
        <v>2</v>
      </c>
      <c r="B5" s="3118" t="s">
        <v>3370</v>
      </c>
      <c r="C5" s="3096">
        <v>51009</v>
      </c>
      <c r="D5" s="3118" t="s">
        <v>3474</v>
      </c>
      <c r="E5" s="3096" t="s">
        <v>3372</v>
      </c>
      <c r="F5" s="3096">
        <v>65600</v>
      </c>
      <c r="G5" s="3099">
        <v>53682.559999999998</v>
      </c>
      <c r="H5" s="3096">
        <f t="shared" ref="H5:H19" si="0">F5-G5</f>
        <v>11917.440000000002</v>
      </c>
      <c r="I5" s="3096">
        <f t="shared" ref="I5:I19" si="1">ROUND(F5*10000/C5,2)</f>
        <v>12860.48</v>
      </c>
      <c r="J5" s="3097">
        <f t="shared" ref="J5:J19" si="2">H5/F5</f>
        <v>0.18166829268292686</v>
      </c>
      <c r="K5" s="3096">
        <v>0</v>
      </c>
    </row>
    <row r="6" spans="1:11" s="3143" customFormat="1" ht="23.25" thickBot="1">
      <c r="A6" s="3138">
        <v>3</v>
      </c>
      <c r="B6" s="3139" t="s">
        <v>3377</v>
      </c>
      <c r="C6" s="3140">
        <v>21836</v>
      </c>
      <c r="D6" s="3139" t="s">
        <v>3474</v>
      </c>
      <c r="E6" s="3140" t="s">
        <v>3379</v>
      </c>
      <c r="F6" s="3140">
        <v>36000</v>
      </c>
      <c r="G6" s="3141">
        <v>22980.04</v>
      </c>
      <c r="H6" s="3140">
        <f t="shared" si="0"/>
        <v>13019.96</v>
      </c>
      <c r="I6" s="3140">
        <f t="shared" si="1"/>
        <v>16486.54</v>
      </c>
      <c r="J6" s="3142">
        <f t="shared" si="2"/>
        <v>0.36166555555555552</v>
      </c>
      <c r="K6" s="3140">
        <v>25</v>
      </c>
    </row>
    <row r="7" spans="1:11" ht="23.25" thickBot="1">
      <c r="A7" s="3098"/>
      <c r="B7" s="3118" t="s">
        <v>3386</v>
      </c>
      <c r="C7" s="3096">
        <v>153260.24</v>
      </c>
      <c r="D7" s="3118" t="s">
        <v>3474</v>
      </c>
      <c r="E7" s="3096" t="s">
        <v>3383</v>
      </c>
      <c r="F7" s="3096">
        <v>428150</v>
      </c>
      <c r="G7" s="3099">
        <v>145863</v>
      </c>
      <c r="H7" s="3096">
        <f t="shared" si="0"/>
        <v>282287</v>
      </c>
      <c r="I7" s="3096">
        <f t="shared" si="1"/>
        <v>27936.14</v>
      </c>
      <c r="J7" s="3097">
        <f t="shared" si="2"/>
        <v>0.65931799602942898</v>
      </c>
      <c r="K7" s="3096">
        <v>0.5</v>
      </c>
    </row>
    <row r="8" spans="1:11" ht="23.25" thickBot="1">
      <c r="A8" s="3098"/>
      <c r="B8" s="3118" t="s">
        <v>3400</v>
      </c>
      <c r="C8" s="3096">
        <v>100957</v>
      </c>
      <c r="D8" s="3118" t="s">
        <v>3474</v>
      </c>
      <c r="E8" s="3096" t="s">
        <v>3398</v>
      </c>
      <c r="F8" s="3096">
        <v>327000</v>
      </c>
      <c r="G8" s="3099">
        <v>50480</v>
      </c>
      <c r="H8" s="3096">
        <f t="shared" si="0"/>
        <v>276520</v>
      </c>
      <c r="I8" s="3096">
        <f t="shared" si="1"/>
        <v>32390.03</v>
      </c>
      <c r="J8" s="3097">
        <f t="shared" si="2"/>
        <v>0.84562691131498469</v>
      </c>
      <c r="K8" s="3122">
        <v>25.77</v>
      </c>
    </row>
    <row r="9" spans="1:11" ht="23.25" thickBot="1">
      <c r="A9" s="3098"/>
      <c r="B9" s="3118" t="s">
        <v>3407</v>
      </c>
      <c r="C9" s="3096">
        <v>80251.820000000007</v>
      </c>
      <c r="D9" s="3118" t="s">
        <v>3474</v>
      </c>
      <c r="E9" s="3096" t="s">
        <v>3408</v>
      </c>
      <c r="F9" s="3096">
        <v>318000</v>
      </c>
      <c r="G9" s="3099">
        <v>161870.20000000001</v>
      </c>
      <c r="H9" s="3096">
        <f t="shared" si="0"/>
        <v>156129.79999999999</v>
      </c>
      <c r="I9" s="3096">
        <f t="shared" si="1"/>
        <v>39625.269999999997</v>
      </c>
      <c r="J9" s="3097">
        <f t="shared" si="2"/>
        <v>0.49097421383647794</v>
      </c>
      <c r="K9" s="3122">
        <v>41.33</v>
      </c>
    </row>
    <row r="10" spans="1:11" ht="23.25" thickBot="1">
      <c r="A10" s="3098"/>
      <c r="B10" s="3118" t="s">
        <v>3411</v>
      </c>
      <c r="C10" s="3096">
        <v>78548.800000000003</v>
      </c>
      <c r="D10" s="3118" t="s">
        <v>3474</v>
      </c>
      <c r="E10" s="3096" t="s">
        <v>3408</v>
      </c>
      <c r="F10" s="3096">
        <v>306000</v>
      </c>
      <c r="G10" s="3099">
        <v>158435.04</v>
      </c>
      <c r="H10" s="3096">
        <f t="shared" si="0"/>
        <v>147564.96</v>
      </c>
      <c r="I10" s="3096">
        <f t="shared" si="1"/>
        <v>38956.67</v>
      </c>
      <c r="J10" s="3097">
        <f t="shared" si="2"/>
        <v>0.48223843137254901</v>
      </c>
      <c r="K10" s="3122">
        <v>39.090000000000003</v>
      </c>
    </row>
    <row r="11" spans="1:11" s="3143" customFormat="1" ht="23.25" thickBot="1">
      <c r="A11" s="3138"/>
      <c r="B11" s="3139" t="s">
        <v>3514</v>
      </c>
      <c r="C11" s="3140">
        <v>57370</v>
      </c>
      <c r="D11" s="3139" t="s">
        <v>3474</v>
      </c>
      <c r="E11" s="3140" t="s">
        <v>3419</v>
      </c>
      <c r="F11" s="3140">
        <v>94000</v>
      </c>
      <c r="G11" s="3141">
        <v>60347.16</v>
      </c>
      <c r="H11" s="3140">
        <f t="shared" si="0"/>
        <v>33652.839999999997</v>
      </c>
      <c r="I11" s="3140">
        <f t="shared" si="1"/>
        <v>16384.87</v>
      </c>
      <c r="J11" s="3142">
        <f t="shared" si="2"/>
        <v>0.35800893617021273</v>
      </c>
      <c r="K11" s="3140">
        <v>27.11</v>
      </c>
    </row>
    <row r="12" spans="1:11" ht="23.25" thickBot="1">
      <c r="A12" s="3098"/>
      <c r="B12" s="3125" t="s">
        <v>3421</v>
      </c>
      <c r="C12" s="3096">
        <v>91970</v>
      </c>
      <c r="D12" s="3118" t="s">
        <v>3474</v>
      </c>
      <c r="E12" s="3096" t="s">
        <v>3419</v>
      </c>
      <c r="F12" s="3096">
        <v>177000</v>
      </c>
      <c r="G12" s="3099">
        <v>0</v>
      </c>
      <c r="H12" s="3096">
        <f t="shared" si="0"/>
        <v>177000</v>
      </c>
      <c r="I12" s="3096">
        <f t="shared" si="1"/>
        <v>19245.41</v>
      </c>
      <c r="J12" s="3097">
        <f t="shared" si="2"/>
        <v>1</v>
      </c>
      <c r="K12" s="3122">
        <v>49.3</v>
      </c>
    </row>
    <row r="13" spans="1:11" ht="23.25" thickBot="1">
      <c r="A13" s="3098"/>
      <c r="B13" s="3118" t="s">
        <v>3423</v>
      </c>
      <c r="C13" s="3096">
        <v>95303</v>
      </c>
      <c r="D13" s="3118" t="s">
        <v>3474</v>
      </c>
      <c r="E13" s="3096" t="s">
        <v>3424</v>
      </c>
      <c r="F13" s="3096">
        <v>332000</v>
      </c>
      <c r="G13" s="3099">
        <v>192309.66</v>
      </c>
      <c r="H13" s="3096">
        <f t="shared" si="0"/>
        <v>139690.34</v>
      </c>
      <c r="I13" s="3096">
        <f t="shared" si="1"/>
        <v>34836.26</v>
      </c>
      <c r="J13" s="3097">
        <f t="shared" si="2"/>
        <v>0.42075403614457829</v>
      </c>
      <c r="K13" s="3122">
        <v>24.34</v>
      </c>
    </row>
    <row r="14" spans="1:11" ht="23.25" thickBot="1">
      <c r="A14" s="3098"/>
      <c r="B14" s="3124" t="s">
        <v>3426</v>
      </c>
      <c r="C14" s="3096">
        <v>112333.5</v>
      </c>
      <c r="D14" s="3118" t="s">
        <v>3474</v>
      </c>
      <c r="E14" s="3096" t="s">
        <v>3424</v>
      </c>
      <c r="F14" s="3096">
        <v>370000</v>
      </c>
      <c r="G14" s="3099">
        <v>226664.43</v>
      </c>
      <c r="H14" s="3096">
        <f t="shared" si="0"/>
        <v>143335.57</v>
      </c>
      <c r="I14" s="3096">
        <f t="shared" si="1"/>
        <v>32937.64</v>
      </c>
      <c r="J14" s="3097">
        <f t="shared" si="2"/>
        <v>0.38739343243243246</v>
      </c>
      <c r="K14" s="3096">
        <v>17.46</v>
      </c>
    </row>
    <row r="15" spans="1:11" ht="23.25" thickBot="1">
      <c r="A15" s="3098"/>
      <c r="B15" s="3118" t="s">
        <v>3431</v>
      </c>
      <c r="C15" s="3096">
        <v>87417</v>
      </c>
      <c r="D15" s="3118" t="s">
        <v>3474</v>
      </c>
      <c r="E15" s="3096" t="s">
        <v>3429</v>
      </c>
      <c r="F15" s="3096">
        <v>172700</v>
      </c>
      <c r="G15" s="3099">
        <v>79238.42</v>
      </c>
      <c r="H15" s="3096">
        <f t="shared" si="0"/>
        <v>93461.58</v>
      </c>
      <c r="I15" s="3096">
        <f t="shared" si="1"/>
        <v>19755.88</v>
      </c>
      <c r="J15" s="3097">
        <f t="shared" si="2"/>
        <v>0.54117880718008105</v>
      </c>
      <c r="K15" s="3096">
        <v>1.59</v>
      </c>
    </row>
    <row r="16" spans="1:11" ht="23.25" thickBot="1">
      <c r="A16" s="3098"/>
      <c r="B16" s="3118" t="s">
        <v>3432</v>
      </c>
      <c r="C16" s="3096">
        <v>119142</v>
      </c>
      <c r="D16" s="3118" t="s">
        <v>3474</v>
      </c>
      <c r="E16" s="3096" t="s">
        <v>3433</v>
      </c>
      <c r="F16" s="3096">
        <v>327500</v>
      </c>
      <c r="G16" s="3099">
        <v>30622.48</v>
      </c>
      <c r="H16" s="3096">
        <f t="shared" si="0"/>
        <v>296877.52</v>
      </c>
      <c r="I16" s="3096">
        <f t="shared" si="1"/>
        <v>27488.21</v>
      </c>
      <c r="J16" s="3097">
        <f t="shared" si="2"/>
        <v>0.90649624427480924</v>
      </c>
      <c r="K16" s="3122">
        <v>42.39</v>
      </c>
    </row>
    <row r="17" spans="1:11" ht="23.25" thickBot="1">
      <c r="A17" s="3098"/>
      <c r="B17" s="3118" t="s">
        <v>3489</v>
      </c>
      <c r="C17" s="3096">
        <v>36524</v>
      </c>
      <c r="D17" s="3118" t="s">
        <v>3474</v>
      </c>
      <c r="E17" s="3096" t="s">
        <v>3491</v>
      </c>
      <c r="F17" s="3096">
        <v>62800</v>
      </c>
      <c r="G17" s="3099">
        <v>27683.53</v>
      </c>
      <c r="H17" s="3096">
        <f t="shared" si="0"/>
        <v>35116.47</v>
      </c>
      <c r="I17" s="3096">
        <f t="shared" si="1"/>
        <v>17194.169999999998</v>
      </c>
      <c r="J17" s="3097">
        <f t="shared" si="2"/>
        <v>0.55917945859872609</v>
      </c>
      <c r="K17" s="3096" t="s">
        <v>1331</v>
      </c>
    </row>
    <row r="18" spans="1:11" ht="57" thickBot="1">
      <c r="A18" s="3098"/>
      <c r="B18" s="3118" t="s">
        <v>3496</v>
      </c>
      <c r="C18" s="3096">
        <v>211083</v>
      </c>
      <c r="D18" s="3118" t="s">
        <v>3474</v>
      </c>
      <c r="E18" s="3096" t="s">
        <v>3437</v>
      </c>
      <c r="F18" s="3096">
        <v>370000</v>
      </c>
      <c r="G18" s="3099">
        <v>168440.53</v>
      </c>
      <c r="H18" s="3096">
        <f t="shared" si="0"/>
        <v>201559.47</v>
      </c>
      <c r="I18" s="3096">
        <f t="shared" si="1"/>
        <v>17528.650000000001</v>
      </c>
      <c r="J18" s="3097">
        <f t="shared" si="2"/>
        <v>0.54475532432432427</v>
      </c>
      <c r="K18" s="3096">
        <v>0</v>
      </c>
    </row>
    <row r="19" spans="1:11" ht="23.25" thickBot="1">
      <c r="A19" s="3098"/>
      <c r="B19" s="3118" t="s">
        <v>3447</v>
      </c>
      <c r="C19" s="3096">
        <v>165717.20000000001</v>
      </c>
      <c r="D19" s="3118" t="s">
        <v>3474</v>
      </c>
      <c r="E19" s="3096" t="s">
        <v>3448</v>
      </c>
      <c r="F19" s="3096">
        <v>629000</v>
      </c>
      <c r="G19" s="3099">
        <v>223610.52</v>
      </c>
      <c r="H19" s="3096">
        <f t="shared" si="0"/>
        <v>405389.48</v>
      </c>
      <c r="I19" s="3096">
        <f t="shared" si="1"/>
        <v>37956.230000000003</v>
      </c>
      <c r="J19" s="3097">
        <f t="shared" si="2"/>
        <v>0.64449837837837831</v>
      </c>
      <c r="K19" s="3122">
        <v>35.56</v>
      </c>
    </row>
    <row r="20" spans="1:11" ht="14.25" thickBot="1">
      <c r="A20" s="3784" t="s">
        <v>3475</v>
      </c>
      <c r="B20" s="3784"/>
      <c r="C20" s="3784"/>
      <c r="D20" s="3784"/>
      <c r="E20" s="3784"/>
      <c r="F20" s="3784"/>
      <c r="G20" s="3784"/>
      <c r="H20" s="3784"/>
      <c r="I20" s="3784"/>
      <c r="J20" s="3100">
        <f>SUM(J4:J19)/15</f>
        <v>0.57477598767246063</v>
      </c>
      <c r="K20" s="3100"/>
    </row>
    <row r="21" spans="1:11" ht="14.25" thickBot="1">
      <c r="A21" s="3784" t="s">
        <v>3476</v>
      </c>
      <c r="B21" s="3784"/>
      <c r="C21" s="3784"/>
      <c r="D21" s="3784"/>
      <c r="E21" s="3784"/>
      <c r="F21" s="3784"/>
      <c r="G21" s="3784"/>
      <c r="H21" s="3784"/>
      <c r="I21" s="3784"/>
      <c r="J21" s="3100">
        <f>ROUND((J4+J5+J7+J14+J15+J17+J18)/7,2)</f>
        <v>0.44</v>
      </c>
      <c r="K21" s="3100"/>
    </row>
    <row r="22" spans="1:11">
      <c r="J22" s="3119"/>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3"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785" t="s">
        <v>3179</v>
      </c>
      <c r="B1" s="3793" t="s">
        <v>3467</v>
      </c>
      <c r="C1" s="3787" t="s">
        <v>3468</v>
      </c>
      <c r="D1" s="3786" t="s">
        <v>3186</v>
      </c>
      <c r="E1" s="3786" t="s">
        <v>3469</v>
      </c>
      <c r="F1" s="3787" t="s">
        <v>3470</v>
      </c>
      <c r="G1" s="3786" t="s">
        <v>3471</v>
      </c>
      <c r="H1" s="3786" t="s">
        <v>3472</v>
      </c>
      <c r="I1" s="3783" t="s">
        <v>1359</v>
      </c>
      <c r="J1" s="3794" t="s">
        <v>3498</v>
      </c>
      <c r="K1" s="3790" t="s">
        <v>3499</v>
      </c>
    </row>
    <row r="2" spans="1:11" ht="14.25" thickBot="1">
      <c r="A2" s="3785"/>
      <c r="B2" s="3793"/>
      <c r="C2" s="3788"/>
      <c r="D2" s="3786"/>
      <c r="E2" s="3786"/>
      <c r="F2" s="3788"/>
      <c r="G2" s="3786"/>
      <c r="H2" s="3786"/>
      <c r="I2" s="3783"/>
      <c r="J2" s="3795"/>
      <c r="K2" s="3791"/>
    </row>
    <row r="3" spans="1:11" ht="14.25" thickBot="1">
      <c r="A3" s="3785"/>
      <c r="B3" s="3793"/>
      <c r="C3" s="3789"/>
      <c r="D3" s="3786"/>
      <c r="E3" s="3786"/>
      <c r="F3" s="3789"/>
      <c r="G3" s="3786"/>
      <c r="H3" s="3786"/>
      <c r="I3" s="3783"/>
      <c r="J3" s="3796"/>
      <c r="K3" s="3792"/>
    </row>
    <row r="4" spans="1:11" s="3143" customFormat="1" ht="34.5" thickBot="1">
      <c r="A4" s="3144">
        <v>1</v>
      </c>
      <c r="B4" s="3145" t="s">
        <v>3515</v>
      </c>
      <c r="C4" s="3140">
        <v>79371.899999999994</v>
      </c>
      <c r="D4" s="3140" t="s">
        <v>3481</v>
      </c>
      <c r="E4" s="3140" t="s">
        <v>3358</v>
      </c>
      <c r="F4" s="3140">
        <v>130000</v>
      </c>
      <c r="G4" s="3141">
        <v>78824.39</v>
      </c>
      <c r="H4" s="3140">
        <f>F4-G4</f>
        <v>51175.61</v>
      </c>
      <c r="I4" s="3140">
        <f>ROUND(F4*10000/C4,2)</f>
        <v>16378.59</v>
      </c>
      <c r="J4" s="3146">
        <f>H4/F4</f>
        <v>0.39365853846153848</v>
      </c>
      <c r="K4" s="3140">
        <v>31.98</v>
      </c>
    </row>
    <row r="5" spans="1:11" ht="34.5" thickBot="1">
      <c r="A5" s="3095">
        <v>2</v>
      </c>
      <c r="B5" s="3099" t="s">
        <v>3367</v>
      </c>
      <c r="C5" s="3096">
        <v>75553</v>
      </c>
      <c r="D5" s="3096" t="s">
        <v>3482</v>
      </c>
      <c r="E5" s="3096" t="s">
        <v>3364</v>
      </c>
      <c r="F5" s="3096">
        <v>294000</v>
      </c>
      <c r="G5" s="3099">
        <v>0</v>
      </c>
      <c r="H5" s="3096">
        <f t="shared" ref="H5:H24" si="0">F5-G5</f>
        <v>294000</v>
      </c>
      <c r="I5" s="3096">
        <f t="shared" ref="I5:I24" si="1">ROUND(F5*10000/C5,2)</f>
        <v>38913.08</v>
      </c>
      <c r="J5" s="3120">
        <f t="shared" ref="J5:J24" si="2">H5/F5</f>
        <v>1</v>
      </c>
      <c r="K5" s="3096">
        <v>7.38</v>
      </c>
    </row>
    <row r="6" spans="1:11" ht="34.5" thickBot="1">
      <c r="A6" s="3098">
        <v>3</v>
      </c>
      <c r="B6" s="3126" t="s">
        <v>3374</v>
      </c>
      <c r="C6" s="3096">
        <v>188033.66</v>
      </c>
      <c r="D6" s="3096" t="s">
        <v>3483</v>
      </c>
      <c r="E6" s="3096" t="s">
        <v>3372</v>
      </c>
      <c r="F6" s="3096">
        <v>670000</v>
      </c>
      <c r="G6" s="3099">
        <v>179697.45</v>
      </c>
      <c r="H6" s="3096">
        <f t="shared" si="0"/>
        <v>490302.55</v>
      </c>
      <c r="I6" s="3096">
        <f t="shared" si="1"/>
        <v>35631.919999999998</v>
      </c>
      <c r="J6" s="3120">
        <f t="shared" si="2"/>
        <v>0.7317948507462686</v>
      </c>
      <c r="K6" s="3122">
        <v>34</v>
      </c>
    </row>
    <row r="7" spans="1:11" ht="34.5" thickBot="1">
      <c r="A7" s="3095">
        <v>4</v>
      </c>
      <c r="B7" s="3126" t="s">
        <v>3381</v>
      </c>
      <c r="C7" s="3096">
        <v>108921.52</v>
      </c>
      <c r="D7" s="3096" t="s">
        <v>3484</v>
      </c>
      <c r="E7" s="3096" t="s">
        <v>3383</v>
      </c>
      <c r="F7" s="3096">
        <v>307000</v>
      </c>
      <c r="G7" s="3099">
        <v>103662.5</v>
      </c>
      <c r="H7" s="3096">
        <f t="shared" si="0"/>
        <v>203337.5</v>
      </c>
      <c r="I7" s="3096">
        <f t="shared" si="1"/>
        <v>28185.43</v>
      </c>
      <c r="J7" s="3120">
        <f t="shared" si="2"/>
        <v>0.66233713355048862</v>
      </c>
      <c r="K7" s="3096">
        <v>5.14</v>
      </c>
    </row>
    <row r="8" spans="1:11" ht="45.75" thickBot="1">
      <c r="A8" s="3095"/>
      <c r="B8" s="3126" t="s">
        <v>3389</v>
      </c>
      <c r="C8" s="3096">
        <v>97871</v>
      </c>
      <c r="D8" s="3096" t="s">
        <v>3484</v>
      </c>
      <c r="E8" s="3096" t="s">
        <v>3391</v>
      </c>
      <c r="F8" s="3096">
        <v>203000</v>
      </c>
      <c r="G8" s="3099">
        <v>139008.81</v>
      </c>
      <c r="H8" s="3096">
        <f t="shared" si="0"/>
        <v>63991.19</v>
      </c>
      <c r="I8" s="3096">
        <f t="shared" si="1"/>
        <v>20741.59</v>
      </c>
      <c r="J8" s="3120">
        <f t="shared" si="2"/>
        <v>0.31522753694581279</v>
      </c>
      <c r="K8" s="3123">
        <v>12.15</v>
      </c>
    </row>
    <row r="9" spans="1:11" ht="45.75" thickBot="1">
      <c r="A9" s="3095"/>
      <c r="B9" s="3126" t="s">
        <v>3393</v>
      </c>
      <c r="C9" s="3096">
        <v>124449</v>
      </c>
      <c r="D9" s="3096" t="s">
        <v>3485</v>
      </c>
      <c r="E9" s="3096" t="s">
        <v>3391</v>
      </c>
      <c r="F9" s="3096">
        <v>443000</v>
      </c>
      <c r="G9" s="3099">
        <v>233357.63</v>
      </c>
      <c r="H9" s="3096">
        <f t="shared" si="0"/>
        <v>209642.37</v>
      </c>
      <c r="I9" s="3096">
        <f t="shared" si="1"/>
        <v>35596.910000000003</v>
      </c>
      <c r="J9" s="3120">
        <f t="shared" si="2"/>
        <v>0.47323334085778779</v>
      </c>
      <c r="K9" s="3122">
        <v>34.24</v>
      </c>
    </row>
    <row r="10" spans="1:11" s="3143" customFormat="1" ht="34.5" thickBot="1">
      <c r="A10" s="3144"/>
      <c r="B10" s="3145" t="s">
        <v>3513</v>
      </c>
      <c r="C10" s="3140">
        <v>173209</v>
      </c>
      <c r="D10" s="3140" t="s">
        <v>3484</v>
      </c>
      <c r="E10" s="3140" t="s">
        <v>3398</v>
      </c>
      <c r="F10" s="3140">
        <v>330000</v>
      </c>
      <c r="G10" s="3141">
        <v>248940.24</v>
      </c>
      <c r="H10" s="3140">
        <f t="shared" si="0"/>
        <v>81059.760000000009</v>
      </c>
      <c r="I10" s="3140">
        <f t="shared" si="1"/>
        <v>19052.13</v>
      </c>
      <c r="J10" s="3146">
        <f t="shared" si="2"/>
        <v>0.24563563636363639</v>
      </c>
      <c r="K10" s="3140">
        <v>0</v>
      </c>
    </row>
    <row r="11" spans="1:11" ht="34.5" thickBot="1">
      <c r="A11" s="3095"/>
      <c r="B11" s="3099" t="s">
        <v>3403</v>
      </c>
      <c r="C11" s="3096">
        <v>108059</v>
      </c>
      <c r="D11" s="3096" t="s">
        <v>3486</v>
      </c>
      <c r="E11" s="3096" t="s">
        <v>3405</v>
      </c>
      <c r="F11" s="3096">
        <v>151283</v>
      </c>
      <c r="G11" s="3099">
        <v>0</v>
      </c>
      <c r="H11" s="3096">
        <f t="shared" si="0"/>
        <v>151283</v>
      </c>
      <c r="I11" s="3096">
        <f t="shared" si="1"/>
        <v>14000.04</v>
      </c>
      <c r="J11" s="3120">
        <f t="shared" si="2"/>
        <v>1</v>
      </c>
      <c r="K11" s="3096">
        <v>0</v>
      </c>
    </row>
    <row r="12" spans="1:11" ht="57" thickBot="1">
      <c r="A12" s="3095"/>
      <c r="B12" s="3126" t="s">
        <v>3413</v>
      </c>
      <c r="C12" s="3096">
        <v>177023</v>
      </c>
      <c r="D12" s="3096" t="s">
        <v>3487</v>
      </c>
      <c r="E12" s="3096" t="s">
        <v>3415</v>
      </c>
      <c r="F12" s="3096">
        <v>444000</v>
      </c>
      <c r="G12" s="3099">
        <v>287083.18</v>
      </c>
      <c r="H12" s="3096">
        <f t="shared" si="0"/>
        <v>156916.82</v>
      </c>
      <c r="I12" s="3096">
        <f t="shared" si="1"/>
        <v>25081.49</v>
      </c>
      <c r="J12" s="3120">
        <f t="shared" si="2"/>
        <v>0.3534162612612613</v>
      </c>
      <c r="K12" s="3122">
        <v>21.64</v>
      </c>
    </row>
    <row r="13" spans="1:11" ht="23.25" thickBot="1">
      <c r="A13" s="3095"/>
      <c r="B13" s="3126" t="s">
        <v>3416</v>
      </c>
      <c r="C13" s="3096">
        <v>94338</v>
      </c>
      <c r="D13" s="3096" t="s">
        <v>3488</v>
      </c>
      <c r="E13" s="3096" t="s">
        <v>3415</v>
      </c>
      <c r="F13" s="3096">
        <v>246000</v>
      </c>
      <c r="G13" s="3099">
        <v>96109.98</v>
      </c>
      <c r="H13" s="3096">
        <f t="shared" si="0"/>
        <v>149890.02000000002</v>
      </c>
      <c r="I13" s="3096">
        <f t="shared" si="1"/>
        <v>26076.45</v>
      </c>
      <c r="J13" s="3120">
        <f t="shared" si="2"/>
        <v>0.60930902439024393</v>
      </c>
      <c r="K13" s="3122">
        <v>17.14</v>
      </c>
    </row>
    <row r="14" spans="1:11" ht="34.5" thickBot="1">
      <c r="A14" s="3095"/>
      <c r="B14" s="3126" t="s">
        <v>3428</v>
      </c>
      <c r="C14" s="3096">
        <v>110976</v>
      </c>
      <c r="D14" s="3096" t="s">
        <v>3484</v>
      </c>
      <c r="E14" s="3096" t="s">
        <v>3429</v>
      </c>
      <c r="F14" s="3096">
        <v>208000</v>
      </c>
      <c r="G14" s="3099">
        <v>98008.15</v>
      </c>
      <c r="H14" s="3096">
        <f t="shared" si="0"/>
        <v>109991.85</v>
      </c>
      <c r="I14" s="3096">
        <f t="shared" si="1"/>
        <v>18742.79</v>
      </c>
      <c r="J14" s="3120">
        <f t="shared" si="2"/>
        <v>0.52880697115384623</v>
      </c>
      <c r="K14" s="3096">
        <v>0.97</v>
      </c>
    </row>
    <row r="15" spans="1:11" ht="34.5" thickBot="1">
      <c r="A15" s="3095"/>
      <c r="B15" s="3126" t="s">
        <v>3434</v>
      </c>
      <c r="C15" s="3096">
        <v>98728</v>
      </c>
      <c r="D15" s="3096" t="s">
        <v>3488</v>
      </c>
      <c r="E15" s="3096" t="s">
        <v>3435</v>
      </c>
      <c r="F15" s="3096">
        <v>302500</v>
      </c>
      <c r="G15" s="3099">
        <v>64239</v>
      </c>
      <c r="H15" s="3096">
        <f t="shared" si="0"/>
        <v>238261</v>
      </c>
      <c r="I15" s="3096">
        <f t="shared" si="1"/>
        <v>30639.74</v>
      </c>
      <c r="J15" s="3120">
        <f t="shared" si="2"/>
        <v>0.78763966942148755</v>
      </c>
      <c r="K15" s="3123">
        <v>13.72</v>
      </c>
    </row>
    <row r="16" spans="1:11" ht="45.75" thickBot="1">
      <c r="A16" s="3095"/>
      <c r="B16" s="3126" t="s">
        <v>3439</v>
      </c>
      <c r="C16" s="3096">
        <v>220105</v>
      </c>
      <c r="D16" s="3096" t="s">
        <v>3493</v>
      </c>
      <c r="E16" s="3096" t="s">
        <v>3440</v>
      </c>
      <c r="F16" s="3096">
        <v>360000</v>
      </c>
      <c r="G16" s="3099">
        <v>80933.81</v>
      </c>
      <c r="H16" s="3096">
        <f t="shared" si="0"/>
        <v>279066.19</v>
      </c>
      <c r="I16" s="3096">
        <f t="shared" si="1"/>
        <v>16355.83</v>
      </c>
      <c r="J16" s="3120">
        <f t="shared" si="2"/>
        <v>0.77518386111111115</v>
      </c>
      <c r="K16" s="3096">
        <v>0</v>
      </c>
    </row>
    <row r="17" spans="1:11" ht="34.5" thickBot="1">
      <c r="A17" s="3095"/>
      <c r="B17" s="3126" t="s">
        <v>3442</v>
      </c>
      <c r="C17" s="3096">
        <v>69250.399999999994</v>
      </c>
      <c r="D17" s="3096" t="s">
        <v>3484</v>
      </c>
      <c r="E17" s="3096" t="s">
        <v>3443</v>
      </c>
      <c r="F17" s="3096">
        <v>246000</v>
      </c>
      <c r="G17" s="3099">
        <v>93476.3</v>
      </c>
      <c r="H17" s="3096">
        <f t="shared" si="0"/>
        <v>152523.70000000001</v>
      </c>
      <c r="I17" s="3096">
        <f t="shared" si="1"/>
        <v>35523.26</v>
      </c>
      <c r="J17" s="3120">
        <f t="shared" si="2"/>
        <v>0.62001504065040658</v>
      </c>
      <c r="K17" s="3122">
        <v>35.909999999999997</v>
      </c>
    </row>
    <row r="18" spans="1:11" ht="34.5" thickBot="1">
      <c r="A18" s="3095"/>
      <c r="B18" s="3126" t="s">
        <v>3445</v>
      </c>
      <c r="C18" s="3096">
        <v>87296.2</v>
      </c>
      <c r="D18" s="3096" t="s">
        <v>3482</v>
      </c>
      <c r="E18" s="3096" t="s">
        <v>3443</v>
      </c>
      <c r="F18" s="3096">
        <v>222000</v>
      </c>
      <c r="G18" s="3099">
        <v>117821.89</v>
      </c>
      <c r="H18" s="3096">
        <f t="shared" si="0"/>
        <v>104178.11</v>
      </c>
      <c r="I18" s="3096">
        <f t="shared" si="1"/>
        <v>25430.66</v>
      </c>
      <c r="J18" s="3120">
        <f t="shared" si="2"/>
        <v>0.46927076576576576</v>
      </c>
      <c r="K18" s="3122">
        <v>38.75</v>
      </c>
    </row>
    <row r="19" spans="1:11" ht="45.75" thickBot="1">
      <c r="A19" s="3095"/>
      <c r="B19" s="3126" t="s">
        <v>3450</v>
      </c>
      <c r="C19" s="3096">
        <v>181983.1</v>
      </c>
      <c r="D19" s="3096" t="s">
        <v>3494</v>
      </c>
      <c r="E19" s="3096" t="s">
        <v>3451</v>
      </c>
      <c r="F19" s="3096">
        <v>716500</v>
      </c>
      <c r="G19" s="3099">
        <v>93955.31</v>
      </c>
      <c r="H19" s="3096">
        <f t="shared" si="0"/>
        <v>622544.68999999994</v>
      </c>
      <c r="I19" s="3096">
        <f t="shared" si="1"/>
        <v>39371.79</v>
      </c>
      <c r="J19" s="3120">
        <f t="shared" si="2"/>
        <v>0.86886907187718065</v>
      </c>
      <c r="K19" s="3122">
        <v>49.9</v>
      </c>
    </row>
    <row r="20" spans="1:11" ht="23.25" thickBot="1">
      <c r="A20" s="3095"/>
      <c r="B20" s="3126" t="s">
        <v>3453</v>
      </c>
      <c r="C20" s="3096">
        <v>70531</v>
      </c>
      <c r="D20" s="3096" t="s">
        <v>3488</v>
      </c>
      <c r="E20" s="3096" t="s">
        <v>3454</v>
      </c>
      <c r="F20" s="3096">
        <v>270000</v>
      </c>
      <c r="G20" s="3099">
        <v>33361.339999999997</v>
      </c>
      <c r="H20" s="3096">
        <f t="shared" si="0"/>
        <v>236638.66</v>
      </c>
      <c r="I20" s="3096">
        <f t="shared" si="1"/>
        <v>38281.040000000001</v>
      </c>
      <c r="J20" s="3120">
        <f t="shared" si="2"/>
        <v>0.87643948148148154</v>
      </c>
      <c r="K20" s="3122">
        <v>42.11</v>
      </c>
    </row>
    <row r="21" spans="1:11" ht="34.5" thickBot="1">
      <c r="A21" s="3095"/>
      <c r="B21" s="3126" t="s">
        <v>3456</v>
      </c>
      <c r="C21" s="3096">
        <v>133506</v>
      </c>
      <c r="D21" s="3096" t="s">
        <v>3484</v>
      </c>
      <c r="E21" s="3096" t="s">
        <v>3458</v>
      </c>
      <c r="F21" s="3096">
        <v>479000</v>
      </c>
      <c r="G21" s="3099">
        <v>142913.24</v>
      </c>
      <c r="H21" s="3096">
        <f t="shared" si="0"/>
        <v>336086.76</v>
      </c>
      <c r="I21" s="3096">
        <f t="shared" si="1"/>
        <v>35878.54</v>
      </c>
      <c r="J21" s="3120">
        <f t="shared" si="2"/>
        <v>0.70164250521920668</v>
      </c>
      <c r="K21" s="3122">
        <v>49.69</v>
      </c>
    </row>
    <row r="22" spans="1:11" ht="23.25" thickBot="1">
      <c r="A22" s="3095"/>
      <c r="B22" s="3126" t="s">
        <v>3460</v>
      </c>
      <c r="C22" s="3096">
        <v>56795</v>
      </c>
      <c r="D22" s="3096" t="s">
        <v>3488</v>
      </c>
      <c r="E22" s="3096" t="s">
        <v>3458</v>
      </c>
      <c r="F22" s="3096">
        <v>229000</v>
      </c>
      <c r="G22" s="3099">
        <v>26878.36</v>
      </c>
      <c r="H22" s="3096">
        <f t="shared" si="0"/>
        <v>202121.64</v>
      </c>
      <c r="I22" s="3096">
        <f t="shared" si="1"/>
        <v>40320.449999999997</v>
      </c>
      <c r="J22" s="3120">
        <f t="shared" si="2"/>
        <v>0.88262724890829702</v>
      </c>
      <c r="K22" s="3122">
        <v>49.67</v>
      </c>
    </row>
    <row r="23" spans="1:11" ht="23.25" thickBot="1">
      <c r="A23" s="3095"/>
      <c r="B23" s="3126" t="s">
        <v>3462</v>
      </c>
      <c r="C23" s="3096">
        <v>77622</v>
      </c>
      <c r="D23" s="3096" t="s">
        <v>3488</v>
      </c>
      <c r="E23" s="3096" t="s">
        <v>3463</v>
      </c>
      <c r="F23" s="3096">
        <v>146500</v>
      </c>
      <c r="G23" s="3099">
        <v>36673.82</v>
      </c>
      <c r="H23" s="3096">
        <f t="shared" si="0"/>
        <v>109826.18</v>
      </c>
      <c r="I23" s="3096">
        <f t="shared" si="1"/>
        <v>18873.52</v>
      </c>
      <c r="J23" s="3120">
        <f t="shared" si="2"/>
        <v>0.7496667576791809</v>
      </c>
      <c r="K23" s="3096">
        <v>1.03</v>
      </c>
    </row>
    <row r="24" spans="1:11" ht="23.25" thickBot="1">
      <c r="A24" s="3095">
        <v>5</v>
      </c>
      <c r="B24" s="3126" t="s">
        <v>3464</v>
      </c>
      <c r="C24" s="3096">
        <v>81971</v>
      </c>
      <c r="D24" s="3096" t="s">
        <v>3495</v>
      </c>
      <c r="E24" s="3096" t="s">
        <v>3465</v>
      </c>
      <c r="F24" s="3096">
        <v>168000</v>
      </c>
      <c r="G24" s="3099">
        <v>94925.11</v>
      </c>
      <c r="H24" s="3096">
        <f t="shared" si="0"/>
        <v>73074.89</v>
      </c>
      <c r="I24" s="3096">
        <f t="shared" si="1"/>
        <v>20495.05</v>
      </c>
      <c r="J24" s="3120">
        <f t="shared" si="2"/>
        <v>0.43496958333333335</v>
      </c>
      <c r="K24" s="3096">
        <v>0</v>
      </c>
    </row>
    <row r="25" spans="1:11" ht="14.25" thickBot="1">
      <c r="A25" s="3784" t="s">
        <v>3475</v>
      </c>
      <c r="B25" s="3784"/>
      <c r="C25" s="3784"/>
      <c r="D25" s="3784"/>
      <c r="E25" s="3784"/>
      <c r="F25" s="3784"/>
      <c r="G25" s="3784"/>
      <c r="H25" s="3784"/>
      <c r="I25" s="3784"/>
      <c r="J25" s="3121">
        <f>SUM(J4:J24)/19</f>
        <v>0.70946017258833349</v>
      </c>
      <c r="K25" s="3096"/>
    </row>
    <row r="26" spans="1:11" ht="14.25" thickBot="1">
      <c r="A26" s="3784" t="s">
        <v>3476</v>
      </c>
      <c r="B26" s="3784"/>
      <c r="C26" s="3784"/>
      <c r="D26" s="3784"/>
      <c r="E26" s="3784"/>
      <c r="F26" s="3784"/>
      <c r="G26" s="3784"/>
      <c r="H26" s="3784"/>
      <c r="I26" s="3784"/>
      <c r="J26" s="3121">
        <f>ROUND((J7+J8+J10+J11+J14+J15+J16+J23+J24)/9,2)</f>
        <v>0.61</v>
      </c>
      <c r="K26" s="3096"/>
    </row>
    <row r="27" spans="1:11">
      <c r="J27" s="3119"/>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F11" sqref="F11"/>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2.7816000000000001</v>
      </c>
      <c r="C5" s="1738">
        <f ca="1">ROUND(B5*10000/$B$1,0)</f>
        <v>27816</v>
      </c>
      <c r="D5" s="1738">
        <f ca="1">ROUND(B5*10000/$B$2,0)</f>
        <v>27816</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2.7816000000000001</v>
      </c>
      <c r="E14" s="1736">
        <f ca="1">结果表!F26</f>
        <v>27816</v>
      </c>
      <c r="F14" s="1736">
        <f ca="1">ROUND(D14*10000/C14,0)</f>
        <v>27816</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3" t="s">
        <v>3561</v>
      </c>
      <c r="D4" s="3063" t="s">
        <v>3562</v>
      </c>
    </row>
    <row r="5" spans="3:4">
      <c r="C5" s="3063" t="s">
        <v>3563</v>
      </c>
      <c r="D5" s="3063" t="s">
        <v>3565</v>
      </c>
    </row>
    <row r="6" spans="3:4">
      <c r="C6" s="3063"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430" t="s">
        <v>1669</v>
      </c>
      <c r="B15" s="3425" t="s">
        <v>136</v>
      </c>
      <c r="C15" s="3426"/>
    </row>
    <row r="16" spans="1:7" ht="13.5">
      <c r="A16" s="3431"/>
      <c r="B16" s="3425" t="s">
        <v>69</v>
      </c>
      <c r="C16" s="3426"/>
    </row>
    <row r="17" spans="1:3" ht="13.5">
      <c r="A17" s="3431"/>
      <c r="B17" s="3428" t="s">
        <v>1670</v>
      </c>
      <c r="C17" s="1995" t="s">
        <v>1669</v>
      </c>
    </row>
    <row r="18" spans="1:3" ht="13.5">
      <c r="A18" s="3431"/>
      <c r="B18" s="3428"/>
      <c r="C18" s="1995" t="s">
        <v>1671</v>
      </c>
    </row>
    <row r="19" spans="1:3" ht="13.5">
      <c r="A19" s="3431"/>
      <c r="B19" s="3428"/>
      <c r="C19" s="1995" t="s">
        <v>1672</v>
      </c>
    </row>
    <row r="20" spans="1:3" ht="13.5">
      <c r="A20" s="3432"/>
      <c r="B20" s="3427" t="s">
        <v>1673</v>
      </c>
      <c r="C20" s="3426"/>
    </row>
    <row r="21" spans="1:3" ht="13.5">
      <c r="A21" s="1996" t="s">
        <v>1674</v>
      </c>
      <c r="B21" s="1997"/>
      <c r="C21" s="1998"/>
    </row>
    <row r="22" spans="1:3" ht="13.5">
      <c r="A22" s="3429" t="s">
        <v>1675</v>
      </c>
      <c r="B22" s="3427" t="s">
        <v>1676</v>
      </c>
      <c r="C22" s="3426"/>
    </row>
    <row r="23" spans="1:3" ht="13.5">
      <c r="A23" s="3429"/>
      <c r="B23" s="3427" t="s">
        <v>1677</v>
      </c>
      <c r="C23" s="3426"/>
    </row>
    <row r="24" spans="1:3" ht="13.5">
      <c r="A24" s="3429"/>
      <c r="B24" s="3427" t="s">
        <v>1678</v>
      </c>
      <c r="C24" s="3426"/>
    </row>
    <row r="25" spans="1:3" ht="13.5">
      <c r="A25" s="3429"/>
      <c r="B25" s="3428" t="s">
        <v>1679</v>
      </c>
      <c r="C25" s="1995" t="s">
        <v>1680</v>
      </c>
    </row>
    <row r="26" spans="1:3" ht="13.5">
      <c r="A26" s="3429"/>
      <c r="B26" s="3428"/>
      <c r="C26" s="1995" t="s">
        <v>1681</v>
      </c>
    </row>
    <row r="27" spans="1:3" ht="13.5">
      <c r="A27" s="3429"/>
      <c r="B27" s="3428"/>
      <c r="C27" s="1995" t="s">
        <v>1682</v>
      </c>
    </row>
    <row r="28" spans="1:3" ht="13.5">
      <c r="A28" s="3429"/>
      <c r="B28" s="3428"/>
      <c r="C28" s="1995" t="s">
        <v>1683</v>
      </c>
    </row>
    <row r="29" spans="1:3" ht="13.5">
      <c r="A29" s="3429"/>
      <c r="B29" s="3428"/>
      <c r="C29" s="1995" t="s">
        <v>1684</v>
      </c>
    </row>
    <row r="30" spans="1:3" ht="13.5">
      <c r="A30" s="3429"/>
      <c r="B30" s="3428"/>
      <c r="C30" s="1995" t="s">
        <v>1685</v>
      </c>
    </row>
    <row r="31" spans="1:3" ht="13.5">
      <c r="A31" s="3429"/>
      <c r="B31" s="3428"/>
      <c r="C31" s="1995" t="s">
        <v>1686</v>
      </c>
    </row>
    <row r="32" spans="1:3" ht="13.5">
      <c r="A32" s="3429"/>
      <c r="B32" s="3428"/>
      <c r="C32" s="1995" t="s">
        <v>1687</v>
      </c>
    </row>
    <row r="33" spans="1:3" ht="13.5">
      <c r="A33" s="3429"/>
      <c r="B33" s="3428"/>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44842</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433" t="s">
        <v>846</v>
      </c>
      <c r="B25" s="3433"/>
      <c r="C25" s="3433"/>
      <c r="D25" s="3433"/>
      <c r="E25" s="3433"/>
      <c r="F25" s="3433"/>
      <c r="G25" s="3433"/>
    </row>
    <row r="26" spans="1:7" s="1021" customFormat="1" ht="24" customHeight="1">
      <c r="A26" s="3434" t="s">
        <v>847</v>
      </c>
      <c r="B26" s="3434"/>
      <c r="C26" s="3435"/>
      <c r="D26" s="3436" t="s">
        <v>848</v>
      </c>
      <c r="E26" s="3434"/>
      <c r="F26" s="3434"/>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Sheet5</vt:lpstr>
      <vt:lpstr>面积汇总</vt:lpstr>
      <vt:lpstr>比较法-住宅</vt:lpstr>
      <vt:lpstr>成本法</vt:lpstr>
      <vt:lpstr>共产房案例</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Sheet4</vt:lpstr>
      <vt:lpstr>地价</vt:lpstr>
      <vt:lpstr>典型户型修正</vt:lpstr>
      <vt:lpstr>成本法（废）</vt:lpstr>
      <vt:lpstr>区片价</vt:lpstr>
      <vt:lpstr>因素修正幅度</vt:lpstr>
      <vt:lpstr>存贷款利率</vt:lpstr>
      <vt:lpstr>区片价（范围）</vt:lpstr>
      <vt:lpstr>招拍挂案例</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系统读取表</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2022-10-08T09:18:28Z</dcterms:modified>
</cp:coreProperties>
</file>