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ThisWorkbook" defaultThemeVersion="124226"/>
  <bookViews>
    <workbookView xWindow="-120" yWindow="-120" windowWidth="19440" windowHeight="13740"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主表" sheetId="83"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25725"/>
</workbook>
</file>

<file path=xl/calcChain.xml><?xml version="1.0" encoding="utf-8"?>
<calcChain xmlns="http://schemas.openxmlformats.org/spreadsheetml/2006/main">
  <c r="C6" i="69"/>
  <c r="C17" i="9"/>
  <c r="D59" i="21"/>
  <c r="E59" s="1"/>
  <c r="F59" s="1"/>
  <c r="G59" s="1"/>
  <c r="H59" s="1"/>
  <c r="I59" s="1"/>
  <c r="J59" s="1"/>
  <c r="K59" s="1"/>
  <c r="L59" s="1"/>
  <c r="M59" s="1"/>
  <c r="N59" s="1"/>
  <c r="O59" s="1"/>
  <c r="P59" s="1"/>
  <c r="Q59" s="1"/>
  <c r="R59" s="1"/>
  <c r="S59" s="1"/>
  <c r="T59" s="1"/>
  <c r="U59" s="1"/>
  <c r="J37"/>
  <c r="H37"/>
  <c r="F37"/>
  <c r="I37"/>
  <c r="G37"/>
  <c r="E37"/>
  <c r="I33"/>
  <c r="G33"/>
  <c r="E33"/>
  <c r="C90"/>
  <c r="E90"/>
  <c r="F90"/>
  <c r="D90"/>
  <c r="I5"/>
  <c r="G5"/>
  <c r="E5"/>
  <c r="I7"/>
  <c r="G7"/>
  <c r="E7"/>
  <c r="I47"/>
  <c r="G47"/>
  <c r="E47"/>
  <c r="AK21" i="81"/>
  <c r="AK20"/>
  <c r="AK19"/>
  <c r="AK18"/>
  <c r="C48" i="69"/>
  <c r="C30"/>
  <c r="B21" i="1"/>
  <c r="D76" i="84"/>
  <c r="B76"/>
  <c r="D75"/>
  <c r="B75"/>
  <c r="D74"/>
  <c r="D73"/>
  <c r="B73"/>
  <c r="D72"/>
  <c r="B72"/>
  <c r="J71"/>
  <c r="I71" s="1"/>
  <c r="D71"/>
  <c r="B71"/>
  <c r="D70"/>
  <c r="B70"/>
  <c r="D66"/>
  <c r="B66"/>
  <c r="B65"/>
  <c r="B63"/>
  <c r="B62"/>
  <c r="J61"/>
  <c r="I61" s="1"/>
  <c r="D61"/>
  <c r="B61"/>
  <c r="B60"/>
  <c r="D57"/>
  <c r="B57"/>
  <c r="D56"/>
  <c r="F55"/>
  <c r="G55" s="1"/>
  <c r="D55"/>
  <c r="B55"/>
  <c r="D54"/>
  <c r="J53"/>
  <c r="I53" s="1"/>
  <c r="D53"/>
  <c r="B53"/>
  <c r="D52"/>
  <c r="B52"/>
  <c r="J51"/>
  <c r="I51" s="1"/>
  <c r="D51"/>
  <c r="B51"/>
  <c r="J48"/>
  <c r="I48" s="1"/>
  <c r="D48"/>
  <c r="B48"/>
  <c r="D47"/>
  <c r="D46"/>
  <c r="B46"/>
  <c r="F45"/>
  <c r="G45" s="1"/>
  <c r="D45"/>
  <c r="D44"/>
  <c r="B44"/>
  <c r="J43"/>
  <c r="I43" s="1"/>
  <c r="D43"/>
  <c r="B43"/>
  <c r="D42"/>
  <c r="B42"/>
  <c r="C30"/>
  <c r="C29"/>
  <c r="C28"/>
  <c r="C27"/>
  <c r="C26"/>
  <c r="D21"/>
  <c r="D19"/>
  <c r="G12"/>
  <c r="E12"/>
  <c r="G10"/>
  <c r="F9"/>
  <c r="G3"/>
  <c r="G13" s="1"/>
  <c r="H13" s="1"/>
  <c r="G2"/>
  <c r="J75" s="1"/>
  <c r="I75" s="1"/>
  <c r="E2"/>
  <c r="J1"/>
  <c r="H1"/>
  <c r="D20" s="1"/>
  <c r="R33" i="83"/>
  <c r="Q33"/>
  <c r="P33"/>
  <c r="O33"/>
  <c r="G32"/>
  <c r="G31"/>
  <c r="F31"/>
  <c r="F32" s="1"/>
  <c r="G30"/>
  <c r="G29"/>
  <c r="I22"/>
  <c r="H21"/>
  <c r="F19"/>
  <c r="F16"/>
  <c r="F13"/>
  <c r="F18" s="1"/>
  <c r="F17" s="1"/>
  <c r="F12" s="1"/>
  <c r="H9"/>
  <c r="B8"/>
  <c r="O4"/>
  <c r="B4"/>
  <c r="H6" s="1"/>
  <c r="O3"/>
  <c r="O2"/>
  <c r="E42" i="84" l="1"/>
  <c r="B40" s="1"/>
  <c r="E51"/>
  <c r="B49" s="1"/>
  <c r="F28" i="83"/>
  <c r="F33" s="1"/>
  <c r="B17"/>
  <c r="B18" s="1"/>
  <c r="F65" i="84"/>
  <c r="G65" s="1"/>
  <c r="D65" s="1"/>
  <c r="J73"/>
  <c r="I73" s="1"/>
  <c r="F75"/>
  <c r="G75" s="1"/>
  <c r="J42"/>
  <c r="I42" s="1"/>
  <c r="J56"/>
  <c r="I56" s="1"/>
  <c r="J63"/>
  <c r="I63" s="1"/>
  <c r="D63" s="1"/>
  <c r="E70"/>
  <c r="B68" s="1"/>
  <c r="F20" i="83"/>
  <c r="F29"/>
  <c r="H9" i="84"/>
  <c r="H10"/>
  <c r="C10" s="1"/>
  <c r="F12"/>
  <c r="D12" s="1"/>
  <c r="C11" s="1"/>
  <c r="E13"/>
  <c r="F13" s="1"/>
  <c r="D14"/>
  <c r="D18"/>
  <c r="F43"/>
  <c r="G43" s="1"/>
  <c r="J46"/>
  <c r="I46" s="1"/>
  <c r="F48"/>
  <c r="G48" s="1"/>
  <c r="F51"/>
  <c r="G51" s="1"/>
  <c r="F53"/>
  <c r="G53" s="1"/>
  <c r="J54"/>
  <c r="I54" s="1"/>
  <c r="F56"/>
  <c r="G56" s="1"/>
  <c r="F61"/>
  <c r="G61" s="1"/>
  <c r="F63"/>
  <c r="G63" s="1"/>
  <c r="J64"/>
  <c r="I64" s="1"/>
  <c r="J66"/>
  <c r="I66" s="1"/>
  <c r="F71"/>
  <c r="G71" s="1"/>
  <c r="F73"/>
  <c r="G73" s="1"/>
  <c r="J74"/>
  <c r="I74" s="1"/>
  <c r="J76"/>
  <c r="I76" s="1"/>
  <c r="B15" i="83"/>
  <c r="I3" i="84"/>
  <c r="D8"/>
  <c r="J44"/>
  <c r="I44" s="1"/>
  <c r="F46"/>
  <c r="G46" s="1"/>
  <c r="J47"/>
  <c r="I47" s="1"/>
  <c r="J52"/>
  <c r="I52" s="1"/>
  <c r="F54"/>
  <c r="G54" s="1"/>
  <c r="J57"/>
  <c r="I57" s="1"/>
  <c r="J60"/>
  <c r="I60" s="1"/>
  <c r="J62"/>
  <c r="I62" s="1"/>
  <c r="F64"/>
  <c r="G64" s="1"/>
  <c r="D64" s="1"/>
  <c r="F66"/>
  <c r="G66" s="1"/>
  <c r="J67"/>
  <c r="I67" s="1"/>
  <c r="J70"/>
  <c r="I70" s="1"/>
  <c r="J72"/>
  <c r="I72" s="1"/>
  <c r="F74"/>
  <c r="G74" s="1"/>
  <c r="F76"/>
  <c r="G76" s="1"/>
  <c r="B80"/>
  <c r="D13"/>
  <c r="H12"/>
  <c r="H16"/>
  <c r="F42"/>
  <c r="G42" s="1"/>
  <c r="F44"/>
  <c r="G44" s="1"/>
  <c r="J45"/>
  <c r="I45" s="1"/>
  <c r="F47"/>
  <c r="G47" s="1"/>
  <c r="F52"/>
  <c r="G52" s="1"/>
  <c r="J55"/>
  <c r="I55" s="1"/>
  <c r="F57"/>
  <c r="G57" s="1"/>
  <c r="F60"/>
  <c r="G60" s="1"/>
  <c r="D60" s="1"/>
  <c r="F62"/>
  <c r="G62" s="1"/>
  <c r="D62" s="1"/>
  <c r="J65"/>
  <c r="I65" s="1"/>
  <c r="F67"/>
  <c r="G67" s="1"/>
  <c r="D67" s="1"/>
  <c r="F70"/>
  <c r="G70" s="1"/>
  <c r="F72"/>
  <c r="G72" s="1"/>
  <c r="C7" l="1"/>
  <c r="G9" i="83"/>
  <c r="B85" i="84"/>
  <c r="B84"/>
  <c r="B81" s="1"/>
  <c r="B83"/>
  <c r="B82"/>
  <c r="F22" i="83"/>
  <c r="I9" i="84"/>
  <c r="C9" s="1"/>
  <c r="B24"/>
  <c r="E60"/>
  <c r="B58" s="1"/>
  <c r="C15" s="1"/>
  <c r="G21" i="83" l="1"/>
  <c r="F21" s="1"/>
  <c r="F11" s="1"/>
  <c r="C18" i="84"/>
  <c r="C19"/>
  <c r="E19" s="1"/>
  <c r="C21"/>
  <c r="E21" s="1"/>
  <c r="C20"/>
  <c r="B4" l="1"/>
  <c r="C22"/>
  <c r="B5" s="1"/>
  <c r="F7" i="83" s="1"/>
  <c r="E20" i="84"/>
  <c r="E18"/>
  <c r="B3"/>
  <c r="F6" i="83" s="1"/>
  <c r="F5" l="1"/>
  <c r="F8"/>
  <c r="F9" s="1"/>
  <c r="E104" i="21"/>
  <c r="D104" s="1"/>
  <c r="F33" s="1"/>
  <c r="G104"/>
  <c r="F10" i="83" l="1"/>
  <c r="F4" s="1"/>
  <c r="F24" s="1"/>
  <c r="C104" i="21"/>
  <c r="H33" s="1"/>
  <c r="J33" s="1"/>
  <c r="B27" i="9"/>
  <c r="D27" s="1"/>
  <c r="D127" i="21"/>
  <c r="E127" s="1"/>
  <c r="F127" s="1"/>
  <c r="F126"/>
  <c r="E126"/>
  <c r="D126"/>
  <c r="C126"/>
  <c r="F35" i="83" l="1"/>
  <c r="F25"/>
  <c r="F36" s="1"/>
  <c r="M21" i="1"/>
  <c r="N22" s="1"/>
  <c r="I7" i="4" l="1"/>
  <c r="I8" s="1"/>
  <c r="V59" i="21" l="1"/>
  <c r="D14" i="9"/>
  <c r="D17" s="1"/>
  <c r="W59" i="21" l="1"/>
  <c r="X59"/>
  <c r="Y59" s="1"/>
  <c r="F19" i="6"/>
  <c r="Z59" i="21" l="1"/>
  <c r="AA59"/>
  <c r="AB59" s="1"/>
  <c r="D33" i="43"/>
  <c r="B14" i="74"/>
  <c r="Y6" i="1"/>
  <c r="P26" i="79"/>
  <c r="L26"/>
  <c r="M26"/>
  <c r="N26"/>
  <c r="L27"/>
  <c r="M27"/>
  <c r="P27" s="1"/>
  <c r="N27"/>
  <c r="L28"/>
  <c r="M28"/>
  <c r="N28"/>
  <c r="I26"/>
  <c r="I27"/>
  <c r="I28"/>
  <c r="I6"/>
  <c r="I7"/>
  <c r="I8"/>
  <c r="K6"/>
  <c r="L6"/>
  <c r="M6"/>
  <c r="P6" s="1"/>
  <c r="N6"/>
  <c r="O6"/>
  <c r="K7"/>
  <c r="L7"/>
  <c r="M7"/>
  <c r="P7" s="1"/>
  <c r="N7"/>
  <c r="O7"/>
  <c r="K8"/>
  <c r="L8"/>
  <c r="M8"/>
  <c r="P8" s="1"/>
  <c r="N8"/>
  <c r="O8"/>
  <c r="P28" l="1"/>
  <c r="B10" i="74"/>
  <c r="AH5" i="71" l="1"/>
  <c r="AG5"/>
  <c r="AE5"/>
  <c r="AF5" s="1"/>
  <c r="AD5"/>
  <c r="AB5"/>
  <c r="AA5"/>
  <c r="Y5"/>
  <c r="Z5" s="1"/>
  <c r="X5"/>
  <c r="Q5"/>
  <c r="P5"/>
  <c r="O5"/>
  <c r="N5"/>
  <c r="AH6"/>
  <c r="AG6"/>
  <c r="AE6"/>
  <c r="AF6" s="1"/>
  <c r="AD6"/>
  <c r="AB6"/>
  <c r="AA6"/>
  <c r="Y6"/>
  <c r="Z6" s="1"/>
  <c r="X6"/>
  <c r="Q6"/>
  <c r="P6"/>
  <c r="O6"/>
  <c r="N6"/>
  <c r="AH7"/>
  <c r="AG7"/>
  <c r="AE7"/>
  <c r="AF7" s="1"/>
  <c r="AD7"/>
  <c r="AB7"/>
  <c r="AA7"/>
  <c r="Y7"/>
  <c r="Z7" s="1"/>
  <c r="X7"/>
  <c r="Q7"/>
  <c r="P7"/>
  <c r="O7"/>
  <c r="N7"/>
  <c r="B3" i="78"/>
  <c r="C7" l="1"/>
  <c r="C5"/>
  <c r="C6"/>
  <c r="F13" i="1"/>
  <c r="D13"/>
  <c r="D12"/>
  <c r="D11"/>
  <c r="D10"/>
  <c r="D9"/>
  <c r="D8"/>
  <c r="D7"/>
  <c r="D6"/>
  <c r="I2" i="43" l="1"/>
  <c r="M1" s="1"/>
  <c r="F116" l="1"/>
  <c r="N111"/>
  <c r="N112" s="1"/>
  <c r="M111"/>
  <c r="M112" s="1"/>
  <c r="L111"/>
  <c r="L112" s="1"/>
  <c r="K111"/>
  <c r="K112" s="1"/>
  <c r="J111"/>
  <c r="J112" s="1"/>
  <c r="I111"/>
  <c r="I112" s="1"/>
  <c r="H111"/>
  <c r="H112" s="1"/>
  <c r="G111"/>
  <c r="G112" s="1"/>
  <c r="F111"/>
  <c r="F112" s="1"/>
  <c r="E111"/>
  <c r="E112" s="1"/>
  <c r="D111"/>
  <c r="D112" s="1"/>
  <c r="C111"/>
  <c r="C112" s="1"/>
  <c r="M101"/>
  <c r="N101" s="1"/>
  <c r="K101"/>
  <c r="J101" s="1"/>
  <c r="M100"/>
  <c r="N100" s="1"/>
  <c r="K100"/>
  <c r="J100" s="1"/>
  <c r="M99"/>
  <c r="N99" s="1"/>
  <c r="K99"/>
  <c r="J99" s="1"/>
  <c r="M98"/>
  <c r="N98" s="1"/>
  <c r="K98"/>
  <c r="J98" s="1"/>
  <c r="M97"/>
  <c r="N97" s="1"/>
  <c r="K97"/>
  <c r="J97" s="1"/>
  <c r="M96"/>
  <c r="N96" s="1"/>
  <c r="K96"/>
  <c r="J96" s="1"/>
  <c r="M95"/>
  <c r="N95" s="1"/>
  <c r="K95"/>
  <c r="J95" s="1"/>
  <c r="M94"/>
  <c r="N94" s="1"/>
  <c r="K94"/>
  <c r="J94" s="1"/>
  <c r="M93"/>
  <c r="N93" s="1"/>
  <c r="K93"/>
  <c r="J93" s="1"/>
  <c r="B95"/>
  <c r="D101"/>
  <c r="D100"/>
  <c r="D99"/>
  <c r="D98"/>
  <c r="D97"/>
  <c r="D96"/>
  <c r="D95"/>
  <c r="D94"/>
  <c r="D93"/>
  <c r="Y10"/>
  <c r="AJ9"/>
  <c r="AJ10" s="1"/>
  <c r="AI9"/>
  <c r="AI10" s="1"/>
  <c r="AH9"/>
  <c r="AH10" s="1"/>
  <c r="AG9"/>
  <c r="AG10" s="1"/>
  <c r="AF9"/>
  <c r="AF10" s="1"/>
  <c r="AE9"/>
  <c r="AE10" s="1"/>
  <c r="AD9"/>
  <c r="AD10" s="1"/>
  <c r="AC9"/>
  <c r="AC10" s="1"/>
  <c r="AB9"/>
  <c r="AB10" s="1"/>
  <c r="AA9"/>
  <c r="AA10" s="1"/>
  <c r="Z9"/>
  <c r="Z10" s="1"/>
  <c r="G24"/>
  <c r="I23"/>
  <c r="G17"/>
  <c r="C13"/>
  <c r="N12"/>
  <c r="G2"/>
  <c r="AB36" i="79"/>
  <c r="AA36"/>
  <c r="Z36"/>
  <c r="W36"/>
  <c r="N36"/>
  <c r="M36"/>
  <c r="P36" s="1"/>
  <c r="L36"/>
  <c r="I36"/>
  <c r="AD36" s="1"/>
  <c r="AB35"/>
  <c r="AA35"/>
  <c r="Z35"/>
  <c r="N35"/>
  <c r="U35" s="1"/>
  <c r="M35"/>
  <c r="T35" s="1"/>
  <c r="W35" s="1"/>
  <c r="L35"/>
  <c r="S35" s="1"/>
  <c r="I35"/>
  <c r="AB34"/>
  <c r="AA34"/>
  <c r="Z34"/>
  <c r="N34"/>
  <c r="M34"/>
  <c r="L34"/>
  <c r="S34" s="1"/>
  <c r="I34"/>
  <c r="AB33"/>
  <c r="AA33"/>
  <c r="Z33"/>
  <c r="N33"/>
  <c r="M33"/>
  <c r="L33"/>
  <c r="I33"/>
  <c r="AB32"/>
  <c r="AA32"/>
  <c r="Z32"/>
  <c r="N32"/>
  <c r="M32"/>
  <c r="L32"/>
  <c r="I32"/>
  <c r="AB31"/>
  <c r="AA31"/>
  <c r="Z31"/>
  <c r="N31"/>
  <c r="M31"/>
  <c r="L31"/>
  <c r="I31"/>
  <c r="AB30"/>
  <c r="AA30"/>
  <c r="Z30"/>
  <c r="N30"/>
  <c r="M30"/>
  <c r="M23" s="1"/>
  <c r="P23" s="1"/>
  <c r="L30"/>
  <c r="I30"/>
  <c r="AB29"/>
  <c r="AA29"/>
  <c r="AA23" s="1"/>
  <c r="AD23" s="1"/>
  <c r="Z29"/>
  <c r="N29"/>
  <c r="M29"/>
  <c r="T23" s="1"/>
  <c r="W23" s="1"/>
  <c r="L29"/>
  <c r="I29"/>
  <c r="AB25"/>
  <c r="AA25"/>
  <c r="Z25"/>
  <c r="N25"/>
  <c r="M25"/>
  <c r="L25"/>
  <c r="I25"/>
  <c r="AD25" s="1"/>
  <c r="G23"/>
  <c r="F23"/>
  <c r="I23" s="1"/>
  <c r="E23"/>
  <c r="AC16"/>
  <c r="AB16"/>
  <c r="AA16"/>
  <c r="AD16" s="1"/>
  <c r="Z16"/>
  <c r="Y16"/>
  <c r="W16"/>
  <c r="O16"/>
  <c r="N16"/>
  <c r="M16"/>
  <c r="P16" s="1"/>
  <c r="L16"/>
  <c r="K16"/>
  <c r="I16"/>
  <c r="AC15"/>
  <c r="AB15"/>
  <c r="AA15"/>
  <c r="AD15" s="1"/>
  <c r="Z15"/>
  <c r="Y15"/>
  <c r="O15"/>
  <c r="V15" s="1"/>
  <c r="N15"/>
  <c r="U15" s="1"/>
  <c r="M15"/>
  <c r="P15" s="1"/>
  <c r="L15"/>
  <c r="S15" s="1"/>
  <c r="K15"/>
  <c r="R15" s="1"/>
  <c r="I15"/>
  <c r="AC14"/>
  <c r="AB14"/>
  <c r="AA14"/>
  <c r="AD14" s="1"/>
  <c r="Z14"/>
  <c r="Y14"/>
  <c r="O14"/>
  <c r="N14"/>
  <c r="U14" s="1"/>
  <c r="M14"/>
  <c r="T14" s="1"/>
  <c r="W14" s="1"/>
  <c r="L14"/>
  <c r="S14" s="1"/>
  <c r="K14"/>
  <c r="I14"/>
  <c r="AC13"/>
  <c r="AB13"/>
  <c r="AA13"/>
  <c r="AD13" s="1"/>
  <c r="Z13"/>
  <c r="Y13"/>
  <c r="O13"/>
  <c r="N13"/>
  <c r="M13"/>
  <c r="P13" s="1"/>
  <c r="L13"/>
  <c r="K13"/>
  <c r="I13"/>
  <c r="AD12"/>
  <c r="AC12"/>
  <c r="AB12"/>
  <c r="AA12"/>
  <c r="Z12"/>
  <c r="Y12"/>
  <c r="O12"/>
  <c r="N12"/>
  <c r="M12"/>
  <c r="T12" s="1"/>
  <c r="W12" s="1"/>
  <c r="L12"/>
  <c r="K12"/>
  <c r="I12"/>
  <c r="AC11"/>
  <c r="AB11"/>
  <c r="AA11"/>
  <c r="AD11" s="1"/>
  <c r="Z11"/>
  <c r="Y11"/>
  <c r="O11"/>
  <c r="N11"/>
  <c r="M11"/>
  <c r="P11" s="1"/>
  <c r="L11"/>
  <c r="S11" s="1"/>
  <c r="K11"/>
  <c r="I11"/>
  <c r="AC10"/>
  <c r="AB10"/>
  <c r="AB3" s="1"/>
  <c r="AA10"/>
  <c r="AD10" s="1"/>
  <c r="Z10"/>
  <c r="Y10"/>
  <c r="O10"/>
  <c r="V10" s="1"/>
  <c r="N10"/>
  <c r="M10"/>
  <c r="L10"/>
  <c r="K10"/>
  <c r="R10" s="1"/>
  <c r="I10"/>
  <c r="AC9"/>
  <c r="AB9"/>
  <c r="AA9"/>
  <c r="AD9" s="1"/>
  <c r="Z9"/>
  <c r="Y9"/>
  <c r="O9"/>
  <c r="N9"/>
  <c r="M9"/>
  <c r="L9"/>
  <c r="K9"/>
  <c r="I9"/>
  <c r="AC5"/>
  <c r="AB5"/>
  <c r="AA5"/>
  <c r="AD5" s="1"/>
  <c r="Z5"/>
  <c r="Z3" s="1"/>
  <c r="Y5"/>
  <c r="O5"/>
  <c r="N5"/>
  <c r="U3" s="1"/>
  <c r="M5"/>
  <c r="P5" s="1"/>
  <c r="L5"/>
  <c r="K5"/>
  <c r="I5"/>
  <c r="T3"/>
  <c r="W3" s="1"/>
  <c r="H3"/>
  <c r="G3"/>
  <c r="F3"/>
  <c r="I3" s="1"/>
  <c r="E3"/>
  <c r="D3"/>
  <c r="T371" i="46"/>
  <c r="S371"/>
  <c r="R371"/>
  <c r="T279"/>
  <c r="S279"/>
  <c r="R279"/>
  <c r="U279" s="1"/>
  <c r="T187"/>
  <c r="S187"/>
  <c r="R187"/>
  <c r="T95"/>
  <c r="S95"/>
  <c r="R95"/>
  <c r="T3"/>
  <c r="S3"/>
  <c r="R3"/>
  <c r="M17" i="45"/>
  <c r="L17"/>
  <c r="K17"/>
  <c r="J17"/>
  <c r="I17"/>
  <c r="H17"/>
  <c r="G17"/>
  <c r="F17"/>
  <c r="E17"/>
  <c r="D17"/>
  <c r="C17"/>
  <c r="B17"/>
  <c r="I15" i="4"/>
  <c r="F10" i="1" s="1"/>
  <c r="K47" i="78"/>
  <c r="K46"/>
  <c r="K45"/>
  <c r="K41"/>
  <c r="K40"/>
  <c r="K39"/>
  <c r="K38"/>
  <c r="K37"/>
  <c r="K36"/>
  <c r="K35"/>
  <c r="K23"/>
  <c r="K24"/>
  <c r="K25"/>
  <c r="K26"/>
  <c r="K27"/>
  <c r="K28"/>
  <c r="K29"/>
  <c r="K30"/>
  <c r="K22"/>
  <c r="K3" i="79" l="1"/>
  <c r="V3"/>
  <c r="R14"/>
  <c r="V14"/>
  <c r="L23"/>
  <c r="U30"/>
  <c r="AD31"/>
  <c r="S32"/>
  <c r="T33"/>
  <c r="W33" s="1"/>
  <c r="U34"/>
  <c r="AD35"/>
  <c r="M3"/>
  <c r="P3" s="1"/>
  <c r="S3"/>
  <c r="Y3"/>
  <c r="AC3"/>
  <c r="T10"/>
  <c r="W10" s="1"/>
  <c r="U11"/>
  <c r="R12"/>
  <c r="V12"/>
  <c r="R13"/>
  <c r="V13"/>
  <c r="O3"/>
  <c r="U23"/>
  <c r="AD29"/>
  <c r="S30"/>
  <c r="T31"/>
  <c r="W31" s="1"/>
  <c r="U32"/>
  <c r="AD33"/>
  <c r="L3"/>
  <c r="N3"/>
  <c r="AA3"/>
  <c r="AD3" s="1"/>
  <c r="S10"/>
  <c r="U10"/>
  <c r="R11"/>
  <c r="V11"/>
  <c r="S12"/>
  <c r="U12"/>
  <c r="S13"/>
  <c r="U13"/>
  <c r="N23"/>
  <c r="AD30"/>
  <c r="S31"/>
  <c r="U31"/>
  <c r="AD32"/>
  <c r="T32"/>
  <c r="W32" s="1"/>
  <c r="S33"/>
  <c r="U33"/>
  <c r="AD34"/>
  <c r="T34"/>
  <c r="W34" s="1"/>
  <c r="T26"/>
  <c r="W26" s="1"/>
  <c r="T28"/>
  <c r="W28" s="1"/>
  <c r="T27"/>
  <c r="W27" s="1"/>
  <c r="T25"/>
  <c r="W25" s="1"/>
  <c r="AB23"/>
  <c r="S28"/>
  <c r="S26"/>
  <c r="S27"/>
  <c r="U29"/>
  <c r="U27"/>
  <c r="U26"/>
  <c r="U28"/>
  <c r="R6"/>
  <c r="R5"/>
  <c r="R7"/>
  <c r="R8"/>
  <c r="P9"/>
  <c r="T7"/>
  <c r="W7" s="1"/>
  <c r="T6"/>
  <c r="W6" s="1"/>
  <c r="T5"/>
  <c r="W5" s="1"/>
  <c r="T8"/>
  <c r="W8" s="1"/>
  <c r="V9"/>
  <c r="V6"/>
  <c r="V5"/>
  <c r="V7"/>
  <c r="V8"/>
  <c r="S9"/>
  <c r="S7"/>
  <c r="S8"/>
  <c r="S5"/>
  <c r="S6"/>
  <c r="U9"/>
  <c r="U7"/>
  <c r="U5"/>
  <c r="U8"/>
  <c r="U6"/>
  <c r="R9"/>
  <c r="S23"/>
  <c r="P12"/>
  <c r="P14"/>
  <c r="U25"/>
  <c r="R3"/>
  <c r="Z23"/>
  <c r="S29"/>
  <c r="T30"/>
  <c r="W30" s="1"/>
  <c r="S25"/>
  <c r="T29"/>
  <c r="W29" s="1"/>
  <c r="P10"/>
  <c r="C27" i="43"/>
  <c r="S6"/>
  <c r="S5"/>
  <c r="S4"/>
  <c r="S2"/>
  <c r="E93"/>
  <c r="B91" s="1"/>
  <c r="N21"/>
  <c r="S3"/>
  <c r="H116"/>
  <c r="F37"/>
  <c r="F38"/>
  <c r="F39"/>
  <c r="F40"/>
  <c r="F41"/>
  <c r="F42"/>
  <c r="N1"/>
  <c r="M2"/>
  <c r="N2"/>
  <c r="M3"/>
  <c r="N3"/>
  <c r="M4"/>
  <c r="N4"/>
  <c r="M5"/>
  <c r="N5"/>
  <c r="F93" s="1"/>
  <c r="N10"/>
  <c r="N11"/>
  <c r="M6"/>
  <c r="N6"/>
  <c r="M7"/>
  <c r="N7"/>
  <c r="M8"/>
  <c r="N8"/>
  <c r="M9"/>
  <c r="N9"/>
  <c r="M10"/>
  <c r="M11"/>
  <c r="M12"/>
  <c r="C21"/>
  <c r="E21"/>
  <c r="I21"/>
  <c r="K21"/>
  <c r="M21"/>
  <c r="O21"/>
  <c r="D21"/>
  <c r="H21"/>
  <c r="J21"/>
  <c r="L21"/>
  <c r="G18"/>
  <c r="T9" i="79"/>
  <c r="W9" s="1"/>
  <c r="T11"/>
  <c r="W11" s="1"/>
  <c r="T13"/>
  <c r="W13" s="1"/>
  <c r="T15"/>
  <c r="W15" s="1"/>
  <c r="P25"/>
  <c r="P30"/>
  <c r="P32"/>
  <c r="P34"/>
  <c r="P29"/>
  <c r="P31"/>
  <c r="P33"/>
  <c r="P35"/>
  <c r="E25" i="78"/>
  <c r="E24"/>
  <c r="F23"/>
  <c r="F24" s="1"/>
  <c r="F25" s="1"/>
  <c r="E23"/>
  <c r="E22"/>
  <c r="G22" s="1"/>
  <c r="F12"/>
  <c r="F11"/>
  <c r="C18" s="1"/>
  <c r="D7"/>
  <c r="D6"/>
  <c r="D5"/>
  <c r="C15" l="1"/>
  <c r="H100" i="43"/>
  <c r="H97"/>
  <c r="H95"/>
  <c r="H94"/>
  <c r="H98"/>
  <c r="H93"/>
  <c r="H101"/>
  <c r="H99"/>
  <c r="H96"/>
  <c r="G23" i="78"/>
  <c r="G24"/>
  <c r="G25"/>
  <c r="B15"/>
  <c r="B18"/>
  <c r="G14" i="73"/>
  <c r="F14"/>
  <c r="E14"/>
  <c r="G15" l="1"/>
  <c r="F15"/>
  <c r="E15"/>
  <c r="G16" l="1"/>
  <c r="F16"/>
  <c r="E16"/>
  <c r="G13" l="1"/>
  <c r="F13"/>
  <c r="E13"/>
  <c r="AH8" i="71" l="1"/>
  <c r="AG8"/>
  <c r="AE8"/>
  <c r="AF8" s="1"/>
  <c r="AD8"/>
  <c r="Q8"/>
  <c r="P8"/>
  <c r="O8"/>
  <c r="N8"/>
  <c r="R43" i="77" l="1"/>
  <c r="R40"/>
  <c r="R41" s="1"/>
  <c r="F36"/>
  <c r="R34"/>
  <c r="R33"/>
  <c r="C30"/>
  <c r="R27"/>
  <c r="M24"/>
  <c r="R23"/>
  <c r="C23"/>
  <c r="D23" s="1"/>
  <c r="D38" s="1"/>
  <c r="D39" s="1"/>
  <c r="R22"/>
  <c r="R21"/>
  <c r="N19"/>
  <c r="R18"/>
  <c r="D18"/>
  <c r="R17"/>
  <c r="D17"/>
  <c r="R16"/>
  <c r="D16"/>
  <c r="D15"/>
  <c r="D11" s="1"/>
  <c r="E11" s="1"/>
  <c r="E7" s="1"/>
  <c r="C27" s="1"/>
  <c r="M14"/>
  <c r="N14" s="1"/>
  <c r="D14"/>
  <c r="R13"/>
  <c r="R12"/>
  <c r="D12"/>
  <c r="R11"/>
  <c r="R10"/>
  <c r="D10"/>
  <c r="R9"/>
  <c r="D9"/>
  <c r="R8"/>
  <c r="R7"/>
  <c r="R4"/>
  <c r="R3"/>
  <c r="D7" l="1"/>
  <c r="C26" s="1"/>
  <c r="R14"/>
  <c r="R24" s="1"/>
  <c r="D29"/>
  <c r="E23"/>
  <c r="D26"/>
  <c r="C29"/>
  <c r="C32" s="1"/>
  <c r="C38" s="1"/>
  <c r="C39" s="1"/>
  <c r="R35"/>
  <c r="U34" s="1"/>
  <c r="AH9" i="71"/>
  <c r="AG9"/>
  <c r="AE9"/>
  <c r="AF9" s="1"/>
  <c r="AD9"/>
  <c r="Q9"/>
  <c r="P9"/>
  <c r="O9"/>
  <c r="N9"/>
  <c r="D32" i="77" l="1"/>
  <c r="R25"/>
  <c r="R19"/>
  <c r="R5" s="1"/>
  <c r="U5" s="1"/>
  <c r="E26"/>
  <c r="E38"/>
  <c r="E39" s="1"/>
  <c r="C40" s="1"/>
  <c r="B2" s="1"/>
  <c r="E29"/>
  <c r="AH10" i="71"/>
  <c r="AG10"/>
  <c r="AE10"/>
  <c r="AF10" s="1"/>
  <c r="AD10"/>
  <c r="Q10"/>
  <c r="P10"/>
  <c r="O10"/>
  <c r="N10"/>
  <c r="E32" i="77" l="1"/>
  <c r="B3"/>
  <c r="C41"/>
  <c r="E24" i="43" l="1"/>
  <c r="Q32" l="1"/>
  <c r="P32"/>
  <c r="O32"/>
  <c r="N32"/>
  <c r="M32"/>
  <c r="AH11" i="71"/>
  <c r="AG11"/>
  <c r="AE11"/>
  <c r="AF11" s="1"/>
  <c r="AD11"/>
  <c r="Q11"/>
  <c r="P11"/>
  <c r="O11"/>
  <c r="N11"/>
  <c r="AH12" l="1"/>
  <c r="AG12"/>
  <c r="AE12"/>
  <c r="AF12" s="1"/>
  <c r="AD12"/>
  <c r="Q12"/>
  <c r="P12"/>
  <c r="O12"/>
  <c r="N12"/>
  <c r="AH13" l="1"/>
  <c r="AG13"/>
  <c r="AE13"/>
  <c r="AF13" s="1"/>
  <c r="AD13"/>
  <c r="Q13"/>
  <c r="P13"/>
  <c r="O13"/>
  <c r="N13"/>
  <c r="H16" i="49" l="1"/>
  <c r="D16"/>
  <c r="D15"/>
  <c r="B2"/>
  <c r="F15" s="1"/>
  <c r="H15" s="1"/>
  <c r="B5" l="1"/>
  <c r="D5" s="1"/>
  <c r="B7"/>
  <c r="D7" s="1"/>
  <c r="B9"/>
  <c r="D9" s="1"/>
  <c r="B11"/>
  <c r="D11" s="1"/>
  <c r="B13"/>
  <c r="D13" s="1"/>
  <c r="B4"/>
  <c r="D4" s="1"/>
  <c r="B6"/>
  <c r="D6" s="1"/>
  <c r="B8"/>
  <c r="D8" s="1"/>
  <c r="B10"/>
  <c r="D10" s="1"/>
  <c r="B12"/>
  <c r="D12" s="1"/>
  <c r="B14"/>
  <c r="D14" s="1"/>
  <c r="F4"/>
  <c r="H4" s="1"/>
  <c r="F5"/>
  <c r="H5" s="1"/>
  <c r="F6"/>
  <c r="H6" s="1"/>
  <c r="F7"/>
  <c r="H7" s="1"/>
  <c r="F8"/>
  <c r="H8" s="1"/>
  <c r="F9"/>
  <c r="H9" s="1"/>
  <c r="F10"/>
  <c r="H10" s="1"/>
  <c r="F11"/>
  <c r="H11" s="1"/>
  <c r="F12"/>
  <c r="H12" s="1"/>
  <c r="F13"/>
  <c r="H13" s="1"/>
  <c r="F14"/>
  <c r="H14" s="1"/>
  <c r="K42" i="40" l="1"/>
  <c r="K47" i="39"/>
  <c r="K36" i="36"/>
  <c r="E59" i="9"/>
  <c r="K38" i="35" l="1"/>
  <c r="K42" i="37"/>
  <c r="K49" i="34"/>
  <c r="K48" i="33"/>
  <c r="K48" i="21"/>
  <c r="H104" i="9"/>
  <c r="F59"/>
  <c r="AH14" i="71" l="1"/>
  <c r="AG14"/>
  <c r="AE14"/>
  <c r="AF14" s="1"/>
  <c r="AD14"/>
  <c r="Q14"/>
  <c r="P14"/>
  <c r="O14"/>
  <c r="N14"/>
  <c r="AH15" l="1"/>
  <c r="AG15"/>
  <c r="AE15"/>
  <c r="AF15" s="1"/>
  <c r="AD15"/>
  <c r="Q15"/>
  <c r="P15"/>
  <c r="O15"/>
  <c r="N15"/>
  <c r="Q17" l="1"/>
  <c r="P17"/>
  <c r="O17"/>
  <c r="N17"/>
  <c r="AH16"/>
  <c r="AG16"/>
  <c r="AE16"/>
  <c r="AF16"/>
  <c r="AD16"/>
  <c r="Q16"/>
  <c r="P16"/>
  <c r="O16"/>
  <c r="N16"/>
  <c r="AH17"/>
  <c r="AG17"/>
  <c r="AE17"/>
  <c r="AF17" s="1"/>
  <c r="AD17"/>
  <c r="Q18"/>
  <c r="Q19"/>
  <c r="P18"/>
  <c r="P19"/>
  <c r="O18"/>
  <c r="O19"/>
  <c r="N18"/>
  <c r="N19"/>
  <c r="AH18"/>
  <c r="AG18"/>
  <c r="AE18"/>
  <c r="AF18" s="1"/>
  <c r="AD18"/>
  <c r="F24" i="12"/>
  <c r="F7" i="69"/>
  <c r="F7" i="68"/>
  <c r="C7" s="1"/>
  <c r="AH19" i="71"/>
  <c r="AG19"/>
  <c r="AE19"/>
  <c r="AF19" s="1"/>
  <c r="AD19"/>
  <c r="AD20"/>
  <c r="AH20"/>
  <c r="AG20"/>
  <c r="AE20"/>
  <c r="AF20" s="1"/>
  <c r="Q20"/>
  <c r="P20"/>
  <c r="O20"/>
  <c r="N20"/>
  <c r="L3"/>
  <c r="AH3" s="1"/>
  <c r="K3"/>
  <c r="AG3" s="1"/>
  <c r="J3"/>
  <c r="AE3" s="1"/>
  <c r="I3"/>
  <c r="AH21"/>
  <c r="AG21"/>
  <c r="AE21"/>
  <c r="AF21" s="1"/>
  <c r="AD21"/>
  <c r="Q21"/>
  <c r="Q22"/>
  <c r="P21"/>
  <c r="P22"/>
  <c r="O21"/>
  <c r="O22"/>
  <c r="N21"/>
  <c r="N22"/>
  <c r="N23"/>
  <c r="AH22"/>
  <c r="AG22"/>
  <c r="AE22"/>
  <c r="AF22" s="1"/>
  <c r="AD22"/>
  <c r="Q23"/>
  <c r="P23"/>
  <c r="O23"/>
  <c r="D25"/>
  <c r="AH23"/>
  <c r="AG23"/>
  <c r="AE23"/>
  <c r="AF23"/>
  <c r="AD23"/>
  <c r="AD24"/>
  <c r="AG24"/>
  <c r="AH24"/>
  <c r="AE24"/>
  <c r="AF24"/>
  <c r="N24"/>
  <c r="Q24"/>
  <c r="P24"/>
  <c r="E24" s="1"/>
  <c r="O24"/>
  <c r="C24" s="1"/>
  <c r="C23" s="1"/>
  <c r="Q25"/>
  <c r="F24"/>
  <c r="F23"/>
  <c r="F22" s="1"/>
  <c r="P25"/>
  <c r="O25"/>
  <c r="Y25" s="1"/>
  <c r="Z25" s="1"/>
  <c r="N25"/>
  <c r="B24"/>
  <c r="B23" s="1"/>
  <c r="B22" s="1"/>
  <c r="A2" i="53"/>
  <c r="B19" i="72" s="1"/>
  <c r="K59" i="67"/>
  <c r="P61" s="1"/>
  <c r="K59" i="15"/>
  <c r="P74" s="1"/>
  <c r="D115" i="39"/>
  <c r="E115"/>
  <c r="F115"/>
  <c r="G115"/>
  <c r="H115"/>
  <c r="I115"/>
  <c r="J115"/>
  <c r="K115"/>
  <c r="L115"/>
  <c r="M115"/>
  <c r="C115"/>
  <c r="A21" i="62"/>
  <c r="B67" i="72" s="1"/>
  <c r="A20" i="62"/>
  <c r="A22" i="51"/>
  <c r="A21"/>
  <c r="B16" i="72" s="1"/>
  <c r="A20" i="51"/>
  <c r="A15" i="62"/>
  <c r="A14"/>
  <c r="B60" i="72" s="1"/>
  <c r="A13" i="62"/>
  <c r="B59" i="72" s="1"/>
  <c r="A19" i="62"/>
  <c r="A12"/>
  <c r="B58" i="72" s="1"/>
  <c r="A120" i="9"/>
  <c r="H2" i="52"/>
  <c r="A1"/>
  <c r="A3" i="53"/>
  <c r="Q26" i="71"/>
  <c r="P26"/>
  <c r="O26"/>
  <c r="N26"/>
  <c r="A15" i="51"/>
  <c r="B12" i="72" s="1"/>
  <c r="C76" i="9"/>
  <c r="I107" i="40"/>
  <c r="K6" i="4"/>
  <c r="M56" i="9" s="1"/>
  <c r="B22" i="31"/>
  <c r="E15" i="74"/>
  <c r="F15"/>
  <c r="E16"/>
  <c r="F16"/>
  <c r="E17"/>
  <c r="F17"/>
  <c r="E18"/>
  <c r="F18"/>
  <c r="E19"/>
  <c r="F19"/>
  <c r="E20"/>
  <c r="F20"/>
  <c r="E21"/>
  <c r="F21"/>
  <c r="E22"/>
  <c r="F22"/>
  <c r="E23"/>
  <c r="F23"/>
  <c r="B3"/>
  <c r="C91" i="9"/>
  <c r="B8" i="72"/>
  <c r="O27" i="71"/>
  <c r="P27"/>
  <c r="Q27"/>
  <c r="N27"/>
  <c r="X27" s="1"/>
  <c r="AD25"/>
  <c r="AE25"/>
  <c r="AF25"/>
  <c r="AG25"/>
  <c r="AH25"/>
  <c r="AD26"/>
  <c r="AE26"/>
  <c r="AF26" s="1"/>
  <c r="AG26"/>
  <c r="AH26"/>
  <c r="AD27"/>
  <c r="AE27"/>
  <c r="AF27"/>
  <c r="AG27"/>
  <c r="AH27"/>
  <c r="AD28"/>
  <c r="AE28"/>
  <c r="AF28" s="1"/>
  <c r="AG28"/>
  <c r="AH28"/>
  <c r="AD29"/>
  <c r="AE29"/>
  <c r="AF29"/>
  <c r="AG29"/>
  <c r="AH29"/>
  <c r="AD30"/>
  <c r="AE30"/>
  <c r="AF30" s="1"/>
  <c r="AG30"/>
  <c r="AH30"/>
  <c r="AD31"/>
  <c r="AE31"/>
  <c r="AF31" s="1"/>
  <c r="AG31"/>
  <c r="AH31"/>
  <c r="AD32"/>
  <c r="AE32"/>
  <c r="AF32" s="1"/>
  <c r="AG32"/>
  <c r="AH32"/>
  <c r="AD33"/>
  <c r="AE33"/>
  <c r="AF33" s="1"/>
  <c r="AG33"/>
  <c r="AH33"/>
  <c r="AD34"/>
  <c r="AE34"/>
  <c r="AF34" s="1"/>
  <c r="AG34"/>
  <c r="AH34"/>
  <c r="AD35"/>
  <c r="AE35"/>
  <c r="AF35"/>
  <c r="AG35"/>
  <c r="AH35"/>
  <c r="AD36"/>
  <c r="AE36"/>
  <c r="AF36" s="1"/>
  <c r="AG36"/>
  <c r="AH36"/>
  <c r="AD37"/>
  <c r="AE37"/>
  <c r="AF37"/>
  <c r="AG37"/>
  <c r="AH37"/>
  <c r="AD38"/>
  <c r="AE38"/>
  <c r="AF38" s="1"/>
  <c r="AG38"/>
  <c r="AH38"/>
  <c r="AH39"/>
  <c r="AG39"/>
  <c r="AE39"/>
  <c r="AF39" s="1"/>
  <c r="AD39"/>
  <c r="AD40"/>
  <c r="AE40"/>
  <c r="AF40" s="1"/>
  <c r="AG40"/>
  <c r="AH40"/>
  <c r="S2" i="31"/>
  <c r="M2"/>
  <c r="N2"/>
  <c r="O2"/>
  <c r="P2"/>
  <c r="Q2"/>
  <c r="R2"/>
  <c r="C1" i="73"/>
  <c r="L1" s="1"/>
  <c r="B74" i="72"/>
  <c r="K49" i="9"/>
  <c r="E107"/>
  <c r="A122" s="1"/>
  <c r="A8" i="52" s="1"/>
  <c r="B54" i="72" s="1"/>
  <c r="E111" i="9"/>
  <c r="A126" s="1"/>
  <c r="A12" i="52" s="1"/>
  <c r="B56" i="72" s="1"/>
  <c r="E109" i="9"/>
  <c r="A124" s="1"/>
  <c r="A10" i="52" s="1"/>
  <c r="B55" i="72" s="1"/>
  <c r="B44"/>
  <c r="B42"/>
  <c r="B69"/>
  <c r="B68"/>
  <c r="B63"/>
  <c r="B62"/>
  <c r="B65"/>
  <c r="B66"/>
  <c r="B10"/>
  <c r="C53" i="10"/>
  <c r="B51"/>
  <c r="A18" i="51"/>
  <c r="B13" i="72" s="1"/>
  <c r="B49" i="48"/>
  <c r="B5" i="72" s="1"/>
  <c r="D89" i="71"/>
  <c r="F88"/>
  <c r="F87" s="1"/>
  <c r="F86" s="1"/>
  <c r="E88"/>
  <c r="E87" s="1"/>
  <c r="E86" s="1"/>
  <c r="C88"/>
  <c r="D88"/>
  <c r="B88"/>
  <c r="B87" s="1"/>
  <c r="B86" s="1"/>
  <c r="D85"/>
  <c r="F84"/>
  <c r="F83" s="1"/>
  <c r="F82" s="1"/>
  <c r="E84"/>
  <c r="E83" s="1"/>
  <c r="E82" s="1"/>
  <c r="C84"/>
  <c r="D84"/>
  <c r="B84"/>
  <c r="B83" s="1"/>
  <c r="B82" s="1"/>
  <c r="D81"/>
  <c r="Q80"/>
  <c r="P80"/>
  <c r="O80"/>
  <c r="N80"/>
  <c r="F80"/>
  <c r="V80" s="1"/>
  <c r="E80"/>
  <c r="U80"/>
  <c r="C80"/>
  <c r="B80"/>
  <c r="S80"/>
  <c r="Q79"/>
  <c r="P79"/>
  <c r="O79"/>
  <c r="N79"/>
  <c r="F79"/>
  <c r="F78" s="1"/>
  <c r="B79"/>
  <c r="B78"/>
  <c r="Q78"/>
  <c r="P78"/>
  <c r="O78"/>
  <c r="N78"/>
  <c r="Q77"/>
  <c r="P77"/>
  <c r="O77"/>
  <c r="N77"/>
  <c r="D77"/>
  <c r="Q76"/>
  <c r="P76"/>
  <c r="O76"/>
  <c r="N76"/>
  <c r="F76"/>
  <c r="V76" s="1"/>
  <c r="E76"/>
  <c r="U76" s="1"/>
  <c r="C76"/>
  <c r="T76" s="1"/>
  <c r="B76"/>
  <c r="Q75"/>
  <c r="P75"/>
  <c r="O75"/>
  <c r="N75"/>
  <c r="F75"/>
  <c r="F74" s="1"/>
  <c r="Q74"/>
  <c r="P74"/>
  <c r="O74"/>
  <c r="N74"/>
  <c r="Q73"/>
  <c r="P73"/>
  <c r="O73"/>
  <c r="N73"/>
  <c r="D73"/>
  <c r="Q72"/>
  <c r="P72"/>
  <c r="O72"/>
  <c r="N72"/>
  <c r="F72"/>
  <c r="V72" s="1"/>
  <c r="E72"/>
  <c r="U72"/>
  <c r="C72"/>
  <c r="B72"/>
  <c r="S72"/>
  <c r="Q71"/>
  <c r="P71"/>
  <c r="O71"/>
  <c r="N71"/>
  <c r="F71"/>
  <c r="F70" s="1"/>
  <c r="B71"/>
  <c r="B70"/>
  <c r="Q70"/>
  <c r="P70"/>
  <c r="O70"/>
  <c r="N70"/>
  <c r="Q69"/>
  <c r="P69"/>
  <c r="O69"/>
  <c r="N69"/>
  <c r="D69"/>
  <c r="F68"/>
  <c r="V68" s="1"/>
  <c r="E68"/>
  <c r="P68" s="1"/>
  <c r="C68"/>
  <c r="O68" s="1"/>
  <c r="B68"/>
  <c r="D65"/>
  <c r="Q64"/>
  <c r="P64"/>
  <c r="O64"/>
  <c r="N64"/>
  <c r="Q63"/>
  <c r="P63"/>
  <c r="O63"/>
  <c r="N63"/>
  <c r="Q62"/>
  <c r="P62"/>
  <c r="O62"/>
  <c r="N62"/>
  <c r="Q61"/>
  <c r="F62" s="1"/>
  <c r="F63" s="1"/>
  <c r="F64" s="1"/>
  <c r="V64" s="1"/>
  <c r="P61"/>
  <c r="E62" s="1"/>
  <c r="E63" s="1"/>
  <c r="E64" s="1"/>
  <c r="U64" s="1"/>
  <c r="O61"/>
  <c r="C62"/>
  <c r="D62" s="1"/>
  <c r="N61"/>
  <c r="B62" s="1"/>
  <c r="B63" s="1"/>
  <c r="B64" s="1"/>
  <c r="S64" s="1"/>
  <c r="D61"/>
  <c r="Q60"/>
  <c r="P60"/>
  <c r="O60"/>
  <c r="N60"/>
  <c r="Q59"/>
  <c r="P59"/>
  <c r="O59"/>
  <c r="N59"/>
  <c r="Q58"/>
  <c r="P58"/>
  <c r="O58"/>
  <c r="N58"/>
  <c r="Q57"/>
  <c r="F58" s="1"/>
  <c r="F59" s="1"/>
  <c r="F60" s="1"/>
  <c r="V60" s="1"/>
  <c r="P57"/>
  <c r="E58" s="1"/>
  <c r="O57"/>
  <c r="C58" s="1"/>
  <c r="N57"/>
  <c r="B58" s="1"/>
  <c r="B59" s="1"/>
  <c r="B60" s="1"/>
  <c r="S60" s="1"/>
  <c r="D57"/>
  <c r="Q56"/>
  <c r="P56"/>
  <c r="O56"/>
  <c r="N56"/>
  <c r="Q55"/>
  <c r="P55"/>
  <c r="O55"/>
  <c r="N55"/>
  <c r="Q54"/>
  <c r="P54"/>
  <c r="O54"/>
  <c r="N54"/>
  <c r="Q53"/>
  <c r="F54" s="1"/>
  <c r="F55" s="1"/>
  <c r="F56" s="1"/>
  <c r="V56" s="1"/>
  <c r="P53"/>
  <c r="E54" s="1"/>
  <c r="O53"/>
  <c r="C54" s="1"/>
  <c r="N53"/>
  <c r="B54" s="1"/>
  <c r="B55" s="1"/>
  <c r="B56" s="1"/>
  <c r="S56" s="1"/>
  <c r="D53"/>
  <c r="Q52"/>
  <c r="P52"/>
  <c r="O52"/>
  <c r="N52"/>
  <c r="Q51"/>
  <c r="P51"/>
  <c r="O51"/>
  <c r="N51"/>
  <c r="Q50"/>
  <c r="P50"/>
  <c r="O50"/>
  <c r="N50"/>
  <c r="Q49"/>
  <c r="F50" s="1"/>
  <c r="F51" s="1"/>
  <c r="F52" s="1"/>
  <c r="V52" s="1"/>
  <c r="P49"/>
  <c r="E50"/>
  <c r="E51" s="1"/>
  <c r="E52" s="1"/>
  <c r="U52" s="1"/>
  <c r="O49"/>
  <c r="C50" s="1"/>
  <c r="N49"/>
  <c r="B50" s="1"/>
  <c r="B51" s="1"/>
  <c r="B52" s="1"/>
  <c r="S52" s="1"/>
  <c r="D49"/>
  <c r="T48"/>
  <c r="Q48"/>
  <c r="P48"/>
  <c r="O48"/>
  <c r="N48"/>
  <c r="D48"/>
  <c r="Q47"/>
  <c r="P47"/>
  <c r="O47"/>
  <c r="N47"/>
  <c r="Q46"/>
  <c r="P46"/>
  <c r="O46"/>
  <c r="N46"/>
  <c r="Q45"/>
  <c r="F46" s="1"/>
  <c r="F47" s="1"/>
  <c r="F48" s="1"/>
  <c r="V48" s="1"/>
  <c r="P45"/>
  <c r="E46"/>
  <c r="E47" s="1"/>
  <c r="E48" s="1"/>
  <c r="U48" s="1"/>
  <c r="O45"/>
  <c r="C46" s="1"/>
  <c r="N45"/>
  <c r="B46" s="1"/>
  <c r="B47" s="1"/>
  <c r="B48" s="1"/>
  <c r="S48" s="1"/>
  <c r="D45"/>
  <c r="Q44"/>
  <c r="P44"/>
  <c r="O44"/>
  <c r="N44"/>
  <c r="Q43"/>
  <c r="P43"/>
  <c r="O43"/>
  <c r="N43"/>
  <c r="Q42"/>
  <c r="P42"/>
  <c r="O42"/>
  <c r="N42"/>
  <c r="Q41"/>
  <c r="F42" s="1"/>
  <c r="F43" s="1"/>
  <c r="F44" s="1"/>
  <c r="V44" s="1"/>
  <c r="P41"/>
  <c r="E42"/>
  <c r="E43" s="1"/>
  <c r="E44" s="1"/>
  <c r="U44" s="1"/>
  <c r="O41"/>
  <c r="C42" s="1"/>
  <c r="N41"/>
  <c r="B42" s="1"/>
  <c r="D41"/>
  <c r="Q40"/>
  <c r="P40"/>
  <c r="O40"/>
  <c r="N40"/>
  <c r="Q39"/>
  <c r="P39"/>
  <c r="O39"/>
  <c r="N39"/>
  <c r="X37" s="1"/>
  <c r="X39"/>
  <c r="Q38"/>
  <c r="P38"/>
  <c r="AA38" s="1"/>
  <c r="O38"/>
  <c r="Y38" s="1"/>
  <c r="Z38" s="1"/>
  <c r="N38"/>
  <c r="Q37"/>
  <c r="F38" s="1"/>
  <c r="P37"/>
  <c r="E38" s="1"/>
  <c r="E39" s="1"/>
  <c r="E40" s="1"/>
  <c r="U40" s="1"/>
  <c r="O37"/>
  <c r="N37"/>
  <c r="D37"/>
  <c r="Q36"/>
  <c r="AB36"/>
  <c r="P36"/>
  <c r="O36"/>
  <c r="N36"/>
  <c r="Q35"/>
  <c r="P35"/>
  <c r="O35"/>
  <c r="N35"/>
  <c r="Q34"/>
  <c r="AB34" s="1"/>
  <c r="P34"/>
  <c r="O34"/>
  <c r="N34"/>
  <c r="Q33"/>
  <c r="F34" s="1"/>
  <c r="P33"/>
  <c r="E34" s="1"/>
  <c r="E35" s="1"/>
  <c r="E36" s="1"/>
  <c r="U36" s="1"/>
  <c r="O33"/>
  <c r="N33"/>
  <c r="D33"/>
  <c r="Q32"/>
  <c r="P32"/>
  <c r="O32"/>
  <c r="N32"/>
  <c r="Q31"/>
  <c r="P31"/>
  <c r="O31"/>
  <c r="N31"/>
  <c r="Q30"/>
  <c r="P30"/>
  <c r="AA30" s="1"/>
  <c r="O30"/>
  <c r="N30"/>
  <c r="Q29"/>
  <c r="F30" s="1"/>
  <c r="F31" s="1"/>
  <c r="P29"/>
  <c r="AA27" s="1"/>
  <c r="O29"/>
  <c r="N29"/>
  <c r="D29"/>
  <c r="O28"/>
  <c r="N28"/>
  <c r="B30"/>
  <c r="B31"/>
  <c r="E30"/>
  <c r="E31" s="1"/>
  <c r="E32" s="1"/>
  <c r="U32" s="1"/>
  <c r="AA29"/>
  <c r="B34"/>
  <c r="B35"/>
  <c r="B38"/>
  <c r="B39" s="1"/>
  <c r="B40" s="1"/>
  <c r="S40" s="1"/>
  <c r="AA37"/>
  <c r="AA33"/>
  <c r="AA31"/>
  <c r="AA34"/>
  <c r="X36"/>
  <c r="AA36"/>
  <c r="X38"/>
  <c r="C28"/>
  <c r="P28"/>
  <c r="E55"/>
  <c r="E56" s="1"/>
  <c r="U56" s="1"/>
  <c r="E59"/>
  <c r="E60" s="1"/>
  <c r="U60" s="1"/>
  <c r="U68"/>
  <c r="E67"/>
  <c r="P67" s="1"/>
  <c r="Q28"/>
  <c r="C63"/>
  <c r="T68"/>
  <c r="C67"/>
  <c r="C66" s="1"/>
  <c r="Q68"/>
  <c r="E71"/>
  <c r="E70" s="1"/>
  <c r="C75"/>
  <c r="E75"/>
  <c r="E74" s="1"/>
  <c r="E79"/>
  <c r="E78" s="1"/>
  <c r="C83"/>
  <c r="C87"/>
  <c r="D87" s="1"/>
  <c r="T28"/>
  <c r="F28"/>
  <c r="F27" s="1"/>
  <c r="E28"/>
  <c r="E27" s="1"/>
  <c r="E26" s="1"/>
  <c r="AA25"/>
  <c r="AA26"/>
  <c r="D67"/>
  <c r="D83"/>
  <c r="C82"/>
  <c r="D82"/>
  <c r="E66"/>
  <c r="V28"/>
  <c r="O65"/>
  <c r="O27" i="6"/>
  <c r="N27"/>
  <c r="P20"/>
  <c r="P21"/>
  <c r="P22"/>
  <c r="P23"/>
  <c r="P24"/>
  <c r="P25"/>
  <c r="P26"/>
  <c r="P19"/>
  <c r="AP8" i="1"/>
  <c r="AP9"/>
  <c r="AP10"/>
  <c r="AP11"/>
  <c r="AP12"/>
  <c r="AP13"/>
  <c r="L21" i="6"/>
  <c r="L22"/>
  <c r="L23"/>
  <c r="L24"/>
  <c r="L25"/>
  <c r="L26"/>
  <c r="A7" i="70"/>
  <c r="A8"/>
  <c r="A9"/>
  <c r="A10"/>
  <c r="A11"/>
  <c r="A12"/>
  <c r="A13"/>
  <c r="E13" s="1"/>
  <c r="A6"/>
  <c r="Q25" i="40"/>
  <c r="Z25" s="1"/>
  <c r="D94"/>
  <c r="E94" s="1"/>
  <c r="F94" s="1"/>
  <c r="G94" s="1"/>
  <c r="F25"/>
  <c r="AA25" s="1"/>
  <c r="Q29" i="39"/>
  <c r="Z29" s="1"/>
  <c r="D102"/>
  <c r="E102" s="1"/>
  <c r="F102" s="1"/>
  <c r="G102" s="1"/>
  <c r="F29"/>
  <c r="AA29" s="1"/>
  <c r="Q18" i="36"/>
  <c r="Z18" s="1"/>
  <c r="D66"/>
  <c r="E66"/>
  <c r="F66" s="1"/>
  <c r="G66" s="1"/>
  <c r="H18"/>
  <c r="AB18" s="1"/>
  <c r="F18"/>
  <c r="AA18" s="1"/>
  <c r="C18"/>
  <c r="Q18" i="35"/>
  <c r="Z18" s="1"/>
  <c r="D68"/>
  <c r="E68" s="1"/>
  <c r="F68" s="1"/>
  <c r="G68" s="1"/>
  <c r="F18"/>
  <c r="AA18"/>
  <c r="C18"/>
  <c r="Q21" i="37"/>
  <c r="Z21" s="1"/>
  <c r="D77"/>
  <c r="E77" s="1"/>
  <c r="F77" s="1"/>
  <c r="G77" s="1"/>
  <c r="C21"/>
  <c r="Q21" i="34"/>
  <c r="Z21" s="1"/>
  <c r="D84"/>
  <c r="E84"/>
  <c r="F84" s="1"/>
  <c r="G84" s="1"/>
  <c r="F21"/>
  <c r="AA21" s="1"/>
  <c r="C21"/>
  <c r="Z21" i="33"/>
  <c r="Q21"/>
  <c r="D83"/>
  <c r="E83" s="1"/>
  <c r="F83" s="1"/>
  <c r="G83" s="1"/>
  <c r="C21"/>
  <c r="C21" i="21"/>
  <c r="Q21"/>
  <c r="Z21" s="1"/>
  <c r="D83"/>
  <c r="F21"/>
  <c r="AA21" s="1"/>
  <c r="D81"/>
  <c r="H19" s="1"/>
  <c r="G20" i="20"/>
  <c r="B88" i="43"/>
  <c r="C22" i="20"/>
  <c r="C25" i="40"/>
  <c r="S25"/>
  <c r="S18" i="36"/>
  <c r="S21" i="34"/>
  <c r="H25" i="40"/>
  <c r="AB25" s="1"/>
  <c r="J25"/>
  <c r="AC25" s="1"/>
  <c r="H29" i="39"/>
  <c r="AB29" s="1"/>
  <c r="J29"/>
  <c r="AC29" s="1"/>
  <c r="J18" i="36"/>
  <c r="AC18" s="1"/>
  <c r="H18" i="35"/>
  <c r="AB18" s="1"/>
  <c r="S18"/>
  <c r="J18"/>
  <c r="AC18" s="1"/>
  <c r="H21" i="37"/>
  <c r="AB21" s="1"/>
  <c r="F21"/>
  <c r="AA21" s="1"/>
  <c r="H21" i="34"/>
  <c r="H21" i="33"/>
  <c r="U21" s="1"/>
  <c r="F21"/>
  <c r="E83" i="21"/>
  <c r="F83" s="1"/>
  <c r="G83" s="1"/>
  <c r="S21"/>
  <c r="H1" i="69"/>
  <c r="W25" i="40"/>
  <c r="U29" i="39"/>
  <c r="U21" i="37"/>
  <c r="S21"/>
  <c r="AA21" i="33"/>
  <c r="S21"/>
  <c r="U18" i="35"/>
  <c r="W18"/>
  <c r="J21" i="37"/>
  <c r="J21" i="34"/>
  <c r="W21" s="1"/>
  <c r="J21" i="33"/>
  <c r="W21" s="1"/>
  <c r="H21" i="21"/>
  <c r="U21" s="1"/>
  <c r="F38" i="69"/>
  <c r="E37"/>
  <c r="F36"/>
  <c r="F35"/>
  <c r="F21"/>
  <c r="F40" s="1"/>
  <c r="F20"/>
  <c r="F39" s="1"/>
  <c r="E10"/>
  <c r="E9"/>
  <c r="AC21" i="34"/>
  <c r="AB21" i="21"/>
  <c r="J21"/>
  <c r="AC21" s="1"/>
  <c r="F38" i="68"/>
  <c r="E37"/>
  <c r="F36"/>
  <c r="F35"/>
  <c r="F21"/>
  <c r="F40" s="1"/>
  <c r="F20"/>
  <c r="F39" s="1"/>
  <c r="E10"/>
  <c r="E9"/>
  <c r="W21" i="21"/>
  <c r="Q72" i="67"/>
  <c r="Q59"/>
  <c r="Q58"/>
  <c r="Q51"/>
  <c r="J50"/>
  <c r="M47"/>
  <c r="D46"/>
  <c r="F33"/>
  <c r="F61" s="1"/>
  <c r="F23"/>
  <c r="D24" s="1"/>
  <c r="F21"/>
  <c r="F20"/>
  <c r="M19"/>
  <c r="F18"/>
  <c r="F17"/>
  <c r="F15"/>
  <c r="S2" i="4"/>
  <c r="C51" i="10" s="1"/>
  <c r="A13" i="51"/>
  <c r="B11" i="72" s="1"/>
  <c r="S1" i="4"/>
  <c r="B1"/>
  <c r="B37" i="48" s="1"/>
  <c r="B2" i="72" s="1"/>
  <c r="D1" i="43"/>
  <c r="B50"/>
  <c r="B86"/>
  <c r="B85"/>
  <c r="B74"/>
  <c r="B63"/>
  <c r="B52"/>
  <c r="M90"/>
  <c r="N90" s="1"/>
  <c r="K90"/>
  <c r="D90" s="1"/>
  <c r="M89"/>
  <c r="N89" s="1"/>
  <c r="K89"/>
  <c r="D89" s="1"/>
  <c r="M88"/>
  <c r="N88" s="1"/>
  <c r="K88"/>
  <c r="D88" s="1"/>
  <c r="M87"/>
  <c r="N87" s="1"/>
  <c r="K87"/>
  <c r="D87" s="1"/>
  <c r="M86"/>
  <c r="N86" s="1"/>
  <c r="K86"/>
  <c r="D86" s="1"/>
  <c r="M85"/>
  <c r="N85" s="1"/>
  <c r="K85"/>
  <c r="D85" s="1"/>
  <c r="M84"/>
  <c r="N84" s="1"/>
  <c r="K84"/>
  <c r="D84" s="1"/>
  <c r="M83"/>
  <c r="N83" s="1"/>
  <c r="K83"/>
  <c r="J83" s="1"/>
  <c r="M80"/>
  <c r="N80" s="1"/>
  <c r="K80"/>
  <c r="J80" s="1"/>
  <c r="M79"/>
  <c r="N79" s="1"/>
  <c r="K79"/>
  <c r="J79" s="1"/>
  <c r="M78"/>
  <c r="N78" s="1"/>
  <c r="K78"/>
  <c r="M77"/>
  <c r="N77" s="1"/>
  <c r="K77"/>
  <c r="J77" s="1"/>
  <c r="D77" s="1"/>
  <c r="M76"/>
  <c r="N76" s="1"/>
  <c r="K76"/>
  <c r="J76" s="1"/>
  <c r="M75"/>
  <c r="N75" s="1"/>
  <c r="K75"/>
  <c r="J75" s="1"/>
  <c r="M74"/>
  <c r="N74" s="1"/>
  <c r="K74"/>
  <c r="J74" s="1"/>
  <c r="M73"/>
  <c r="N73" s="1"/>
  <c r="K73"/>
  <c r="J73" s="1"/>
  <c r="M72"/>
  <c r="N72" s="1"/>
  <c r="K72"/>
  <c r="J72" s="1"/>
  <c r="M69"/>
  <c r="N69" s="1"/>
  <c r="K69"/>
  <c r="J69" s="1"/>
  <c r="M68"/>
  <c r="N68" s="1"/>
  <c r="K68"/>
  <c r="J68" s="1"/>
  <c r="D68" s="1"/>
  <c r="M67"/>
  <c r="N67" s="1"/>
  <c r="K67"/>
  <c r="J67" s="1"/>
  <c r="M66"/>
  <c r="N66" s="1"/>
  <c r="K66"/>
  <c r="J66" s="1"/>
  <c r="M65"/>
  <c r="N65" s="1"/>
  <c r="K65"/>
  <c r="J65" s="1"/>
  <c r="M64"/>
  <c r="N64" s="1"/>
  <c r="K64"/>
  <c r="J64" s="1"/>
  <c r="M63"/>
  <c r="N63" s="1"/>
  <c r="K63"/>
  <c r="J63" s="1"/>
  <c r="M62"/>
  <c r="N62" s="1"/>
  <c r="K62"/>
  <c r="J62" s="1"/>
  <c r="M61"/>
  <c r="N61" s="1"/>
  <c r="K61"/>
  <c r="J61" s="1"/>
  <c r="M58"/>
  <c r="N58" s="1"/>
  <c r="K58"/>
  <c r="J58" s="1"/>
  <c r="D58"/>
  <c r="M57"/>
  <c r="N57" s="1"/>
  <c r="K57"/>
  <c r="J57" s="1"/>
  <c r="D57" s="1"/>
  <c r="M56"/>
  <c r="N56" s="1"/>
  <c r="K56"/>
  <c r="J56" s="1"/>
  <c r="D56"/>
  <c r="M55"/>
  <c r="N55" s="1"/>
  <c r="K55"/>
  <c r="J55" s="1"/>
  <c r="D55"/>
  <c r="M54"/>
  <c r="N54" s="1"/>
  <c r="K54"/>
  <c r="J54" s="1"/>
  <c r="D54"/>
  <c r="M53"/>
  <c r="N53" s="1"/>
  <c r="K53"/>
  <c r="J53" s="1"/>
  <c r="D53"/>
  <c r="M52"/>
  <c r="N52" s="1"/>
  <c r="K52"/>
  <c r="J52" s="1"/>
  <c r="D52"/>
  <c r="M51"/>
  <c r="N51" s="1"/>
  <c r="K51"/>
  <c r="J51" s="1"/>
  <c r="D51"/>
  <c r="M50"/>
  <c r="N50" s="1"/>
  <c r="K50"/>
  <c r="J50" s="1"/>
  <c r="D50"/>
  <c r="Q72" i="15"/>
  <c r="Q58"/>
  <c r="Q51"/>
  <c r="Q59"/>
  <c r="AE13" i="1"/>
  <c r="M47" i="15"/>
  <c r="AG13" i="1"/>
  <c r="J50" i="15"/>
  <c r="J51" s="1"/>
  <c r="D12" i="31"/>
  <c r="E12"/>
  <c r="F12" s="1"/>
  <c r="G12" s="1"/>
  <c r="H12" s="1"/>
  <c r="I12" s="1"/>
  <c r="J12" s="1"/>
  <c r="K12" s="1"/>
  <c r="L12" s="1"/>
  <c r="M12" s="1"/>
  <c r="N12" s="1"/>
  <c r="O12" s="1"/>
  <c r="P12" s="1"/>
  <c r="Q12" s="1"/>
  <c r="R12" s="1"/>
  <c r="S12" s="1"/>
  <c r="D10"/>
  <c r="E10"/>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C7" i="37" s="1"/>
  <c r="C52" s="1"/>
  <c r="D52" s="1"/>
  <c r="E15" i="4"/>
  <c r="F8" i="1" s="1"/>
  <c r="G8" s="1"/>
  <c r="A7"/>
  <c r="B7" s="1"/>
  <c r="E7" s="1"/>
  <c r="A8"/>
  <c r="B8" s="1"/>
  <c r="E8" s="1"/>
  <c r="A9"/>
  <c r="A10"/>
  <c r="A11"/>
  <c r="B11" s="1"/>
  <c r="E11" s="1"/>
  <c r="A12"/>
  <c r="A13"/>
  <c r="A6"/>
  <c r="B13"/>
  <c r="E13" s="1"/>
  <c r="K13"/>
  <c r="M13" s="1"/>
  <c r="O13" s="1"/>
  <c r="P13" s="1"/>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AX111"/>
  <c r="AW111"/>
  <c r="AV111"/>
  <c r="AC111"/>
  <c r="H111"/>
  <c r="G111"/>
  <c r="BT110"/>
  <c r="BS110"/>
  <c r="BR110"/>
  <c r="BQ110"/>
  <c r="BP110"/>
  <c r="BO110"/>
  <c r="BN110"/>
  <c r="BM110"/>
  <c r="BL110" s="1"/>
  <c r="BK110"/>
  <c r="BJ110"/>
  <c r="BI110"/>
  <c r="BH110"/>
  <c r="BG110"/>
  <c r="BF110"/>
  <c r="BE110"/>
  <c r="BD110"/>
  <c r="BA110" s="1"/>
  <c r="BC110"/>
  <c r="BB110"/>
  <c r="AX110"/>
  <c r="AW110"/>
  <c r="AV110"/>
  <c r="AC110"/>
  <c r="H110"/>
  <c r="G110" s="1"/>
  <c r="BT109"/>
  <c r="BS109"/>
  <c r="BR109"/>
  <c r="BQ109"/>
  <c r="BP109"/>
  <c r="BO109"/>
  <c r="BN109"/>
  <c r="BM109"/>
  <c r="BK109"/>
  <c r="BJ109"/>
  <c r="BI109"/>
  <c r="BH109"/>
  <c r="BG109"/>
  <c r="BF109"/>
  <c r="BE109"/>
  <c r="BD109"/>
  <c r="BC109"/>
  <c r="BB109"/>
  <c r="BA109"/>
  <c r="AX109"/>
  <c r="AW109"/>
  <c r="AV109"/>
  <c r="AC109"/>
  <c r="H109"/>
  <c r="G109" s="1"/>
  <c r="BT108"/>
  <c r="BS108"/>
  <c r="BR108"/>
  <c r="BQ108"/>
  <c r="BP108"/>
  <c r="BO108"/>
  <c r="BN108"/>
  <c r="BM108"/>
  <c r="BK108"/>
  <c r="BJ108"/>
  <c r="BI108"/>
  <c r="BH108"/>
  <c r="BG108"/>
  <c r="BF108"/>
  <c r="BE108"/>
  <c r="BD108"/>
  <c r="BC108"/>
  <c r="BB108"/>
  <c r="AX108"/>
  <c r="AW108"/>
  <c r="AV108"/>
  <c r="AC108"/>
  <c r="H108"/>
  <c r="BT107"/>
  <c r="BS107"/>
  <c r="BR107"/>
  <c r="BQ107"/>
  <c r="BP107"/>
  <c r="BO107"/>
  <c r="BN107"/>
  <c r="BM107"/>
  <c r="BL107"/>
  <c r="BK107"/>
  <c r="BJ107"/>
  <c r="BI107"/>
  <c r="BH107"/>
  <c r="BG107"/>
  <c r="BF107"/>
  <c r="BE107"/>
  <c r="BD107"/>
  <c r="BC107"/>
  <c r="BB107"/>
  <c r="AX107"/>
  <c r="AW107"/>
  <c r="AV107"/>
  <c r="AC107"/>
  <c r="H107"/>
  <c r="BT106"/>
  <c r="BS106"/>
  <c r="BR106"/>
  <c r="BQ106"/>
  <c r="BP106"/>
  <c r="BO106"/>
  <c r="BN106"/>
  <c r="BM106"/>
  <c r="BL106"/>
  <c r="BK106"/>
  <c r="BJ106"/>
  <c r="BI106"/>
  <c r="BH106"/>
  <c r="BG106"/>
  <c r="BF106"/>
  <c r="BE106"/>
  <c r="BD106"/>
  <c r="BC106"/>
  <c r="BB106"/>
  <c r="AX106"/>
  <c r="AW106"/>
  <c r="AV106"/>
  <c r="AC106"/>
  <c r="H106"/>
  <c r="G106"/>
  <c r="BT105"/>
  <c r="BS105"/>
  <c r="BR105"/>
  <c r="BQ105"/>
  <c r="BP105"/>
  <c r="BO105"/>
  <c r="BN105"/>
  <c r="BM105"/>
  <c r="BL105" s="1"/>
  <c r="BK105"/>
  <c r="BJ105"/>
  <c r="BI105"/>
  <c r="BH105"/>
  <c r="BG105"/>
  <c r="BF105"/>
  <c r="BE105"/>
  <c r="BD105"/>
  <c r="BA105" s="1"/>
  <c r="BC105"/>
  <c r="BB105"/>
  <c r="AX105"/>
  <c r="AW105"/>
  <c r="AV105"/>
  <c r="AC105"/>
  <c r="H105"/>
  <c r="G105" s="1"/>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s="1"/>
  <c r="BK103"/>
  <c r="BJ103"/>
  <c r="BI103"/>
  <c r="BH103"/>
  <c r="BG103"/>
  <c r="BF103"/>
  <c r="BE103"/>
  <c r="BD103"/>
  <c r="BC103"/>
  <c r="BB103"/>
  <c r="AX103"/>
  <c r="AW103"/>
  <c r="AV103"/>
  <c r="AC103"/>
  <c r="H103"/>
  <c r="G103" s="1"/>
  <c r="BT102"/>
  <c r="BS102"/>
  <c r="BR102"/>
  <c r="BQ102"/>
  <c r="BP102"/>
  <c r="BO102"/>
  <c r="BN102"/>
  <c r="BM102"/>
  <c r="BK102"/>
  <c r="BJ102"/>
  <c r="BI102"/>
  <c r="BH102"/>
  <c r="BG102"/>
  <c r="BF102"/>
  <c r="BE102"/>
  <c r="BD102"/>
  <c r="BC102"/>
  <c r="BB102"/>
  <c r="AX102"/>
  <c r="AW102"/>
  <c r="AV102"/>
  <c r="AC102"/>
  <c r="H102"/>
  <c r="G102"/>
  <c r="BT101"/>
  <c r="BS101"/>
  <c r="BR101"/>
  <c r="BQ101"/>
  <c r="BP101"/>
  <c r="BO101"/>
  <c r="BN101"/>
  <c r="BM101"/>
  <c r="BK101"/>
  <c r="BJ101"/>
  <c r="BI101"/>
  <c r="BH101"/>
  <c r="BG101"/>
  <c r="BF101"/>
  <c r="BE101"/>
  <c r="BD101"/>
  <c r="BC101"/>
  <c r="BB101"/>
  <c r="AX101"/>
  <c r="AW101"/>
  <c r="AV101"/>
  <c r="AC101"/>
  <c r="H101"/>
  <c r="G101"/>
  <c r="BT100"/>
  <c r="BS100"/>
  <c r="BR100"/>
  <c r="BQ100"/>
  <c r="BP100"/>
  <c r="BO100"/>
  <c r="BN100"/>
  <c r="BM100"/>
  <c r="BL100" s="1"/>
  <c r="BK100"/>
  <c r="BJ100"/>
  <c r="BI100"/>
  <c r="BH100"/>
  <c r="BG100"/>
  <c r="BF100"/>
  <c r="BE100"/>
  <c r="BD100"/>
  <c r="BA100" s="1"/>
  <c r="AZ100" s="1"/>
  <c r="BC100"/>
  <c r="BB100"/>
  <c r="AX100"/>
  <c r="AW100"/>
  <c r="AV100"/>
  <c r="AC100"/>
  <c r="H100"/>
  <c r="G100" s="1"/>
  <c r="BT99"/>
  <c r="BS99"/>
  <c r="BR99"/>
  <c r="BQ99"/>
  <c r="BP99"/>
  <c r="BO99"/>
  <c r="BN99"/>
  <c r="BM99"/>
  <c r="BL99" s="1"/>
  <c r="BK99"/>
  <c r="BJ99"/>
  <c r="BI99"/>
  <c r="BH99"/>
  <c r="BG99"/>
  <c r="BF99"/>
  <c r="BE99"/>
  <c r="BD99"/>
  <c r="BC99"/>
  <c r="BB99"/>
  <c r="BA99" s="1"/>
  <c r="AZ99" s="1"/>
  <c r="AX99"/>
  <c r="AW99"/>
  <c r="AV99"/>
  <c r="AC99"/>
  <c r="H99"/>
  <c r="BT98"/>
  <c r="BS98"/>
  <c r="BR98"/>
  <c r="BQ98"/>
  <c r="BP98"/>
  <c r="BO98"/>
  <c r="BN98"/>
  <c r="BM98"/>
  <c r="BK98"/>
  <c r="BJ98"/>
  <c r="BI98"/>
  <c r="BH98"/>
  <c r="BG98"/>
  <c r="BF98"/>
  <c r="BE98"/>
  <c r="BD98"/>
  <c r="BC98"/>
  <c r="BB98"/>
  <c r="BA98" s="1"/>
  <c r="AX98"/>
  <c r="AW98"/>
  <c r="AV98"/>
  <c r="AC98"/>
  <c r="H98"/>
  <c r="BT97"/>
  <c r="BS97"/>
  <c r="BR97"/>
  <c r="BQ97"/>
  <c r="BP97"/>
  <c r="BO97"/>
  <c r="BN97"/>
  <c r="BM97"/>
  <c r="BK97"/>
  <c r="BJ97"/>
  <c r="BI97"/>
  <c r="BH97"/>
  <c r="BG97"/>
  <c r="BF97"/>
  <c r="BE97"/>
  <c r="BD97"/>
  <c r="BC97"/>
  <c r="BB97"/>
  <c r="BA97" s="1"/>
  <c r="AX97"/>
  <c r="AW97"/>
  <c r="AV97"/>
  <c r="AC97"/>
  <c r="H97"/>
  <c r="BT96"/>
  <c r="BS96"/>
  <c r="BR96"/>
  <c r="BQ96"/>
  <c r="BP96"/>
  <c r="BO96"/>
  <c r="BN96"/>
  <c r="BM96"/>
  <c r="BK96"/>
  <c r="BJ96"/>
  <c r="BI96"/>
  <c r="BH96"/>
  <c r="BG96"/>
  <c r="BF96"/>
  <c r="BE96"/>
  <c r="BD96"/>
  <c r="BC96"/>
  <c r="BB96"/>
  <c r="AX96"/>
  <c r="AW96"/>
  <c r="AV96"/>
  <c r="AC96"/>
  <c r="G96" s="1"/>
  <c r="H96"/>
  <c r="BT95"/>
  <c r="BS95"/>
  <c r="BR95"/>
  <c r="BQ95"/>
  <c r="BP95"/>
  <c r="BO95"/>
  <c r="BN95"/>
  <c r="BM95"/>
  <c r="BK95"/>
  <c r="BJ95"/>
  <c r="BI95"/>
  <c r="BH95"/>
  <c r="BG95"/>
  <c r="BF95"/>
  <c r="BE95"/>
  <c r="BD95"/>
  <c r="BC95"/>
  <c r="BB95"/>
  <c r="BA95" s="1"/>
  <c r="AX95"/>
  <c r="AW95"/>
  <c r="AV95"/>
  <c r="AC95"/>
  <c r="H95"/>
  <c r="G95" s="1"/>
  <c r="BT94"/>
  <c r="BS94"/>
  <c r="BR94"/>
  <c r="BQ94"/>
  <c r="BP94"/>
  <c r="BO94"/>
  <c r="BN94"/>
  <c r="BM94"/>
  <c r="BL94" s="1"/>
  <c r="BK94"/>
  <c r="BJ94"/>
  <c r="BI94"/>
  <c r="BH94"/>
  <c r="BG94"/>
  <c r="BF94"/>
  <c r="BE94"/>
  <c r="BD94"/>
  <c r="BC94"/>
  <c r="BB94"/>
  <c r="AX94"/>
  <c r="AW94"/>
  <c r="AV94"/>
  <c r="AC94"/>
  <c r="H94"/>
  <c r="G94" s="1"/>
  <c r="BT93"/>
  <c r="BS93"/>
  <c r="BR93"/>
  <c r="BQ93"/>
  <c r="BP93"/>
  <c r="BO93"/>
  <c r="BN93"/>
  <c r="BM93"/>
  <c r="BL93" s="1"/>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G92" s="1"/>
  <c r="H92"/>
  <c r="BT91"/>
  <c r="BS91"/>
  <c r="BR91"/>
  <c r="BQ91"/>
  <c r="BP91"/>
  <c r="BO91"/>
  <c r="BN91"/>
  <c r="BM91"/>
  <c r="BK91"/>
  <c r="BJ91"/>
  <c r="BI91"/>
  <c r="BH91"/>
  <c r="BG91"/>
  <c r="BF91"/>
  <c r="BE91"/>
  <c r="BD91"/>
  <c r="BC91"/>
  <c r="BB91"/>
  <c r="BA91" s="1"/>
  <c r="AX91"/>
  <c r="AW91"/>
  <c r="AV91"/>
  <c r="AC91"/>
  <c r="H91"/>
  <c r="G91" s="1"/>
  <c r="BT90"/>
  <c r="BS90"/>
  <c r="BR90"/>
  <c r="BQ90"/>
  <c r="BP90"/>
  <c r="BO90"/>
  <c r="BN90"/>
  <c r="BM90"/>
  <c r="BL90"/>
  <c r="BK90"/>
  <c r="BJ90"/>
  <c r="BI90"/>
  <c r="BH90"/>
  <c r="BG90"/>
  <c r="BF90"/>
  <c r="BE90"/>
  <c r="BD90"/>
  <c r="BC90"/>
  <c r="BB90"/>
  <c r="AX90"/>
  <c r="AW90"/>
  <c r="AV90"/>
  <c r="AC90"/>
  <c r="H90"/>
  <c r="G90" s="1"/>
  <c r="BT89"/>
  <c r="BS89"/>
  <c r="BR89"/>
  <c r="BQ89"/>
  <c r="BP89"/>
  <c r="BO89"/>
  <c r="BN89"/>
  <c r="BM89"/>
  <c r="BK89"/>
  <c r="BJ89"/>
  <c r="BI89"/>
  <c r="BH89"/>
  <c r="BG89"/>
  <c r="BF89"/>
  <c r="BE89"/>
  <c r="BD89"/>
  <c r="BC89"/>
  <c r="BB89"/>
  <c r="BA89"/>
  <c r="AX89"/>
  <c r="AW89"/>
  <c r="AV89"/>
  <c r="AC89"/>
  <c r="H89"/>
  <c r="BT88"/>
  <c r="BS88"/>
  <c r="BR88"/>
  <c r="BQ88"/>
  <c r="BP88"/>
  <c r="BO88"/>
  <c r="BN88"/>
  <c r="BM88"/>
  <c r="BK88"/>
  <c r="BJ88"/>
  <c r="BI88"/>
  <c r="BH88"/>
  <c r="BG88"/>
  <c r="BF88"/>
  <c r="BE88"/>
  <c r="BD88"/>
  <c r="BC88"/>
  <c r="BB88"/>
  <c r="BA88" s="1"/>
  <c r="AX88"/>
  <c r="AW88"/>
  <c r="AV88"/>
  <c r="AC88"/>
  <c r="G88" s="1"/>
  <c r="H88"/>
  <c r="BT87"/>
  <c r="BS87"/>
  <c r="BR87"/>
  <c r="BQ87"/>
  <c r="BP87"/>
  <c r="BO87"/>
  <c r="BN87"/>
  <c r="BM87"/>
  <c r="BK87"/>
  <c r="BJ87"/>
  <c r="BI87"/>
  <c r="BH87"/>
  <c r="BG87"/>
  <c r="BF87"/>
  <c r="BE87"/>
  <c r="BD87"/>
  <c r="BC87"/>
  <c r="BB87"/>
  <c r="BA87" s="1"/>
  <c r="AX87"/>
  <c r="AW87"/>
  <c r="AV87"/>
  <c r="AC87"/>
  <c r="H87"/>
  <c r="G87" s="1"/>
  <c r="BT86"/>
  <c r="BS86"/>
  <c r="BR86"/>
  <c r="BQ86"/>
  <c r="BP86"/>
  <c r="BO86"/>
  <c r="BN86"/>
  <c r="BM86"/>
  <c r="BL86"/>
  <c r="BK86"/>
  <c r="BJ86"/>
  <c r="BI86"/>
  <c r="BH86"/>
  <c r="BG86"/>
  <c r="BF86"/>
  <c r="BE86"/>
  <c r="BD86"/>
  <c r="BC86"/>
  <c r="BB86"/>
  <c r="AX86"/>
  <c r="AW86"/>
  <c r="AV86"/>
  <c r="AC86"/>
  <c r="H86"/>
  <c r="G86" s="1"/>
  <c r="BT85"/>
  <c r="BS85"/>
  <c r="BR85"/>
  <c r="BQ85"/>
  <c r="BP85"/>
  <c r="BO85"/>
  <c r="BN85"/>
  <c r="BM85"/>
  <c r="BK85"/>
  <c r="BJ85"/>
  <c r="BI85"/>
  <c r="BH85"/>
  <c r="BG85"/>
  <c r="BF85"/>
  <c r="BE85"/>
  <c r="BD85"/>
  <c r="BC85"/>
  <c r="BB85"/>
  <c r="AX85"/>
  <c r="AW85"/>
  <c r="AV85"/>
  <c r="AC85"/>
  <c r="H85"/>
  <c r="G85"/>
  <c r="BT84"/>
  <c r="BS84"/>
  <c r="BR84"/>
  <c r="BQ84"/>
  <c r="BP84"/>
  <c r="BO84"/>
  <c r="BN84"/>
  <c r="BM84"/>
  <c r="BL84" s="1"/>
  <c r="BK84"/>
  <c r="BJ84"/>
  <c r="BI84"/>
  <c r="BH84"/>
  <c r="BG84"/>
  <c r="BF84"/>
  <c r="BE84"/>
  <c r="BD84"/>
  <c r="BC84"/>
  <c r="BB84"/>
  <c r="AX84"/>
  <c r="AW84"/>
  <c r="AV84"/>
  <c r="AC84"/>
  <c r="H84"/>
  <c r="G84" s="1"/>
  <c r="BT83"/>
  <c r="BS83"/>
  <c r="BR83"/>
  <c r="BQ83"/>
  <c r="BP83"/>
  <c r="BO83"/>
  <c r="BN83"/>
  <c r="BM83"/>
  <c r="BK83"/>
  <c r="BJ83"/>
  <c r="BI83"/>
  <c r="BH83"/>
  <c r="BG83"/>
  <c r="BF83"/>
  <c r="BE83"/>
  <c r="BD83"/>
  <c r="BC83"/>
  <c r="BB83"/>
  <c r="BA83"/>
  <c r="AX83"/>
  <c r="AW83"/>
  <c r="AV83"/>
  <c r="AC83"/>
  <c r="H83"/>
  <c r="G83" s="1"/>
  <c r="BT82"/>
  <c r="BS82"/>
  <c r="BR82"/>
  <c r="BQ82"/>
  <c r="BP82"/>
  <c r="BO82"/>
  <c r="BN82"/>
  <c r="BM82"/>
  <c r="BK82"/>
  <c r="BJ82"/>
  <c r="BI82"/>
  <c r="BH82"/>
  <c r="BG82"/>
  <c r="BF82"/>
  <c r="BE82"/>
  <c r="BD82"/>
  <c r="BC82"/>
  <c r="BB82"/>
  <c r="BA82" s="1"/>
  <c r="AX82"/>
  <c r="AW82"/>
  <c r="AV82"/>
  <c r="AC82"/>
  <c r="G82" s="1"/>
  <c r="H82"/>
  <c r="BT81"/>
  <c r="BS81"/>
  <c r="BR81"/>
  <c r="BQ81"/>
  <c r="BP81"/>
  <c r="BO81"/>
  <c r="BN81"/>
  <c r="BM81"/>
  <c r="BK81"/>
  <c r="BJ81"/>
  <c r="BI81"/>
  <c r="BH81"/>
  <c r="BG81"/>
  <c r="BF81"/>
  <c r="BE81"/>
  <c r="BD81"/>
  <c r="BC81"/>
  <c r="BB81"/>
  <c r="BA81" s="1"/>
  <c r="AX81"/>
  <c r="AW81"/>
  <c r="AV81"/>
  <c r="AC81"/>
  <c r="H81"/>
  <c r="G81" s="1"/>
  <c r="BT80"/>
  <c r="BS80"/>
  <c r="BR80"/>
  <c r="BQ80"/>
  <c r="BP80"/>
  <c r="BO80"/>
  <c r="BN80"/>
  <c r="BM80"/>
  <c r="BL80"/>
  <c r="BK80"/>
  <c r="BJ80"/>
  <c r="BI80"/>
  <c r="BH80"/>
  <c r="BG80"/>
  <c r="BF80"/>
  <c r="BE80"/>
  <c r="BD80"/>
  <c r="BC80"/>
  <c r="BB80"/>
  <c r="AX80"/>
  <c r="AW80"/>
  <c r="AV80"/>
  <c r="AC80"/>
  <c r="H80"/>
  <c r="G80" s="1"/>
  <c r="BT79"/>
  <c r="BS79"/>
  <c r="BR79"/>
  <c r="BQ79"/>
  <c r="BP79"/>
  <c r="BO79"/>
  <c r="BN79"/>
  <c r="BM79"/>
  <c r="BL79"/>
  <c r="BK79"/>
  <c r="BJ79"/>
  <c r="BI79"/>
  <c r="BH79"/>
  <c r="BG79"/>
  <c r="BF79"/>
  <c r="BE79"/>
  <c r="BD79"/>
  <c r="BC79"/>
  <c r="BB79"/>
  <c r="AX79"/>
  <c r="AW79"/>
  <c r="AV79"/>
  <c r="AC79"/>
  <c r="H79"/>
  <c r="G79" s="1"/>
  <c r="BT78"/>
  <c r="BS78"/>
  <c r="BR78"/>
  <c r="BQ78"/>
  <c r="BP78"/>
  <c r="BO78"/>
  <c r="BN78"/>
  <c r="BM78"/>
  <c r="BL78"/>
  <c r="BK78"/>
  <c r="BJ78"/>
  <c r="BI78"/>
  <c r="BH78"/>
  <c r="BG78"/>
  <c r="BF78"/>
  <c r="BE78"/>
  <c r="BD78"/>
  <c r="BC78"/>
  <c r="BB78"/>
  <c r="AX78"/>
  <c r="AW78"/>
  <c r="AV78"/>
  <c r="AC78"/>
  <c r="H78"/>
  <c r="G78"/>
  <c r="BT77"/>
  <c r="BS77"/>
  <c r="BR77"/>
  <c r="BQ77"/>
  <c r="BP77"/>
  <c r="BO77"/>
  <c r="BN77"/>
  <c r="BM77"/>
  <c r="BL77" s="1"/>
  <c r="BK77"/>
  <c r="BJ77"/>
  <c r="BI77"/>
  <c r="BH77"/>
  <c r="BG77"/>
  <c r="BF77"/>
  <c r="BE77"/>
  <c r="BD77"/>
  <c r="BC77"/>
  <c r="BA77" s="1"/>
  <c r="BB77"/>
  <c r="AX77"/>
  <c r="AW77"/>
  <c r="AV77"/>
  <c r="AC77"/>
  <c r="H77"/>
  <c r="G77" s="1"/>
  <c r="BT76"/>
  <c r="BS76"/>
  <c r="BR76"/>
  <c r="BQ76"/>
  <c r="BP76"/>
  <c r="BO76"/>
  <c r="BN76"/>
  <c r="BM76"/>
  <c r="BK76"/>
  <c r="BJ76"/>
  <c r="BI76"/>
  <c r="BH76"/>
  <c r="BG76"/>
  <c r="BF76"/>
  <c r="BE76"/>
  <c r="BD76"/>
  <c r="BC76"/>
  <c r="BB76"/>
  <c r="BA76"/>
  <c r="AX76"/>
  <c r="AW76"/>
  <c r="AV76"/>
  <c r="AC76"/>
  <c r="H76"/>
  <c r="BT75"/>
  <c r="BS75"/>
  <c r="BR75"/>
  <c r="BQ75"/>
  <c r="BP75"/>
  <c r="BO75"/>
  <c r="BN75"/>
  <c r="BM75"/>
  <c r="BK75"/>
  <c r="BJ75"/>
  <c r="BI75"/>
  <c r="BH75"/>
  <c r="BG75"/>
  <c r="BF75"/>
  <c r="BE75"/>
  <c r="BD75"/>
  <c r="BC75"/>
  <c r="BB75"/>
  <c r="BA75" s="1"/>
  <c r="AX75"/>
  <c r="AW75"/>
  <c r="AV75"/>
  <c r="AC75"/>
  <c r="H75"/>
  <c r="BT74"/>
  <c r="BS74"/>
  <c r="BR74"/>
  <c r="BQ74"/>
  <c r="BP74"/>
  <c r="BO74"/>
  <c r="BN74"/>
  <c r="BM74"/>
  <c r="BL74" s="1"/>
  <c r="BK74"/>
  <c r="BJ74"/>
  <c r="BI74"/>
  <c r="BH74"/>
  <c r="BG74"/>
  <c r="BF74"/>
  <c r="BE74"/>
  <c r="BD74"/>
  <c r="BC74"/>
  <c r="BB74"/>
  <c r="BA74" s="1"/>
  <c r="AX74"/>
  <c r="AW74"/>
  <c r="AV74"/>
  <c r="AC74"/>
  <c r="H74"/>
  <c r="BT73"/>
  <c r="BS73"/>
  <c r="BR73"/>
  <c r="BQ73"/>
  <c r="BP73"/>
  <c r="BO73"/>
  <c r="BN73"/>
  <c r="BM73"/>
  <c r="BL73" s="1"/>
  <c r="BK73"/>
  <c r="BJ73"/>
  <c r="BI73"/>
  <c r="BH73"/>
  <c r="BG73"/>
  <c r="BF73"/>
  <c r="BE73"/>
  <c r="BD73"/>
  <c r="BC73"/>
  <c r="BB73"/>
  <c r="BA73" s="1"/>
  <c r="AX73"/>
  <c r="AW73"/>
  <c r="AV73"/>
  <c r="AC73"/>
  <c r="H73"/>
  <c r="BT72"/>
  <c r="BS72"/>
  <c r="BR72"/>
  <c r="BQ72"/>
  <c r="BP72"/>
  <c r="BO72"/>
  <c r="BN72"/>
  <c r="BM72"/>
  <c r="BK72"/>
  <c r="BJ72"/>
  <c r="BI72"/>
  <c r="BH72"/>
  <c r="BG72"/>
  <c r="BF72"/>
  <c r="BE72"/>
  <c r="BD72"/>
  <c r="BC72"/>
  <c r="BB72"/>
  <c r="BA72" s="1"/>
  <c r="AX72"/>
  <c r="AW72"/>
  <c r="AV72"/>
  <c r="AC72"/>
  <c r="G72" s="1"/>
  <c r="H72"/>
  <c r="BT71"/>
  <c r="BS71"/>
  <c r="BR71"/>
  <c r="BQ71"/>
  <c r="BP71"/>
  <c r="BO71"/>
  <c r="BN71"/>
  <c r="BM71"/>
  <c r="BK71"/>
  <c r="BJ71"/>
  <c r="BI71"/>
  <c r="BH71"/>
  <c r="BG71"/>
  <c r="BF71"/>
  <c r="BE71"/>
  <c r="BD71"/>
  <c r="BC71"/>
  <c r="BB71"/>
  <c r="BA71" s="1"/>
  <c r="AX71"/>
  <c r="AW71"/>
  <c r="AV71"/>
  <c r="AC71"/>
  <c r="H71"/>
  <c r="G71"/>
  <c r="BT70"/>
  <c r="BS70"/>
  <c r="BR70"/>
  <c r="BQ70"/>
  <c r="BP70"/>
  <c r="BO70"/>
  <c r="BN70"/>
  <c r="BM70"/>
  <c r="BL70" s="1"/>
  <c r="BK70"/>
  <c r="BJ70"/>
  <c r="BI70"/>
  <c r="BH70"/>
  <c r="BG70"/>
  <c r="BF70"/>
  <c r="BE70"/>
  <c r="BD70"/>
  <c r="BC70"/>
  <c r="BB70"/>
  <c r="AX70"/>
  <c r="AW70"/>
  <c r="AV70"/>
  <c r="AC70"/>
  <c r="H70"/>
  <c r="G70" s="1"/>
  <c r="BT69"/>
  <c r="BS69"/>
  <c r="BR69"/>
  <c r="BQ69"/>
  <c r="BP69"/>
  <c r="BO69"/>
  <c r="BN69"/>
  <c r="BM69"/>
  <c r="BL69" s="1"/>
  <c r="BK69"/>
  <c r="BJ69"/>
  <c r="BI69"/>
  <c r="BH69"/>
  <c r="BG69"/>
  <c r="BF69"/>
  <c r="BE69"/>
  <c r="BD69"/>
  <c r="BC69"/>
  <c r="BB69"/>
  <c r="AX69"/>
  <c r="AW69"/>
  <c r="AV69"/>
  <c r="AC69"/>
  <c r="H69"/>
  <c r="G69" s="1"/>
  <c r="BT68"/>
  <c r="BS68"/>
  <c r="BR68"/>
  <c r="BQ68"/>
  <c r="BP68"/>
  <c r="BO68"/>
  <c r="BN68"/>
  <c r="BM68"/>
  <c r="BL68" s="1"/>
  <c r="BK68"/>
  <c r="BJ68"/>
  <c r="BI68"/>
  <c r="BH68"/>
  <c r="BG68"/>
  <c r="BF68"/>
  <c r="BE68"/>
  <c r="BD68"/>
  <c r="BC68"/>
  <c r="BB68"/>
  <c r="AX68"/>
  <c r="AW68"/>
  <c r="AV68"/>
  <c r="AC68"/>
  <c r="H68"/>
  <c r="G68" s="1"/>
  <c r="BT67"/>
  <c r="BS67"/>
  <c r="BR67"/>
  <c r="BQ67"/>
  <c r="BP67"/>
  <c r="BO67"/>
  <c r="BN67"/>
  <c r="BM67"/>
  <c r="BK67"/>
  <c r="BJ67"/>
  <c r="BI67"/>
  <c r="BH67"/>
  <c r="BG67"/>
  <c r="BF67"/>
  <c r="BE67"/>
  <c r="BD67"/>
  <c r="BC67"/>
  <c r="BB67"/>
  <c r="BA67"/>
  <c r="AX67"/>
  <c r="AW67"/>
  <c r="AV67"/>
  <c r="AC67"/>
  <c r="H67"/>
  <c r="BT66"/>
  <c r="BS66"/>
  <c r="BR66"/>
  <c r="BQ66"/>
  <c r="BP66"/>
  <c r="BO66"/>
  <c r="BN66"/>
  <c r="BM66"/>
  <c r="BK66"/>
  <c r="BJ66"/>
  <c r="BI66"/>
  <c r="BH66"/>
  <c r="BG66"/>
  <c r="BF66"/>
  <c r="BE66"/>
  <c r="BD66"/>
  <c r="BC66"/>
  <c r="BB66"/>
  <c r="BA66" s="1"/>
  <c r="AX66"/>
  <c r="AW66"/>
  <c r="AV66"/>
  <c r="AC66"/>
  <c r="G66" s="1"/>
  <c r="H66"/>
  <c r="BT65"/>
  <c r="BS65"/>
  <c r="BR65"/>
  <c r="BQ65"/>
  <c r="BP65"/>
  <c r="BO65"/>
  <c r="BN65"/>
  <c r="BM65"/>
  <c r="BK65"/>
  <c r="BJ65"/>
  <c r="BI65"/>
  <c r="BH65"/>
  <c r="BG65"/>
  <c r="BF65"/>
  <c r="BE65"/>
  <c r="BD65"/>
  <c r="BC65"/>
  <c r="BB65"/>
  <c r="BA65" s="1"/>
  <c r="AX65"/>
  <c r="AW65"/>
  <c r="AV65"/>
  <c r="AC65"/>
  <c r="H65"/>
  <c r="G65" s="1"/>
  <c r="BT64"/>
  <c r="BS64"/>
  <c r="BR64"/>
  <c r="BQ64"/>
  <c r="BP64"/>
  <c r="BO64"/>
  <c r="BN64"/>
  <c r="BM64"/>
  <c r="BL64"/>
  <c r="BK64"/>
  <c r="BJ64"/>
  <c r="BI64"/>
  <c r="BH64"/>
  <c r="BG64"/>
  <c r="BF64"/>
  <c r="BE64"/>
  <c r="BD64"/>
  <c r="BC64"/>
  <c r="BB64"/>
  <c r="AX64"/>
  <c r="AW64"/>
  <c r="AV64"/>
  <c r="AC64"/>
  <c r="H64"/>
  <c r="G64"/>
  <c r="BT63"/>
  <c r="BS63"/>
  <c r="BR63"/>
  <c r="BQ63"/>
  <c r="BP63"/>
  <c r="BO63"/>
  <c r="BN63"/>
  <c r="BM63"/>
  <c r="BL63" s="1"/>
  <c r="BK63"/>
  <c r="BJ63"/>
  <c r="BI63"/>
  <c r="BH63"/>
  <c r="BG63"/>
  <c r="BF63"/>
  <c r="BE63"/>
  <c r="BD63"/>
  <c r="BC63"/>
  <c r="BB63"/>
  <c r="AX63"/>
  <c r="AW63"/>
  <c r="AV63"/>
  <c r="AC63"/>
  <c r="H63"/>
  <c r="G63" s="1"/>
  <c r="BT62"/>
  <c r="BS62"/>
  <c r="BR62"/>
  <c r="BQ62"/>
  <c r="BP62"/>
  <c r="BO62"/>
  <c r="BN62"/>
  <c r="BM62"/>
  <c r="BK62"/>
  <c r="BJ62"/>
  <c r="BI62"/>
  <c r="BH62"/>
  <c r="BG62"/>
  <c r="BF62"/>
  <c r="BE62"/>
  <c r="BD62"/>
  <c r="BC62"/>
  <c r="BB62"/>
  <c r="BA62"/>
  <c r="AX62"/>
  <c r="AW62"/>
  <c r="AV62"/>
  <c r="AC62"/>
  <c r="H62"/>
  <c r="BT61"/>
  <c r="BS61"/>
  <c r="BR61"/>
  <c r="BQ61"/>
  <c r="BP61"/>
  <c r="BO61"/>
  <c r="BN61"/>
  <c r="BM61"/>
  <c r="BL61" s="1"/>
  <c r="BK61"/>
  <c r="BJ61"/>
  <c r="BI61"/>
  <c r="BH61"/>
  <c r="BG61"/>
  <c r="BF61"/>
  <c r="BE61"/>
  <c r="BD61"/>
  <c r="BC61"/>
  <c r="BB61"/>
  <c r="BA61" s="1"/>
  <c r="AX61"/>
  <c r="AW61"/>
  <c r="AV61"/>
  <c r="AC61"/>
  <c r="H61"/>
  <c r="BT60"/>
  <c r="BS60"/>
  <c r="BR60"/>
  <c r="BQ60"/>
  <c r="BP60"/>
  <c r="BO60"/>
  <c r="BN60"/>
  <c r="BM60"/>
  <c r="BL60" s="1"/>
  <c r="BK60"/>
  <c r="BJ60"/>
  <c r="BI60"/>
  <c r="BH60"/>
  <c r="BG60"/>
  <c r="BF60"/>
  <c r="BE60"/>
  <c r="BD60"/>
  <c r="BC60"/>
  <c r="BB60"/>
  <c r="BA60" s="1"/>
  <c r="AX60"/>
  <c r="AW60"/>
  <c r="AV60"/>
  <c r="AC60"/>
  <c r="H60"/>
  <c r="BT59"/>
  <c r="BS59"/>
  <c r="BR59"/>
  <c r="BQ59"/>
  <c r="BP59"/>
  <c r="BO59"/>
  <c r="BN59"/>
  <c r="BM59"/>
  <c r="BK59"/>
  <c r="BJ59"/>
  <c r="BI59"/>
  <c r="BH59"/>
  <c r="BG59"/>
  <c r="BF59"/>
  <c r="BE59"/>
  <c r="BD59"/>
  <c r="BC59"/>
  <c r="BB59"/>
  <c r="BA59" s="1"/>
  <c r="AX59"/>
  <c r="AW59"/>
  <c r="AV59"/>
  <c r="AC59"/>
  <c r="G59" s="1"/>
  <c r="H59"/>
  <c r="BT58"/>
  <c r="BS58"/>
  <c r="BR58"/>
  <c r="BQ58"/>
  <c r="BP58"/>
  <c r="BO58"/>
  <c r="BN58"/>
  <c r="BM58"/>
  <c r="BK58"/>
  <c r="BJ58"/>
  <c r="BI58"/>
  <c r="BH58"/>
  <c r="BG58"/>
  <c r="BF58"/>
  <c r="BE58"/>
  <c r="BD58"/>
  <c r="BC58"/>
  <c r="BB58"/>
  <c r="BA58" s="1"/>
  <c r="AX58"/>
  <c r="AW58"/>
  <c r="AV58"/>
  <c r="AC58"/>
  <c r="H58"/>
  <c r="G58"/>
  <c r="BT57"/>
  <c r="BS57"/>
  <c r="BR57"/>
  <c r="BQ57"/>
  <c r="BP57"/>
  <c r="BO57"/>
  <c r="BN57"/>
  <c r="BM57"/>
  <c r="BL57" s="1"/>
  <c r="BK57"/>
  <c r="BJ57"/>
  <c r="BI57"/>
  <c r="BH57"/>
  <c r="BG57"/>
  <c r="BF57"/>
  <c r="BE57"/>
  <c r="BD57"/>
  <c r="BC57"/>
  <c r="BB57"/>
  <c r="AX57"/>
  <c r="AW57"/>
  <c r="AV57"/>
  <c r="AC57"/>
  <c r="H57"/>
  <c r="G57" s="1"/>
  <c r="BT56"/>
  <c r="BS56"/>
  <c r="BR56"/>
  <c r="BQ56"/>
  <c r="BP56"/>
  <c r="BO56"/>
  <c r="BN56"/>
  <c r="BM56"/>
  <c r="BL56" s="1"/>
  <c r="BK56"/>
  <c r="BJ56"/>
  <c r="BI56"/>
  <c r="BH56"/>
  <c r="BG56"/>
  <c r="BF56"/>
  <c r="BE56"/>
  <c r="BD56"/>
  <c r="BC56"/>
  <c r="BB56"/>
  <c r="AX56"/>
  <c r="AW56"/>
  <c r="AV56"/>
  <c r="AC56"/>
  <c r="H56"/>
  <c r="G56" s="1"/>
  <c r="BT55"/>
  <c r="BS55"/>
  <c r="BR55"/>
  <c r="BQ55"/>
  <c r="BP55"/>
  <c r="BO55"/>
  <c r="BN55"/>
  <c r="BM55"/>
  <c r="BK55"/>
  <c r="BJ55"/>
  <c r="BI55"/>
  <c r="BH55"/>
  <c r="BG55"/>
  <c r="BF55"/>
  <c r="BE55"/>
  <c r="BD55"/>
  <c r="BC55"/>
  <c r="BB55"/>
  <c r="BA55"/>
  <c r="AX55"/>
  <c r="AW55"/>
  <c r="AV55"/>
  <c r="AC55"/>
  <c r="H55"/>
  <c r="G55" s="1"/>
  <c r="BT54"/>
  <c r="BS54"/>
  <c r="BR54"/>
  <c r="BQ54"/>
  <c r="BP54"/>
  <c r="BO54"/>
  <c r="BN54"/>
  <c r="BM54"/>
  <c r="BK54"/>
  <c r="BJ54"/>
  <c r="BI54"/>
  <c r="BH54"/>
  <c r="BG54"/>
  <c r="BF54"/>
  <c r="BE54"/>
  <c r="BD54"/>
  <c r="BC54"/>
  <c r="BB54"/>
  <c r="BA54" s="1"/>
  <c r="AX54"/>
  <c r="AW54"/>
  <c r="AV54"/>
  <c r="AC54"/>
  <c r="H54"/>
  <c r="BT53"/>
  <c r="BS53"/>
  <c r="BR53"/>
  <c r="BQ53"/>
  <c r="BP53"/>
  <c r="BO53"/>
  <c r="BN53"/>
  <c r="BM53"/>
  <c r="BK53"/>
  <c r="BJ53"/>
  <c r="BI53"/>
  <c r="BH53"/>
  <c r="BG53"/>
  <c r="BF53"/>
  <c r="BE53"/>
  <c r="BD53"/>
  <c r="BC53"/>
  <c r="BB53"/>
  <c r="AX53"/>
  <c r="AW53"/>
  <c r="AV53"/>
  <c r="AC53"/>
  <c r="H53"/>
  <c r="BT52"/>
  <c r="BS52"/>
  <c r="BR52"/>
  <c r="BQ52"/>
  <c r="BP52"/>
  <c r="BO52"/>
  <c r="BN52"/>
  <c r="BL52" s="1"/>
  <c r="BM52"/>
  <c r="BK52"/>
  <c r="BJ52"/>
  <c r="BI52"/>
  <c r="BH52"/>
  <c r="BG52"/>
  <c r="BF52"/>
  <c r="BE52"/>
  <c r="BD52"/>
  <c r="BC52"/>
  <c r="BB52"/>
  <c r="AX52"/>
  <c r="AW52"/>
  <c r="AV52"/>
  <c r="AC52"/>
  <c r="G52" s="1"/>
  <c r="H52"/>
  <c r="BT51"/>
  <c r="BS51"/>
  <c r="BR51"/>
  <c r="BQ51"/>
  <c r="BP51"/>
  <c r="BO51"/>
  <c r="BN51"/>
  <c r="BM51"/>
  <c r="BK51"/>
  <c r="BJ51"/>
  <c r="BI51"/>
  <c r="BH51"/>
  <c r="BG51"/>
  <c r="BF51"/>
  <c r="BE51"/>
  <c r="BD51"/>
  <c r="BC51"/>
  <c r="BB51"/>
  <c r="BA51" s="1"/>
  <c r="AX51"/>
  <c r="AW51"/>
  <c r="AV51"/>
  <c r="AC51"/>
  <c r="H51"/>
  <c r="G51"/>
  <c r="BT50"/>
  <c r="BS50"/>
  <c r="BR50"/>
  <c r="BQ50"/>
  <c r="BP50"/>
  <c r="BO50"/>
  <c r="BN50"/>
  <c r="BM50"/>
  <c r="BL50" s="1"/>
  <c r="BK50"/>
  <c r="BJ50"/>
  <c r="BI50"/>
  <c r="BH50"/>
  <c r="BG50"/>
  <c r="BF50"/>
  <c r="BE50"/>
  <c r="BD50"/>
  <c r="BC50"/>
  <c r="BB50"/>
  <c r="AX50"/>
  <c r="AW50"/>
  <c r="AV50"/>
  <c r="AC50"/>
  <c r="H50"/>
  <c r="G50" s="1"/>
  <c r="BT49"/>
  <c r="BS49"/>
  <c r="BR49"/>
  <c r="BQ49"/>
  <c r="BP49"/>
  <c r="BO49"/>
  <c r="BN49"/>
  <c r="BM49"/>
  <c r="BK49"/>
  <c r="BJ49"/>
  <c r="BI49"/>
  <c r="BH49"/>
  <c r="BG49"/>
  <c r="BF49"/>
  <c r="BE49"/>
  <c r="BD49"/>
  <c r="BC49"/>
  <c r="BB49"/>
  <c r="BA49"/>
  <c r="AX49"/>
  <c r="AW49"/>
  <c r="AV49"/>
  <c r="AC49"/>
  <c r="H49"/>
  <c r="BT48"/>
  <c r="BS48"/>
  <c r="BR48"/>
  <c r="BQ48"/>
  <c r="BP48"/>
  <c r="BO48"/>
  <c r="BN48"/>
  <c r="BM48"/>
  <c r="BL48" s="1"/>
  <c r="BK48"/>
  <c r="BJ48"/>
  <c r="BI48"/>
  <c r="BH48"/>
  <c r="BG48"/>
  <c r="BF48"/>
  <c r="BE48"/>
  <c r="BD48"/>
  <c r="BC48"/>
  <c r="BB48"/>
  <c r="BA48" s="1"/>
  <c r="AX48"/>
  <c r="AW48"/>
  <c r="AV48"/>
  <c r="AC48"/>
  <c r="H48"/>
  <c r="G48" s="1"/>
  <c r="BT47"/>
  <c r="BS47"/>
  <c r="BR47"/>
  <c r="BQ47"/>
  <c r="BP47"/>
  <c r="BO47"/>
  <c r="BN47"/>
  <c r="BM47"/>
  <c r="BK47"/>
  <c r="BJ47"/>
  <c r="BI47"/>
  <c r="BH47"/>
  <c r="BG47"/>
  <c r="BF47"/>
  <c r="BE47"/>
  <c r="BD47"/>
  <c r="BC47"/>
  <c r="BB47"/>
  <c r="BA47" s="1"/>
  <c r="AX47"/>
  <c r="AW47"/>
  <c r="AV47"/>
  <c r="AC47"/>
  <c r="G47" s="1"/>
  <c r="H47"/>
  <c r="BT46"/>
  <c r="BS46"/>
  <c r="BR46"/>
  <c r="BQ46"/>
  <c r="BP46"/>
  <c r="BO46"/>
  <c r="BN46"/>
  <c r="BM46"/>
  <c r="BK46"/>
  <c r="BJ46"/>
  <c r="BI46"/>
  <c r="BH46"/>
  <c r="BG46"/>
  <c r="BF46"/>
  <c r="BE46"/>
  <c r="BD46"/>
  <c r="BC46"/>
  <c r="BB46"/>
  <c r="BA46" s="1"/>
  <c r="AX46"/>
  <c r="AW46"/>
  <c r="AV46"/>
  <c r="AC46"/>
  <c r="H46"/>
  <c r="G46" s="1"/>
  <c r="BT45"/>
  <c r="BS45"/>
  <c r="BR45"/>
  <c r="BQ45"/>
  <c r="BP45"/>
  <c r="BO45"/>
  <c r="BN45"/>
  <c r="BM45"/>
  <c r="BL45"/>
  <c r="BK45"/>
  <c r="BJ45"/>
  <c r="BI45"/>
  <c r="BH45"/>
  <c r="BG45"/>
  <c r="BF45"/>
  <c r="BE45"/>
  <c r="BD45"/>
  <c r="BC45"/>
  <c r="BB45"/>
  <c r="AX45"/>
  <c r="AW45"/>
  <c r="AV45"/>
  <c r="AC45"/>
  <c r="H45"/>
  <c r="G45" s="1"/>
  <c r="BT44"/>
  <c r="BS44"/>
  <c r="BR44"/>
  <c r="BQ44"/>
  <c r="BP44"/>
  <c r="BO44"/>
  <c r="BN44"/>
  <c r="BM44"/>
  <c r="BL44"/>
  <c r="BK44"/>
  <c r="BJ44"/>
  <c r="BI44"/>
  <c r="BH44"/>
  <c r="BG44"/>
  <c r="BF44"/>
  <c r="BE44"/>
  <c r="BD44"/>
  <c r="BC44"/>
  <c r="BB44"/>
  <c r="AX44"/>
  <c r="AW44"/>
  <c r="AV44"/>
  <c r="AC44"/>
  <c r="H44"/>
  <c r="G44" s="1"/>
  <c r="BT43"/>
  <c r="BS43"/>
  <c r="BR43"/>
  <c r="BQ43"/>
  <c r="BP43"/>
  <c r="BO43"/>
  <c r="BN43"/>
  <c r="BM43"/>
  <c r="BK43"/>
  <c r="BJ43"/>
  <c r="BI43"/>
  <c r="BH43"/>
  <c r="BG43"/>
  <c r="BF43"/>
  <c r="BE43"/>
  <c r="BD43"/>
  <c r="BC43"/>
  <c r="BB43"/>
  <c r="AX43"/>
  <c r="AW43"/>
  <c r="AV43"/>
  <c r="AC43"/>
  <c r="H43"/>
  <c r="G43" s="1"/>
  <c r="BT42"/>
  <c r="BS42"/>
  <c r="BR42"/>
  <c r="BQ42"/>
  <c r="BP42"/>
  <c r="BO42"/>
  <c r="BN42"/>
  <c r="BM42"/>
  <c r="BL42" s="1"/>
  <c r="BK42"/>
  <c r="BJ42"/>
  <c r="BI42"/>
  <c r="BH42"/>
  <c r="BG42"/>
  <c r="BF42"/>
  <c r="BE42"/>
  <c r="BD42"/>
  <c r="BC42"/>
  <c r="BB42"/>
  <c r="AX42"/>
  <c r="AW42"/>
  <c r="AV42"/>
  <c r="AC42"/>
  <c r="H42"/>
  <c r="G42" s="1"/>
  <c r="BT41"/>
  <c r="BS41"/>
  <c r="BR41"/>
  <c r="BQ41"/>
  <c r="BP41"/>
  <c r="BO41"/>
  <c r="BN41"/>
  <c r="BM41"/>
  <c r="BL41" s="1"/>
  <c r="BK41"/>
  <c r="BJ41"/>
  <c r="BI41"/>
  <c r="BH41"/>
  <c r="BG41"/>
  <c r="BF41"/>
  <c r="BE41"/>
  <c r="BD41"/>
  <c r="BC41"/>
  <c r="BB41"/>
  <c r="AX41"/>
  <c r="AW41"/>
  <c r="AV41"/>
  <c r="AC41"/>
  <c r="H41"/>
  <c r="G41" s="1"/>
  <c r="BT40"/>
  <c r="BS40"/>
  <c r="BR40"/>
  <c r="BQ40"/>
  <c r="BP40"/>
  <c r="BO40"/>
  <c r="BN40"/>
  <c r="BM40"/>
  <c r="BL40" s="1"/>
  <c r="BK40"/>
  <c r="BJ40"/>
  <c r="BI40"/>
  <c r="BH40"/>
  <c r="BG40"/>
  <c r="BF40"/>
  <c r="BE40"/>
  <c r="BD40"/>
  <c r="BC40"/>
  <c r="BB40"/>
  <c r="AX40"/>
  <c r="AW40"/>
  <c r="AV40"/>
  <c r="AC40"/>
  <c r="H40"/>
  <c r="G40" s="1"/>
  <c r="BT39"/>
  <c r="BS39"/>
  <c r="BR39"/>
  <c r="BQ39"/>
  <c r="BP39"/>
  <c r="BO39"/>
  <c r="BN39"/>
  <c r="BM39"/>
  <c r="BK39"/>
  <c r="BJ39"/>
  <c r="BI39"/>
  <c r="BH39"/>
  <c r="BG39"/>
  <c r="BF39"/>
  <c r="BE39"/>
  <c r="BD39"/>
  <c r="BC39"/>
  <c r="BB39"/>
  <c r="BA39"/>
  <c r="AX39"/>
  <c r="AW39"/>
  <c r="AV39"/>
  <c r="AC39"/>
  <c r="H39"/>
  <c r="G39" s="1"/>
  <c r="BT38"/>
  <c r="BS38"/>
  <c r="BR38"/>
  <c r="BQ38"/>
  <c r="BP38"/>
  <c r="BO38"/>
  <c r="BN38"/>
  <c r="BM38"/>
  <c r="BK38"/>
  <c r="BJ38"/>
  <c r="BI38"/>
  <c r="BH38"/>
  <c r="BG38"/>
  <c r="BF38"/>
  <c r="BE38"/>
  <c r="BD38"/>
  <c r="BC38"/>
  <c r="BB38"/>
  <c r="BA38" s="1"/>
  <c r="AX38"/>
  <c r="AW38"/>
  <c r="AV38"/>
  <c r="AC38"/>
  <c r="H38"/>
  <c r="BT37"/>
  <c r="BS37"/>
  <c r="BR37"/>
  <c r="BQ37"/>
  <c r="BP37"/>
  <c r="BO37"/>
  <c r="BN37"/>
  <c r="BL37" s="1"/>
  <c r="BM37"/>
  <c r="BK37"/>
  <c r="BJ37"/>
  <c r="BI37"/>
  <c r="BH37"/>
  <c r="BG37"/>
  <c r="BF37"/>
  <c r="BE37"/>
  <c r="BD37"/>
  <c r="BC37"/>
  <c r="BB37"/>
  <c r="AX37"/>
  <c r="AW37"/>
  <c r="AV37"/>
  <c r="AC37"/>
  <c r="H37"/>
  <c r="BT36"/>
  <c r="BS36"/>
  <c r="BR36"/>
  <c r="BQ36"/>
  <c r="BP36"/>
  <c r="BO36"/>
  <c r="BN36"/>
  <c r="BM36"/>
  <c r="BK36"/>
  <c r="BJ36"/>
  <c r="BI36"/>
  <c r="BH36"/>
  <c r="BG36"/>
  <c r="BF36"/>
  <c r="BE36"/>
  <c r="BD36"/>
  <c r="BC36"/>
  <c r="BB36"/>
  <c r="AX36"/>
  <c r="AW36"/>
  <c r="AV36"/>
  <c r="AC36"/>
  <c r="G36" s="1"/>
  <c r="H36"/>
  <c r="BT35"/>
  <c r="BS35"/>
  <c r="BR35"/>
  <c r="BQ35"/>
  <c r="BP35"/>
  <c r="BO35"/>
  <c r="BN35"/>
  <c r="BM35"/>
  <c r="BK35"/>
  <c r="BJ35"/>
  <c r="BI35"/>
  <c r="BH35"/>
  <c r="BG35"/>
  <c r="BF35"/>
  <c r="BE35"/>
  <c r="BD35"/>
  <c r="BC35"/>
  <c r="BB35"/>
  <c r="BA35" s="1"/>
  <c r="AX35"/>
  <c r="AW35"/>
  <c r="AV35"/>
  <c r="AC35"/>
  <c r="H35"/>
  <c r="G35"/>
  <c r="BT34"/>
  <c r="BS34"/>
  <c r="BR34"/>
  <c r="BQ34"/>
  <c r="BP34"/>
  <c r="BO34"/>
  <c r="BN34"/>
  <c r="BM34"/>
  <c r="BL34" s="1"/>
  <c r="BK34"/>
  <c r="BJ34"/>
  <c r="BI34"/>
  <c r="BH34"/>
  <c r="BG34"/>
  <c r="BF34"/>
  <c r="BE34"/>
  <c r="BD34"/>
  <c r="BC34"/>
  <c r="BB34"/>
  <c r="AX34"/>
  <c r="AW34"/>
  <c r="AV34"/>
  <c r="AC34"/>
  <c r="H34"/>
  <c r="G34" s="1"/>
  <c r="BT33"/>
  <c r="BS33"/>
  <c r="BR33"/>
  <c r="BQ33"/>
  <c r="BP33"/>
  <c r="BO33"/>
  <c r="BN33"/>
  <c r="BM33"/>
  <c r="BL33" s="1"/>
  <c r="BK33"/>
  <c r="BJ33"/>
  <c r="BI33"/>
  <c r="BH33"/>
  <c r="BG33"/>
  <c r="BF33"/>
  <c r="BE33"/>
  <c r="BD33"/>
  <c r="BC33"/>
  <c r="BB33"/>
  <c r="AX33"/>
  <c r="AW33"/>
  <c r="AV33"/>
  <c r="AC33"/>
  <c r="H33"/>
  <c r="G33" s="1"/>
  <c r="BT32"/>
  <c r="BS32"/>
  <c r="BR32"/>
  <c r="BQ32"/>
  <c r="BP32"/>
  <c r="BO32"/>
  <c r="BN32"/>
  <c r="BM32"/>
  <c r="BL32" s="1"/>
  <c r="BK32"/>
  <c r="BJ32"/>
  <c r="BI32"/>
  <c r="BH32"/>
  <c r="BG32"/>
  <c r="BF32"/>
  <c r="BE32"/>
  <c r="BD32"/>
  <c r="BC32"/>
  <c r="BB32"/>
  <c r="AX32"/>
  <c r="AW32"/>
  <c r="AV32"/>
  <c r="AC32"/>
  <c r="H32"/>
  <c r="G32" s="1"/>
  <c r="BT31"/>
  <c r="BS31"/>
  <c r="BR31"/>
  <c r="BQ31"/>
  <c r="BP31"/>
  <c r="BO31"/>
  <c r="BN31"/>
  <c r="BM31"/>
  <c r="BL31" s="1"/>
  <c r="BK31"/>
  <c r="BJ31"/>
  <c r="BI31"/>
  <c r="BH31"/>
  <c r="BG31"/>
  <c r="BF31"/>
  <c r="BE31"/>
  <c r="BD31"/>
  <c r="BC31"/>
  <c r="BB31"/>
  <c r="AX31"/>
  <c r="AW31"/>
  <c r="AV31"/>
  <c r="AC31"/>
  <c r="H31"/>
  <c r="G31" s="1"/>
  <c r="BT30"/>
  <c r="BS30"/>
  <c r="BR30"/>
  <c r="BQ30"/>
  <c r="BP30"/>
  <c r="BO30"/>
  <c r="BN30"/>
  <c r="BM30"/>
  <c r="BL30" s="1"/>
  <c r="BK30"/>
  <c r="BJ30"/>
  <c r="BI30"/>
  <c r="BH30"/>
  <c r="BG30"/>
  <c r="BF30"/>
  <c r="BE30"/>
  <c r="BD30"/>
  <c r="BC30"/>
  <c r="BB30"/>
  <c r="AX30"/>
  <c r="AW30"/>
  <c r="AV30"/>
  <c r="AC30"/>
  <c r="H30"/>
  <c r="G30" s="1"/>
  <c r="BT29"/>
  <c r="BS29"/>
  <c r="BR29"/>
  <c r="BQ29"/>
  <c r="BP29"/>
  <c r="BO29"/>
  <c r="BN29"/>
  <c r="BM29"/>
  <c r="BK29"/>
  <c r="BJ29"/>
  <c r="BI29"/>
  <c r="BH29"/>
  <c r="BG29"/>
  <c r="BF29"/>
  <c r="BE29"/>
  <c r="BD29"/>
  <c r="BC29"/>
  <c r="BB29"/>
  <c r="BA29"/>
  <c r="AX29"/>
  <c r="AW29"/>
  <c r="AV29"/>
  <c r="AC29"/>
  <c r="H29"/>
  <c r="G29" s="1"/>
  <c r="BT28"/>
  <c r="BS28"/>
  <c r="BR28"/>
  <c r="BQ28"/>
  <c r="BP28"/>
  <c r="BO28"/>
  <c r="BN28"/>
  <c r="BM28"/>
  <c r="BK28"/>
  <c r="BJ28"/>
  <c r="BI28"/>
  <c r="BH28"/>
  <c r="BG28"/>
  <c r="BF28"/>
  <c r="BE28"/>
  <c r="BD28"/>
  <c r="BC28"/>
  <c r="BB28"/>
  <c r="BA28" s="1"/>
  <c r="AX28"/>
  <c r="AW28"/>
  <c r="AV28"/>
  <c r="AC28"/>
  <c r="G28" s="1"/>
  <c r="H28"/>
  <c r="BT27"/>
  <c r="BS27"/>
  <c r="BR27"/>
  <c r="BQ27"/>
  <c r="BP27"/>
  <c r="BO27"/>
  <c r="BN27"/>
  <c r="BM27"/>
  <c r="BK27"/>
  <c r="BJ27"/>
  <c r="BI27"/>
  <c r="BH27"/>
  <c r="BG27"/>
  <c r="BF27"/>
  <c r="BE27"/>
  <c r="BD27"/>
  <c r="BC27"/>
  <c r="BB27"/>
  <c r="AX27"/>
  <c r="AW27"/>
  <c r="AV27"/>
  <c r="AC27"/>
  <c r="H27"/>
  <c r="G27" s="1"/>
  <c r="BT26"/>
  <c r="BS26"/>
  <c r="BR26"/>
  <c r="BQ26"/>
  <c r="BP26"/>
  <c r="BO26"/>
  <c r="BN26"/>
  <c r="BM26"/>
  <c r="BL26"/>
  <c r="BK26"/>
  <c r="BJ26"/>
  <c r="BI26"/>
  <c r="BH26"/>
  <c r="BG26"/>
  <c r="BF26"/>
  <c r="BE26"/>
  <c r="BD26"/>
  <c r="BC26"/>
  <c r="BB26"/>
  <c r="AX26"/>
  <c r="AW26"/>
  <c r="AV26"/>
  <c r="AC26"/>
  <c r="H26"/>
  <c r="G26" s="1"/>
  <c r="BT25"/>
  <c r="BS25"/>
  <c r="BR25"/>
  <c r="BQ25"/>
  <c r="BP25"/>
  <c r="BO25"/>
  <c r="BN25"/>
  <c r="BM25"/>
  <c r="BL25"/>
  <c r="BK25"/>
  <c r="BJ25"/>
  <c r="BI25"/>
  <c r="BH25"/>
  <c r="BG25"/>
  <c r="BF25"/>
  <c r="BE25"/>
  <c r="BD25"/>
  <c r="BC25"/>
  <c r="BB25"/>
  <c r="AX25"/>
  <c r="AW25"/>
  <c r="AV25"/>
  <c r="AC25"/>
  <c r="H25"/>
  <c r="G25"/>
  <c r="BT24"/>
  <c r="BS24"/>
  <c r="BR24"/>
  <c r="BQ24"/>
  <c r="BP24"/>
  <c r="BO24"/>
  <c r="BN24"/>
  <c r="BM24"/>
  <c r="BL24" s="1"/>
  <c r="BK24"/>
  <c r="BJ24"/>
  <c r="BI24"/>
  <c r="BH24"/>
  <c r="BG24"/>
  <c r="BF24"/>
  <c r="BE24"/>
  <c r="BD24"/>
  <c r="BC24"/>
  <c r="BA24" s="1"/>
  <c r="BB24"/>
  <c r="AX24"/>
  <c r="AW24"/>
  <c r="AV24"/>
  <c r="AC24"/>
  <c r="H24"/>
  <c r="G24" s="1"/>
  <c r="BT23"/>
  <c r="BS23"/>
  <c r="BR23"/>
  <c r="BQ23"/>
  <c r="BP23"/>
  <c r="BO23"/>
  <c r="BN23"/>
  <c r="BM23"/>
  <c r="BK23"/>
  <c r="BJ23"/>
  <c r="BI23"/>
  <c r="BH23"/>
  <c r="BG23"/>
  <c r="BF23"/>
  <c r="BE23"/>
  <c r="BD23"/>
  <c r="BC23"/>
  <c r="BB23"/>
  <c r="BA23"/>
  <c r="AX23"/>
  <c r="AW23"/>
  <c r="AV23"/>
  <c r="AC23"/>
  <c r="H23"/>
  <c r="BT22"/>
  <c r="BS22"/>
  <c r="BR22"/>
  <c r="BQ22"/>
  <c r="BP22"/>
  <c r="BO22"/>
  <c r="BN22"/>
  <c r="BM22"/>
  <c r="BL22" s="1"/>
  <c r="BK22"/>
  <c r="BJ22"/>
  <c r="BI22"/>
  <c r="BH22"/>
  <c r="BG22"/>
  <c r="BF22"/>
  <c r="BE22"/>
  <c r="BD22"/>
  <c r="BC22"/>
  <c r="BB22"/>
  <c r="BA22" s="1"/>
  <c r="AZ22" s="1"/>
  <c r="AX22"/>
  <c r="AW22"/>
  <c r="AV22"/>
  <c r="AC22"/>
  <c r="H22"/>
  <c r="BT21"/>
  <c r="BS21"/>
  <c r="BR21"/>
  <c r="BQ21"/>
  <c r="BP21"/>
  <c r="BO21"/>
  <c r="BN21"/>
  <c r="BM21"/>
  <c r="BK21"/>
  <c r="BJ21"/>
  <c r="BI21"/>
  <c r="BH21"/>
  <c r="BG21"/>
  <c r="BF21"/>
  <c r="BE21"/>
  <c r="BD21"/>
  <c r="BC21"/>
  <c r="BB21"/>
  <c r="BA21" s="1"/>
  <c r="AX21"/>
  <c r="AW21"/>
  <c r="AV21"/>
  <c r="AC21"/>
  <c r="G21" s="1"/>
  <c r="H21"/>
  <c r="BT20"/>
  <c r="BS20"/>
  <c r="BR20"/>
  <c r="BQ20"/>
  <c r="BP20"/>
  <c r="BO20"/>
  <c r="BN20"/>
  <c r="BM20"/>
  <c r="BK20"/>
  <c r="BJ20"/>
  <c r="BI20"/>
  <c r="BH20"/>
  <c r="BG20"/>
  <c r="BF20"/>
  <c r="BE20"/>
  <c r="BD20"/>
  <c r="BC20"/>
  <c r="BB20"/>
  <c r="AX20"/>
  <c r="AW20"/>
  <c r="AV20"/>
  <c r="AC20"/>
  <c r="H20"/>
  <c r="G20"/>
  <c r="BT19"/>
  <c r="BS19"/>
  <c r="BR19"/>
  <c r="BQ19"/>
  <c r="BP19"/>
  <c r="BO19"/>
  <c r="BN19"/>
  <c r="BM19"/>
  <c r="BL19" s="1"/>
  <c r="BK19"/>
  <c r="BJ19"/>
  <c r="BI19"/>
  <c r="BH19"/>
  <c r="BG19"/>
  <c r="BF19"/>
  <c r="BE19"/>
  <c r="BD19"/>
  <c r="BC19"/>
  <c r="BB19"/>
  <c r="AX19"/>
  <c r="AW19"/>
  <c r="AV19"/>
  <c r="AC19"/>
  <c r="H19"/>
  <c r="G19" s="1"/>
  <c r="BT18"/>
  <c r="BS18"/>
  <c r="BR18"/>
  <c r="BQ18"/>
  <c r="BP18"/>
  <c r="BO18"/>
  <c r="BN18"/>
  <c r="BM18"/>
  <c r="BK18"/>
  <c r="BJ18"/>
  <c r="BI18"/>
  <c r="BH18"/>
  <c r="BG18"/>
  <c r="BF18"/>
  <c r="BE18"/>
  <c r="BD18"/>
  <c r="BC18"/>
  <c r="BB18"/>
  <c r="BA18"/>
  <c r="AX18"/>
  <c r="AW18"/>
  <c r="AV18"/>
  <c r="AC18"/>
  <c r="H18"/>
  <c r="BT207"/>
  <c r="BS207"/>
  <c r="BR207"/>
  <c r="BQ207"/>
  <c r="BP207"/>
  <c r="BO207"/>
  <c r="BN207"/>
  <c r="BM207"/>
  <c r="BL207" s="1"/>
  <c r="BK207"/>
  <c r="BJ207"/>
  <c r="BI207"/>
  <c r="BH207"/>
  <c r="BG207"/>
  <c r="BF207"/>
  <c r="BE207"/>
  <c r="BD207"/>
  <c r="BC207"/>
  <c r="BB207"/>
  <c r="BA207" s="1"/>
  <c r="AX207"/>
  <c r="AW207"/>
  <c r="AV207"/>
  <c r="AC207"/>
  <c r="H207"/>
  <c r="BT206"/>
  <c r="BS206"/>
  <c r="BR206"/>
  <c r="BQ206"/>
  <c r="BP206"/>
  <c r="BO206"/>
  <c r="BN206"/>
  <c r="BM206"/>
  <c r="BK206"/>
  <c r="BJ206"/>
  <c r="BI206"/>
  <c r="BH206"/>
  <c r="BG206"/>
  <c r="BF206"/>
  <c r="BE206"/>
  <c r="BD206"/>
  <c r="BC206"/>
  <c r="BB206"/>
  <c r="BA206" s="1"/>
  <c r="AX206"/>
  <c r="AW206"/>
  <c r="AV206"/>
  <c r="AC206"/>
  <c r="G206" s="1"/>
  <c r="H206"/>
  <c r="BT205"/>
  <c r="BS205"/>
  <c r="BR205"/>
  <c r="BQ205"/>
  <c r="BP205"/>
  <c r="BO205"/>
  <c r="BN205"/>
  <c r="BM205"/>
  <c r="BK205"/>
  <c r="BJ205"/>
  <c r="BI205"/>
  <c r="BH205"/>
  <c r="BG205"/>
  <c r="BF205"/>
  <c r="BE205"/>
  <c r="BD205"/>
  <c r="BC205"/>
  <c r="BB205"/>
  <c r="BA205" s="1"/>
  <c r="AX205"/>
  <c r="AW205"/>
  <c r="AV205"/>
  <c r="AC205"/>
  <c r="H205"/>
  <c r="G205" s="1"/>
  <c r="BT204"/>
  <c r="BS204"/>
  <c r="BR204"/>
  <c r="BQ204"/>
  <c r="BP204"/>
  <c r="BO204"/>
  <c r="BN204"/>
  <c r="BM204"/>
  <c r="BK204"/>
  <c r="BJ204"/>
  <c r="BI204"/>
  <c r="BH204"/>
  <c r="BG204"/>
  <c r="BF204"/>
  <c r="BE204"/>
  <c r="BD204"/>
  <c r="BC204"/>
  <c r="BB204"/>
  <c r="AX204"/>
  <c r="AW204"/>
  <c r="AV204"/>
  <c r="AC204"/>
  <c r="H204"/>
  <c r="G204"/>
  <c r="BT203"/>
  <c r="BS203"/>
  <c r="BR203"/>
  <c r="BQ203"/>
  <c r="BP203"/>
  <c r="BO203"/>
  <c r="BN203"/>
  <c r="BM203"/>
  <c r="BL203" s="1"/>
  <c r="BK203"/>
  <c r="BJ203"/>
  <c r="BI203"/>
  <c r="BH203"/>
  <c r="BG203"/>
  <c r="BF203"/>
  <c r="BE203"/>
  <c r="BD203"/>
  <c r="BC203"/>
  <c r="BB203"/>
  <c r="AX203"/>
  <c r="AW203"/>
  <c r="AV203"/>
  <c r="AC203"/>
  <c r="H203"/>
  <c r="G203" s="1"/>
  <c r="BT202"/>
  <c r="BS202"/>
  <c r="BR202"/>
  <c r="BQ202"/>
  <c r="BP202"/>
  <c r="BO202"/>
  <c r="BN202"/>
  <c r="BM202"/>
  <c r="BL202"/>
  <c r="BK202"/>
  <c r="BJ202"/>
  <c r="BI202"/>
  <c r="BH202"/>
  <c r="BG202"/>
  <c r="BF202"/>
  <c r="BE202"/>
  <c r="BD202"/>
  <c r="BC202"/>
  <c r="BB202"/>
  <c r="AX202"/>
  <c r="AW202"/>
  <c r="AV202"/>
  <c r="AC202"/>
  <c r="H202"/>
  <c r="G202" s="1"/>
  <c r="BT201"/>
  <c r="BS201"/>
  <c r="BR201"/>
  <c r="BQ201"/>
  <c r="BP201"/>
  <c r="BO201"/>
  <c r="BN201"/>
  <c r="BM201"/>
  <c r="BL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AX200"/>
  <c r="AW200"/>
  <c r="AV200"/>
  <c r="AC200"/>
  <c r="H200"/>
  <c r="G200"/>
  <c r="BT199"/>
  <c r="BS199"/>
  <c r="BR199"/>
  <c r="BQ199"/>
  <c r="BP199"/>
  <c r="BO199"/>
  <c r="BN199"/>
  <c r="BM199"/>
  <c r="BL199" s="1"/>
  <c r="BK199"/>
  <c r="BJ199"/>
  <c r="BI199"/>
  <c r="BH199"/>
  <c r="BG199"/>
  <c r="BF199"/>
  <c r="BE199"/>
  <c r="BD199"/>
  <c r="BC199"/>
  <c r="BB199"/>
  <c r="AX199"/>
  <c r="AW199"/>
  <c r="AV199"/>
  <c r="AC199"/>
  <c r="H199"/>
  <c r="G199" s="1"/>
  <c r="BT198"/>
  <c r="BS198"/>
  <c r="BR198"/>
  <c r="BQ198"/>
  <c r="BP198"/>
  <c r="BO198"/>
  <c r="BN198"/>
  <c r="BM198"/>
  <c r="BL198"/>
  <c r="BK198"/>
  <c r="BJ198"/>
  <c r="BI198"/>
  <c r="BH198"/>
  <c r="BG198"/>
  <c r="BF198"/>
  <c r="BE198"/>
  <c r="BD198"/>
  <c r="BC198"/>
  <c r="BB198"/>
  <c r="AX198"/>
  <c r="AW198"/>
  <c r="AV198"/>
  <c r="AC198"/>
  <c r="H198"/>
  <c r="G198" s="1"/>
  <c r="BT197"/>
  <c r="BS197"/>
  <c r="BR197"/>
  <c r="BQ197"/>
  <c r="BP197"/>
  <c r="BO197"/>
  <c r="BN197"/>
  <c r="BM197"/>
  <c r="BL197"/>
  <c r="BK197"/>
  <c r="BJ197"/>
  <c r="BI197"/>
  <c r="BH197"/>
  <c r="BG197"/>
  <c r="BF197"/>
  <c r="BE197"/>
  <c r="BD197"/>
  <c r="BC197"/>
  <c r="BB197"/>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L195" s="1"/>
  <c r="BN195"/>
  <c r="BM195"/>
  <c r="BK195"/>
  <c r="BJ195"/>
  <c r="BI195"/>
  <c r="BH195"/>
  <c r="BG195"/>
  <c r="BF195"/>
  <c r="BE195"/>
  <c r="BD195"/>
  <c r="BC195"/>
  <c r="BB195"/>
  <c r="AX195"/>
  <c r="AW195"/>
  <c r="AV195"/>
  <c r="AC195"/>
  <c r="H195"/>
  <c r="G195"/>
  <c r="BT194"/>
  <c r="BS194"/>
  <c r="BR194"/>
  <c r="BQ194"/>
  <c r="BP194"/>
  <c r="BO194"/>
  <c r="BN194"/>
  <c r="BM194"/>
  <c r="BK194"/>
  <c r="BJ194"/>
  <c r="BI194"/>
  <c r="BH194"/>
  <c r="BG194"/>
  <c r="BF194"/>
  <c r="BE194"/>
  <c r="BD194"/>
  <c r="BC194"/>
  <c r="BB194"/>
  <c r="BA194" s="1"/>
  <c r="AX194"/>
  <c r="AW194"/>
  <c r="AV194"/>
  <c r="AC194"/>
  <c r="H194"/>
  <c r="G194"/>
  <c r="BT193"/>
  <c r="BS193"/>
  <c r="BR193"/>
  <c r="BQ193"/>
  <c r="BP193"/>
  <c r="BO193"/>
  <c r="BN193"/>
  <c r="BM193"/>
  <c r="BL193" s="1"/>
  <c r="BK193"/>
  <c r="BJ193"/>
  <c r="BI193"/>
  <c r="BH193"/>
  <c r="BG193"/>
  <c r="BF193"/>
  <c r="BE193"/>
  <c r="BD193"/>
  <c r="BA193" s="1"/>
  <c r="BC193"/>
  <c r="BB193"/>
  <c r="AX193"/>
  <c r="AW193"/>
  <c r="AV193"/>
  <c r="AC193"/>
  <c r="H193"/>
  <c r="BT192"/>
  <c r="BS192"/>
  <c r="BR192"/>
  <c r="BQ192"/>
  <c r="BP192"/>
  <c r="BO192"/>
  <c r="BN192"/>
  <c r="BM192"/>
  <c r="BK192"/>
  <c r="BJ192"/>
  <c r="BI192"/>
  <c r="BH192"/>
  <c r="BG192"/>
  <c r="BF192"/>
  <c r="BE192"/>
  <c r="BD192"/>
  <c r="BC192"/>
  <c r="BB192"/>
  <c r="AX192"/>
  <c r="AW192"/>
  <c r="AV192"/>
  <c r="AC192"/>
  <c r="H192"/>
  <c r="G192" s="1"/>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A190" s="1"/>
  <c r="BC190"/>
  <c r="BB190"/>
  <c r="AX190"/>
  <c r="AW190"/>
  <c r="AV190"/>
  <c r="AC190"/>
  <c r="H190"/>
  <c r="G190" s="1"/>
  <c r="BT189"/>
  <c r="BS189"/>
  <c r="BR189"/>
  <c r="BQ189"/>
  <c r="BP189"/>
  <c r="BO189"/>
  <c r="BN189"/>
  <c r="BM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c r="AX188"/>
  <c r="AW188"/>
  <c r="AV188"/>
  <c r="AC188"/>
  <c r="H188"/>
  <c r="G188" s="1"/>
  <c r="BT187"/>
  <c r="BS187"/>
  <c r="BR187"/>
  <c r="BQ187"/>
  <c r="BP187"/>
  <c r="BO187"/>
  <c r="BN187"/>
  <c r="BM187"/>
  <c r="BK187"/>
  <c r="BJ187"/>
  <c r="BI187"/>
  <c r="BH187"/>
  <c r="BG187"/>
  <c r="BF187"/>
  <c r="BE187"/>
  <c r="BD187"/>
  <c r="BC187"/>
  <c r="BB187"/>
  <c r="AX187"/>
  <c r="AW187"/>
  <c r="AV187"/>
  <c r="AC187"/>
  <c r="H187"/>
  <c r="BT186"/>
  <c r="BS186"/>
  <c r="BR186"/>
  <c r="BQ186"/>
  <c r="BP186"/>
  <c r="BO186"/>
  <c r="BN186"/>
  <c r="BM186"/>
  <c r="BL186" s="1"/>
  <c r="BK186"/>
  <c r="BJ186"/>
  <c r="BI186"/>
  <c r="BH186"/>
  <c r="BG186"/>
  <c r="BF186"/>
  <c r="BE186"/>
  <c r="BD186"/>
  <c r="BC186"/>
  <c r="BB186"/>
  <c r="BA186" s="1"/>
  <c r="AX186"/>
  <c r="AW186"/>
  <c r="AV186"/>
  <c r="AC186"/>
  <c r="H186"/>
  <c r="BT185"/>
  <c r="BS185"/>
  <c r="BR185"/>
  <c r="BQ185"/>
  <c r="BP185"/>
  <c r="BO185"/>
  <c r="BN185"/>
  <c r="BM185"/>
  <c r="BK185"/>
  <c r="BJ185"/>
  <c r="BI185"/>
  <c r="BH185"/>
  <c r="BG185"/>
  <c r="BF185"/>
  <c r="BE185"/>
  <c r="BD185"/>
  <c r="BC185"/>
  <c r="BB185"/>
  <c r="BA185" s="1"/>
  <c r="AX185"/>
  <c r="AW185"/>
  <c r="AV185"/>
  <c r="AC185"/>
  <c r="H185"/>
  <c r="BT184"/>
  <c r="BS184"/>
  <c r="BR184"/>
  <c r="BQ184"/>
  <c r="BP184"/>
  <c r="BO184"/>
  <c r="BN184"/>
  <c r="BM184"/>
  <c r="BK184"/>
  <c r="BJ184"/>
  <c r="BI184"/>
  <c r="BH184"/>
  <c r="BG184"/>
  <c r="BF184"/>
  <c r="BE184"/>
  <c r="BD184"/>
  <c r="BC184"/>
  <c r="BB184"/>
  <c r="BA184"/>
  <c r="AX184"/>
  <c r="AW184"/>
  <c r="AV184"/>
  <c r="AC184"/>
  <c r="H184"/>
  <c r="G184" s="1"/>
  <c r="BT183"/>
  <c r="BS183"/>
  <c r="BR183"/>
  <c r="BQ183"/>
  <c r="BP183"/>
  <c r="BO183"/>
  <c r="BN183"/>
  <c r="BM183"/>
  <c r="BK183"/>
  <c r="BJ183"/>
  <c r="BI183"/>
  <c r="BH183"/>
  <c r="BG183"/>
  <c r="BF183"/>
  <c r="BE183"/>
  <c r="BD183"/>
  <c r="BC183"/>
  <c r="BB183"/>
  <c r="AX183"/>
  <c r="AW183"/>
  <c r="AV183"/>
  <c r="AC183"/>
  <c r="H183"/>
  <c r="BT182"/>
  <c r="BS182"/>
  <c r="BR182"/>
  <c r="BQ182"/>
  <c r="BP182"/>
  <c r="BO182"/>
  <c r="BN182"/>
  <c r="BM182"/>
  <c r="BL182" s="1"/>
  <c r="BK182"/>
  <c r="BJ182"/>
  <c r="BI182"/>
  <c r="BH182"/>
  <c r="BG182"/>
  <c r="BF182"/>
  <c r="BE182"/>
  <c r="BD182"/>
  <c r="BC182"/>
  <c r="BB182"/>
  <c r="BA182" s="1"/>
  <c r="AX182"/>
  <c r="AW182"/>
  <c r="AV182"/>
  <c r="AC182"/>
  <c r="H182"/>
  <c r="BT181"/>
  <c r="BS181"/>
  <c r="BR181"/>
  <c r="BQ181"/>
  <c r="BP181"/>
  <c r="BO181"/>
  <c r="BN181"/>
  <c r="BM181"/>
  <c r="BL181" s="1"/>
  <c r="BK181"/>
  <c r="BJ181"/>
  <c r="BI181"/>
  <c r="BH181"/>
  <c r="BG181"/>
  <c r="BF181"/>
  <c r="BE181"/>
  <c r="BD181"/>
  <c r="BC181"/>
  <c r="BB181"/>
  <c r="BA181" s="1"/>
  <c r="AX181"/>
  <c r="AW181"/>
  <c r="AV181"/>
  <c r="AC181"/>
  <c r="H181"/>
  <c r="BT180"/>
  <c r="BS180"/>
  <c r="BR180"/>
  <c r="BQ180"/>
  <c r="BP180"/>
  <c r="BO180"/>
  <c r="BN180"/>
  <c r="BM180"/>
  <c r="BK180"/>
  <c r="BJ180"/>
  <c r="BI180"/>
  <c r="BH180"/>
  <c r="BG180"/>
  <c r="BF180"/>
  <c r="BE180"/>
  <c r="BD180"/>
  <c r="BC180"/>
  <c r="BB180"/>
  <c r="AX180"/>
  <c r="AW180"/>
  <c r="AV180"/>
  <c r="AC180"/>
  <c r="H180"/>
  <c r="G180" s="1"/>
  <c r="BT179"/>
  <c r="BS179"/>
  <c r="BR179"/>
  <c r="BQ179"/>
  <c r="BP179"/>
  <c r="BO179"/>
  <c r="BN179"/>
  <c r="BM179"/>
  <c r="BL179" s="1"/>
  <c r="BK179"/>
  <c r="BJ179"/>
  <c r="BI179"/>
  <c r="BH179"/>
  <c r="BG179"/>
  <c r="BF179"/>
  <c r="BE179"/>
  <c r="BD179"/>
  <c r="BC179"/>
  <c r="BB179"/>
  <c r="AX179"/>
  <c r="AW179"/>
  <c r="AV179"/>
  <c r="AC179"/>
  <c r="H179"/>
  <c r="G179" s="1"/>
  <c r="BT178"/>
  <c r="BS178"/>
  <c r="BR178"/>
  <c r="BQ178"/>
  <c r="BP178"/>
  <c r="BO178"/>
  <c r="BN178"/>
  <c r="BM178"/>
  <c r="BK178"/>
  <c r="BJ178"/>
  <c r="BI178"/>
  <c r="BH178"/>
  <c r="BG178"/>
  <c r="BF178"/>
  <c r="BE178"/>
  <c r="BD178"/>
  <c r="BC178"/>
  <c r="BB178"/>
  <c r="BA178"/>
  <c r="AX178"/>
  <c r="AW178"/>
  <c r="AV178"/>
  <c r="AC178"/>
  <c r="H178"/>
  <c r="G178" s="1"/>
  <c r="BT177"/>
  <c r="BS177"/>
  <c r="BR177"/>
  <c r="BQ177"/>
  <c r="BP177"/>
  <c r="BO177"/>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s="1"/>
  <c r="AX176"/>
  <c r="AW176"/>
  <c r="AV176"/>
  <c r="AC176"/>
  <c r="H176"/>
  <c r="BT175"/>
  <c r="BS175"/>
  <c r="BR175"/>
  <c r="BQ175"/>
  <c r="BP175"/>
  <c r="BO175"/>
  <c r="BN175"/>
  <c r="BM175"/>
  <c r="BK175"/>
  <c r="BJ175"/>
  <c r="BI175"/>
  <c r="BH175"/>
  <c r="BG175"/>
  <c r="BF175"/>
  <c r="BE175"/>
  <c r="BD175"/>
  <c r="BC175"/>
  <c r="BB175"/>
  <c r="AX175"/>
  <c r="AW175"/>
  <c r="AV175"/>
  <c r="AC175"/>
  <c r="H175"/>
  <c r="G175" s="1"/>
  <c r="BT174"/>
  <c r="BS174"/>
  <c r="BR174"/>
  <c r="BQ174"/>
  <c r="BP174"/>
  <c r="BO174"/>
  <c r="BN174"/>
  <c r="BM174"/>
  <c r="BK174"/>
  <c r="BJ174"/>
  <c r="BI174"/>
  <c r="BH174"/>
  <c r="BG174"/>
  <c r="BF174"/>
  <c r="BE174"/>
  <c r="BD174"/>
  <c r="BC174"/>
  <c r="BB174"/>
  <c r="BA174"/>
  <c r="AX174"/>
  <c r="AW174"/>
  <c r="AV174"/>
  <c r="AC174"/>
  <c r="G174" s="1"/>
  <c r="H174"/>
  <c r="BT173"/>
  <c r="BS173"/>
  <c r="BR173"/>
  <c r="BQ173"/>
  <c r="BP173"/>
  <c r="BO173"/>
  <c r="BN173"/>
  <c r="BM173"/>
  <c r="BK173"/>
  <c r="BJ173"/>
  <c r="BI173"/>
  <c r="BH173"/>
  <c r="BG173"/>
  <c r="BF173"/>
  <c r="BE173"/>
  <c r="BD173"/>
  <c r="BC173"/>
  <c r="BB173"/>
  <c r="BA173" s="1"/>
  <c r="AX173"/>
  <c r="AW173"/>
  <c r="AV173"/>
  <c r="AC173"/>
  <c r="H173"/>
  <c r="BT172"/>
  <c r="BS172"/>
  <c r="BR172"/>
  <c r="BQ172"/>
  <c r="BP172"/>
  <c r="BO172"/>
  <c r="BN172"/>
  <c r="BM172"/>
  <c r="BK172"/>
  <c r="BJ172"/>
  <c r="BI172"/>
  <c r="BH172"/>
  <c r="BG172"/>
  <c r="BF172"/>
  <c r="BE172"/>
  <c r="BD172"/>
  <c r="BC172"/>
  <c r="BB172"/>
  <c r="AX172"/>
  <c r="AW172"/>
  <c r="AV172"/>
  <c r="AC172"/>
  <c r="H172"/>
  <c r="G172"/>
  <c r="BT171"/>
  <c r="BS171"/>
  <c r="BR171"/>
  <c r="BQ171"/>
  <c r="BP171"/>
  <c r="BO171"/>
  <c r="BN171"/>
  <c r="BM171"/>
  <c r="BL171" s="1"/>
  <c r="BK171"/>
  <c r="BJ171"/>
  <c r="BI171"/>
  <c r="BH171"/>
  <c r="BG171"/>
  <c r="BF171"/>
  <c r="BE171"/>
  <c r="BD171"/>
  <c r="BC171"/>
  <c r="BB171"/>
  <c r="AX171"/>
  <c r="AW171"/>
  <c r="AV171"/>
  <c r="AC171"/>
  <c r="H171"/>
  <c r="G171" s="1"/>
  <c r="BT170"/>
  <c r="BS170"/>
  <c r="BR170"/>
  <c r="BQ170"/>
  <c r="BP170"/>
  <c r="BO170"/>
  <c r="BN170"/>
  <c r="BM170"/>
  <c r="BL170"/>
  <c r="BK170"/>
  <c r="BJ170"/>
  <c r="BI170"/>
  <c r="BH170"/>
  <c r="BG170"/>
  <c r="BF170"/>
  <c r="BE170"/>
  <c r="BD170"/>
  <c r="BC170"/>
  <c r="BB170"/>
  <c r="AX170"/>
  <c r="AW170"/>
  <c r="AV170"/>
  <c r="AC170"/>
  <c r="H170"/>
  <c r="G170" s="1"/>
  <c r="BT169"/>
  <c r="BS169"/>
  <c r="BR169"/>
  <c r="BQ169"/>
  <c r="BP169"/>
  <c r="BO169"/>
  <c r="BN169"/>
  <c r="BM169"/>
  <c r="BL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AX168"/>
  <c r="AW168"/>
  <c r="AV168"/>
  <c r="AC168"/>
  <c r="H168"/>
  <c r="G168"/>
  <c r="BT167"/>
  <c r="BS167"/>
  <c r="BR167"/>
  <c r="BQ167"/>
  <c r="BP167"/>
  <c r="BO167"/>
  <c r="BN167"/>
  <c r="BM167"/>
  <c r="BK167"/>
  <c r="BJ167"/>
  <c r="BI167"/>
  <c r="BH167"/>
  <c r="BG167"/>
  <c r="BF167"/>
  <c r="BE167"/>
  <c r="BD167"/>
  <c r="BC167"/>
  <c r="BB167"/>
  <c r="AX167"/>
  <c r="AW167"/>
  <c r="AV167"/>
  <c r="AC167"/>
  <c r="H167"/>
  <c r="G167" s="1"/>
  <c r="BT166"/>
  <c r="BS166"/>
  <c r="BR166"/>
  <c r="BQ166"/>
  <c r="BP166"/>
  <c r="BO166"/>
  <c r="BL166" s="1"/>
  <c r="BN166"/>
  <c r="BM166"/>
  <c r="BK166"/>
  <c r="BJ166"/>
  <c r="BI166"/>
  <c r="BH166"/>
  <c r="BG166"/>
  <c r="BF166"/>
  <c r="BE166"/>
  <c r="BD166"/>
  <c r="BC166"/>
  <c r="BB166"/>
  <c r="AX166"/>
  <c r="AW166"/>
  <c r="AV166"/>
  <c r="AC166"/>
  <c r="H166"/>
  <c r="G166" s="1"/>
  <c r="BT165"/>
  <c r="BS165"/>
  <c r="BR165"/>
  <c r="BQ165"/>
  <c r="BP165"/>
  <c r="BO165"/>
  <c r="BL165" s="1"/>
  <c r="BN165"/>
  <c r="BM165"/>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BA164" s="1"/>
  <c r="AX164"/>
  <c r="AW164"/>
  <c r="AV164"/>
  <c r="AC164"/>
  <c r="H164"/>
  <c r="BT163"/>
  <c r="BS163"/>
  <c r="BR163"/>
  <c r="BQ163"/>
  <c r="BP163"/>
  <c r="BO163"/>
  <c r="BN163"/>
  <c r="BL163" s="1"/>
  <c r="BM163"/>
  <c r="BK163"/>
  <c r="BJ163"/>
  <c r="BI163"/>
  <c r="BH163"/>
  <c r="BG163"/>
  <c r="BF163"/>
  <c r="BE163"/>
  <c r="BD163"/>
  <c r="BC163"/>
  <c r="BB163"/>
  <c r="AX163"/>
  <c r="AW163"/>
  <c r="AV163"/>
  <c r="AC163"/>
  <c r="H163"/>
  <c r="G163" s="1"/>
  <c r="BT162"/>
  <c r="BS162"/>
  <c r="BR162"/>
  <c r="BQ162"/>
  <c r="BP162"/>
  <c r="BO162"/>
  <c r="BN162"/>
  <c r="BM162"/>
  <c r="BK162"/>
  <c r="BJ162"/>
  <c r="BI162"/>
  <c r="BH162"/>
  <c r="BG162"/>
  <c r="BF162"/>
  <c r="BE162"/>
  <c r="BD162"/>
  <c r="BC162"/>
  <c r="BB162"/>
  <c r="BA162" s="1"/>
  <c r="AX162"/>
  <c r="AW162"/>
  <c r="AV162"/>
  <c r="AC162"/>
  <c r="H162"/>
  <c r="G162"/>
  <c r="BT161"/>
  <c r="BS161"/>
  <c r="BR161"/>
  <c r="BQ161"/>
  <c r="BP161"/>
  <c r="BO161"/>
  <c r="BN161"/>
  <c r="BM161"/>
  <c r="BK161"/>
  <c r="BJ161"/>
  <c r="BI161"/>
  <c r="BH161"/>
  <c r="BG161"/>
  <c r="BF161"/>
  <c r="BE161"/>
  <c r="BD161"/>
  <c r="BC161"/>
  <c r="BB161"/>
  <c r="BA161" s="1"/>
  <c r="AX161"/>
  <c r="AW161"/>
  <c r="AV161"/>
  <c r="AC161"/>
  <c r="H161"/>
  <c r="BT160"/>
  <c r="BS160"/>
  <c r="BR160"/>
  <c r="BQ160"/>
  <c r="BP160"/>
  <c r="BO160"/>
  <c r="BN160"/>
  <c r="BM160"/>
  <c r="BK160"/>
  <c r="BJ160"/>
  <c r="BI160"/>
  <c r="BH160"/>
  <c r="BG160"/>
  <c r="BF160"/>
  <c r="BE160"/>
  <c r="BD160"/>
  <c r="BC160"/>
  <c r="BB160"/>
  <c r="AX160"/>
  <c r="AW160"/>
  <c r="AV160"/>
  <c r="AC160"/>
  <c r="H160"/>
  <c r="G160" s="1"/>
  <c r="BT159"/>
  <c r="BS159"/>
  <c r="BR159"/>
  <c r="BQ159"/>
  <c r="BP159"/>
  <c r="BO159"/>
  <c r="BL159" s="1"/>
  <c r="BN159"/>
  <c r="BM159"/>
  <c r="BK159"/>
  <c r="BJ159"/>
  <c r="BI159"/>
  <c r="BH159"/>
  <c r="BG159"/>
  <c r="BF159"/>
  <c r="BE159"/>
  <c r="BD159"/>
  <c r="BC159"/>
  <c r="BB159"/>
  <c r="AX159"/>
  <c r="AW159"/>
  <c r="AV159"/>
  <c r="AC159"/>
  <c r="H159"/>
  <c r="G159"/>
  <c r="BT158"/>
  <c r="BS158"/>
  <c r="BR158"/>
  <c r="BQ158"/>
  <c r="BP158"/>
  <c r="BO158"/>
  <c r="BN158"/>
  <c r="BM158"/>
  <c r="BK158"/>
  <c r="BJ158"/>
  <c r="BI158"/>
  <c r="BH158"/>
  <c r="BG158"/>
  <c r="BF158"/>
  <c r="BE158"/>
  <c r="BD158"/>
  <c r="BC158"/>
  <c r="BA158" s="1"/>
  <c r="BB158"/>
  <c r="AX158"/>
  <c r="AW158"/>
  <c r="AV158"/>
  <c r="AC158"/>
  <c r="H158"/>
  <c r="G158"/>
  <c r="BT157"/>
  <c r="BS157"/>
  <c r="BR157"/>
  <c r="BQ157"/>
  <c r="BP157"/>
  <c r="BO157"/>
  <c r="BN157"/>
  <c r="BM157"/>
  <c r="BL157" s="1"/>
  <c r="BK157"/>
  <c r="BJ157"/>
  <c r="BI157"/>
  <c r="BH157"/>
  <c r="BG157"/>
  <c r="BF157"/>
  <c r="BE157"/>
  <c r="BD157"/>
  <c r="BA157" s="1"/>
  <c r="BC157"/>
  <c r="BB157"/>
  <c r="AX157"/>
  <c r="AW157"/>
  <c r="AV157"/>
  <c r="AC157"/>
  <c r="H157"/>
  <c r="BT156"/>
  <c r="BS156"/>
  <c r="BR156"/>
  <c r="BQ156"/>
  <c r="BP156"/>
  <c r="BO156"/>
  <c r="BN156"/>
  <c r="BM156"/>
  <c r="BK156"/>
  <c r="BJ156"/>
  <c r="BI156"/>
  <c r="BH156"/>
  <c r="BG156"/>
  <c r="BF156"/>
  <c r="BE156"/>
  <c r="BD156"/>
  <c r="BA156" s="1"/>
  <c r="BC156"/>
  <c r="BB156"/>
  <c r="AX156"/>
  <c r="AW156"/>
  <c r="AV156"/>
  <c r="AC156"/>
  <c r="H156"/>
  <c r="G156" s="1"/>
  <c r="BT155"/>
  <c r="BS155"/>
  <c r="BR155"/>
  <c r="BQ155"/>
  <c r="BP155"/>
  <c r="BO155"/>
  <c r="BN155"/>
  <c r="BM155"/>
  <c r="BK155"/>
  <c r="BJ155"/>
  <c r="BI155"/>
  <c r="BH155"/>
  <c r="BG155"/>
  <c r="BF155"/>
  <c r="BE155"/>
  <c r="BD155"/>
  <c r="BC155"/>
  <c r="BB155"/>
  <c r="AX155"/>
  <c r="AW155"/>
  <c r="AV155"/>
  <c r="AC155"/>
  <c r="H155"/>
  <c r="G155" s="1"/>
  <c r="BT154"/>
  <c r="BS154"/>
  <c r="BR154"/>
  <c r="BQ154"/>
  <c r="BP154"/>
  <c r="BO154"/>
  <c r="BN154"/>
  <c r="BM154"/>
  <c r="BL154" s="1"/>
  <c r="BK154"/>
  <c r="BJ154"/>
  <c r="BI154"/>
  <c r="BH154"/>
  <c r="BG154"/>
  <c r="BF154"/>
  <c r="BE154"/>
  <c r="BD154"/>
  <c r="BC154"/>
  <c r="BB154"/>
  <c r="AX154"/>
  <c r="AW154"/>
  <c r="AV154"/>
  <c r="AC154"/>
  <c r="H154"/>
  <c r="G154" s="1"/>
  <c r="BT153"/>
  <c r="BS153"/>
  <c r="BR153"/>
  <c r="BQ153"/>
  <c r="BP153"/>
  <c r="BO153"/>
  <c r="BN153"/>
  <c r="BM153"/>
  <c r="BL153" s="1"/>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A152" s="1"/>
  <c r="BC152"/>
  <c r="BB152"/>
  <c r="AX152"/>
  <c r="AW152"/>
  <c r="AV152"/>
  <c r="AC152"/>
  <c r="H152"/>
  <c r="G152" s="1"/>
  <c r="BT151"/>
  <c r="BS151"/>
  <c r="BR151"/>
  <c r="BQ151"/>
  <c r="BP151"/>
  <c r="BO151"/>
  <c r="BN151"/>
  <c r="BM151"/>
  <c r="BK151"/>
  <c r="BJ151"/>
  <c r="BI151"/>
  <c r="BH151"/>
  <c r="BG151"/>
  <c r="BF151"/>
  <c r="BE151"/>
  <c r="BD151"/>
  <c r="BC151"/>
  <c r="BB151"/>
  <c r="AX151"/>
  <c r="AW151"/>
  <c r="AV151"/>
  <c r="AC151"/>
  <c r="H151"/>
  <c r="G151" s="1"/>
  <c r="BT150"/>
  <c r="BS150"/>
  <c r="BR150"/>
  <c r="BQ150"/>
  <c r="BP150"/>
  <c r="BO150"/>
  <c r="BN150"/>
  <c r="BM150"/>
  <c r="BL150" s="1"/>
  <c r="BK150"/>
  <c r="BJ150"/>
  <c r="BI150"/>
  <c r="BH150"/>
  <c r="BG150"/>
  <c r="BF150"/>
  <c r="BE150"/>
  <c r="BD150"/>
  <c r="BC150"/>
  <c r="BB150"/>
  <c r="AX150"/>
  <c r="AW150"/>
  <c r="AV150"/>
  <c r="AC150"/>
  <c r="H150"/>
  <c r="G150" s="1"/>
  <c r="BT149"/>
  <c r="BS149"/>
  <c r="BR149"/>
  <c r="BQ149"/>
  <c r="BP149"/>
  <c r="BO149"/>
  <c r="BN149"/>
  <c r="BM149"/>
  <c r="BL149" s="1"/>
  <c r="BK149"/>
  <c r="BJ149"/>
  <c r="BI149"/>
  <c r="BH149"/>
  <c r="BG149"/>
  <c r="BF149"/>
  <c r="BE149"/>
  <c r="BD149"/>
  <c r="BC149"/>
  <c r="BB149"/>
  <c r="AX149"/>
  <c r="AW149"/>
  <c r="AV149"/>
  <c r="AC149"/>
  <c r="H149"/>
  <c r="BT148"/>
  <c r="BS148"/>
  <c r="BR148"/>
  <c r="BQ148"/>
  <c r="BP148"/>
  <c r="BO148"/>
  <c r="BN148"/>
  <c r="BM148"/>
  <c r="BK148"/>
  <c r="BJ148"/>
  <c r="BI148"/>
  <c r="BH148"/>
  <c r="BG148"/>
  <c r="BF148"/>
  <c r="BE148"/>
  <c r="BD148"/>
  <c r="BC148"/>
  <c r="BB148"/>
  <c r="AX148"/>
  <c r="AW148"/>
  <c r="AV148"/>
  <c r="AC148"/>
  <c r="H148"/>
  <c r="G148" s="1"/>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s="1"/>
  <c r="BK146"/>
  <c r="BJ146"/>
  <c r="BI146"/>
  <c r="BH146"/>
  <c r="BG146"/>
  <c r="BF146"/>
  <c r="BE146"/>
  <c r="BD146"/>
  <c r="BA146" s="1"/>
  <c r="BC146"/>
  <c r="BB146"/>
  <c r="AX146"/>
  <c r="AW146"/>
  <c r="AV146"/>
  <c r="AC146"/>
  <c r="H146"/>
  <c r="G146" s="1"/>
  <c r="BT145"/>
  <c r="BS145"/>
  <c r="BR145"/>
  <c r="BQ145"/>
  <c r="BP145"/>
  <c r="BO145"/>
  <c r="BN145"/>
  <c r="BM145"/>
  <c r="BK145"/>
  <c r="BJ145"/>
  <c r="BI145"/>
  <c r="BH145"/>
  <c r="BG145"/>
  <c r="BF145"/>
  <c r="BE145"/>
  <c r="BD145"/>
  <c r="BC145"/>
  <c r="BB145"/>
  <c r="BA145"/>
  <c r="AX145"/>
  <c r="AW145"/>
  <c r="AV145"/>
  <c r="AC145"/>
  <c r="H145"/>
  <c r="BT144"/>
  <c r="BS144"/>
  <c r="BR144"/>
  <c r="BQ144"/>
  <c r="BP144"/>
  <c r="BO144"/>
  <c r="BN144"/>
  <c r="BM144"/>
  <c r="BK144"/>
  <c r="BJ144"/>
  <c r="BI144"/>
  <c r="BH144"/>
  <c r="BG144"/>
  <c r="BF144"/>
  <c r="BE144"/>
  <c r="BD144"/>
  <c r="BC144"/>
  <c r="BB144"/>
  <c r="AX144"/>
  <c r="AW144"/>
  <c r="AV144"/>
  <c r="AC144"/>
  <c r="H144"/>
  <c r="G144" s="1"/>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K142"/>
  <c r="BJ142"/>
  <c r="BI142"/>
  <c r="BH142"/>
  <c r="BG142"/>
  <c r="BF142"/>
  <c r="BE142"/>
  <c r="BD142"/>
  <c r="BC142"/>
  <c r="BB142"/>
  <c r="BA142"/>
  <c r="AX142"/>
  <c r="AW142"/>
  <c r="AV142"/>
  <c r="AC142"/>
  <c r="G142" s="1"/>
  <c r="H142"/>
  <c r="BT141"/>
  <c r="BS141"/>
  <c r="BR141"/>
  <c r="BQ141"/>
  <c r="BP141"/>
  <c r="BO141"/>
  <c r="BN141"/>
  <c r="BM141"/>
  <c r="BK141"/>
  <c r="BJ141"/>
  <c r="BI141"/>
  <c r="BH141"/>
  <c r="BG141"/>
  <c r="BF141"/>
  <c r="BE141"/>
  <c r="BD141"/>
  <c r="BC141"/>
  <c r="BB141"/>
  <c r="BA141" s="1"/>
  <c r="AX141"/>
  <c r="AW141"/>
  <c r="AV141"/>
  <c r="AC141"/>
  <c r="H141"/>
  <c r="BT140"/>
  <c r="BS140"/>
  <c r="BR140"/>
  <c r="BQ140"/>
  <c r="BP140"/>
  <c r="BO140"/>
  <c r="BN140"/>
  <c r="BM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AX139"/>
  <c r="AW139"/>
  <c r="AV139"/>
  <c r="AC139"/>
  <c r="H139"/>
  <c r="G139" s="1"/>
  <c r="BT138"/>
  <c r="BS138"/>
  <c r="BR138"/>
  <c r="BQ138"/>
  <c r="BP138"/>
  <c r="BO138"/>
  <c r="BN138"/>
  <c r="BM138"/>
  <c r="BK138"/>
  <c r="BJ138"/>
  <c r="BI138"/>
  <c r="BH138"/>
  <c r="BG138"/>
  <c r="BF138"/>
  <c r="BE138"/>
  <c r="BD138"/>
  <c r="BC138"/>
  <c r="BB138"/>
  <c r="BA138" s="1"/>
  <c r="AX138"/>
  <c r="AW138"/>
  <c r="AV138"/>
  <c r="AC138"/>
  <c r="H138"/>
  <c r="G138"/>
  <c r="BT137"/>
  <c r="BS137"/>
  <c r="BR137"/>
  <c r="BQ137"/>
  <c r="BP137"/>
  <c r="BO137"/>
  <c r="BN137"/>
  <c r="BM137"/>
  <c r="BK137"/>
  <c r="BJ137"/>
  <c r="BI137"/>
  <c r="BH137"/>
  <c r="BG137"/>
  <c r="BF137"/>
  <c r="BE137"/>
  <c r="BD137"/>
  <c r="BC137"/>
  <c r="BB137"/>
  <c r="BA137" s="1"/>
  <c r="AX137"/>
  <c r="AW137"/>
  <c r="AV137"/>
  <c r="AC137"/>
  <c r="H137"/>
  <c r="BT136"/>
  <c r="BS136"/>
  <c r="BR136"/>
  <c r="BQ136"/>
  <c r="BP136"/>
  <c r="BO136"/>
  <c r="BN136"/>
  <c r="BM136"/>
  <c r="BK136"/>
  <c r="BJ136"/>
  <c r="BI136"/>
  <c r="BH136"/>
  <c r="BG136"/>
  <c r="BF136"/>
  <c r="BE136"/>
  <c r="BD136"/>
  <c r="BC136"/>
  <c r="BB136"/>
  <c r="AX136"/>
  <c r="AW136"/>
  <c r="AV136"/>
  <c r="AC136"/>
  <c r="H136"/>
  <c r="BT135"/>
  <c r="BS135"/>
  <c r="BR135"/>
  <c r="BQ135"/>
  <c r="BP135"/>
  <c r="BO135"/>
  <c r="BL135" s="1"/>
  <c r="BN135"/>
  <c r="BM135"/>
  <c r="BK135"/>
  <c r="BJ135"/>
  <c r="BI135"/>
  <c r="BH135"/>
  <c r="BG135"/>
  <c r="BF135"/>
  <c r="BE135"/>
  <c r="BD135"/>
  <c r="BC135"/>
  <c r="BB135"/>
  <c r="AX135"/>
  <c r="AW135"/>
  <c r="AV135"/>
  <c r="AC135"/>
  <c r="H135"/>
  <c r="G135"/>
  <c r="BT134"/>
  <c r="BS134"/>
  <c r="BR134"/>
  <c r="BQ134"/>
  <c r="BP134"/>
  <c r="BO134"/>
  <c r="BN134"/>
  <c r="BM134"/>
  <c r="BK134"/>
  <c r="BJ134"/>
  <c r="BI134"/>
  <c r="BH134"/>
  <c r="BG134"/>
  <c r="BF134"/>
  <c r="BE134"/>
  <c r="BD134"/>
  <c r="BC134"/>
  <c r="BB134"/>
  <c r="BA134" s="1"/>
  <c r="AX134"/>
  <c r="AW134"/>
  <c r="AV134"/>
  <c r="AC134"/>
  <c r="H134"/>
  <c r="G134" s="1"/>
  <c r="BT133"/>
  <c r="BS133"/>
  <c r="BR133"/>
  <c r="BQ133"/>
  <c r="BP133"/>
  <c r="BO133"/>
  <c r="BN133"/>
  <c r="BM133"/>
  <c r="BL133"/>
  <c r="BK133"/>
  <c r="BJ133"/>
  <c r="BI133"/>
  <c r="BH133"/>
  <c r="BG133"/>
  <c r="BF133"/>
  <c r="BE133"/>
  <c r="BD133"/>
  <c r="BC133"/>
  <c r="BB133"/>
  <c r="AX133"/>
  <c r="AW133"/>
  <c r="AV133"/>
  <c r="AC133"/>
  <c r="H133"/>
  <c r="BT132"/>
  <c r="BS132"/>
  <c r="BR132"/>
  <c r="BQ132"/>
  <c r="BP132"/>
  <c r="BO132"/>
  <c r="BN132"/>
  <c r="BM132"/>
  <c r="BK132"/>
  <c r="BJ132"/>
  <c r="BI132"/>
  <c r="BH132"/>
  <c r="BG132"/>
  <c r="BF132"/>
  <c r="BE132"/>
  <c r="BD132"/>
  <c r="BC132"/>
  <c r="BB132"/>
  <c r="AX132"/>
  <c r="AW132"/>
  <c r="AV132"/>
  <c r="AC132"/>
  <c r="H132"/>
  <c r="G132" s="1"/>
  <c r="BT131"/>
  <c r="BS131"/>
  <c r="BR131"/>
  <c r="BQ131"/>
  <c r="BP131"/>
  <c r="BO131"/>
  <c r="BL131" s="1"/>
  <c r="BN131"/>
  <c r="BM131"/>
  <c r="BK131"/>
  <c r="BJ131"/>
  <c r="BI131"/>
  <c r="BH131"/>
  <c r="BG131"/>
  <c r="BF131"/>
  <c r="BE131"/>
  <c r="BD131"/>
  <c r="BC131"/>
  <c r="BB131"/>
  <c r="AX131"/>
  <c r="AW131"/>
  <c r="AV131"/>
  <c r="AC131"/>
  <c r="H131"/>
  <c r="G131"/>
  <c r="BT130"/>
  <c r="BS130"/>
  <c r="BR130"/>
  <c r="BQ130"/>
  <c r="BP130"/>
  <c r="BO130"/>
  <c r="BN130"/>
  <c r="BM130"/>
  <c r="BK130"/>
  <c r="BJ130"/>
  <c r="BI130"/>
  <c r="BH130"/>
  <c r="BG130"/>
  <c r="BF130"/>
  <c r="BE130"/>
  <c r="BD130"/>
  <c r="BC130"/>
  <c r="BA130" s="1"/>
  <c r="BB130"/>
  <c r="AX130"/>
  <c r="AW130"/>
  <c r="AV130"/>
  <c r="AC130"/>
  <c r="H130"/>
  <c r="G130"/>
  <c r="BT129"/>
  <c r="BS129"/>
  <c r="BR129"/>
  <c r="BQ129"/>
  <c r="BP129"/>
  <c r="BO129"/>
  <c r="BN129"/>
  <c r="BM129"/>
  <c r="BL129" s="1"/>
  <c r="BK129"/>
  <c r="BJ129"/>
  <c r="BI129"/>
  <c r="BH129"/>
  <c r="BG129"/>
  <c r="BF129"/>
  <c r="BE129"/>
  <c r="BD129"/>
  <c r="BA129" s="1"/>
  <c r="AZ129" s="1"/>
  <c r="BC129"/>
  <c r="BB129"/>
  <c r="AX129"/>
  <c r="AW129"/>
  <c r="AV129"/>
  <c r="AC129"/>
  <c r="H129"/>
  <c r="BT128"/>
  <c r="BS128"/>
  <c r="BR128"/>
  <c r="BQ128"/>
  <c r="BP128"/>
  <c r="BO128"/>
  <c r="BN128"/>
  <c r="BM128"/>
  <c r="BK128"/>
  <c r="BJ128"/>
  <c r="BI128"/>
  <c r="BH128"/>
  <c r="BG128"/>
  <c r="BF128"/>
  <c r="BE128"/>
  <c r="BD128"/>
  <c r="BC128"/>
  <c r="BB128"/>
  <c r="AX128"/>
  <c r="AW128"/>
  <c r="AV128"/>
  <c r="AC128"/>
  <c r="H128"/>
  <c r="G128" s="1"/>
  <c r="BT127"/>
  <c r="BS127"/>
  <c r="BR127"/>
  <c r="BQ127"/>
  <c r="BP127"/>
  <c r="BO127"/>
  <c r="BN127"/>
  <c r="BM127"/>
  <c r="BL127"/>
  <c r="BK127"/>
  <c r="BJ127"/>
  <c r="BI127"/>
  <c r="BH127"/>
  <c r="BG127"/>
  <c r="BF127"/>
  <c r="BE127"/>
  <c r="BD127"/>
  <c r="BC127"/>
  <c r="BB127"/>
  <c r="AX127"/>
  <c r="AW127"/>
  <c r="AV127"/>
  <c r="AC127"/>
  <c r="H127"/>
  <c r="G127"/>
  <c r="BT126"/>
  <c r="BS126"/>
  <c r="BR126"/>
  <c r="BQ126"/>
  <c r="BP126"/>
  <c r="BO126"/>
  <c r="BN126"/>
  <c r="BM126"/>
  <c r="BL126" s="1"/>
  <c r="BK126"/>
  <c r="BJ126"/>
  <c r="BI126"/>
  <c r="BH126"/>
  <c r="BG126"/>
  <c r="BF126"/>
  <c r="BE126"/>
  <c r="BD126"/>
  <c r="BA126" s="1"/>
  <c r="AZ126" s="1"/>
  <c r="BC126"/>
  <c r="BB126"/>
  <c r="AX126"/>
  <c r="AW126"/>
  <c r="AV126"/>
  <c r="AC126"/>
  <c r="H126"/>
  <c r="G126" s="1"/>
  <c r="BT125"/>
  <c r="BS125"/>
  <c r="BR125"/>
  <c r="BQ125"/>
  <c r="BP125"/>
  <c r="BO125"/>
  <c r="BN125"/>
  <c r="BM125"/>
  <c r="BL125" s="1"/>
  <c r="BK125"/>
  <c r="BJ125"/>
  <c r="BI125"/>
  <c r="BH125"/>
  <c r="BG125"/>
  <c r="BF125"/>
  <c r="BE125"/>
  <c r="BD125"/>
  <c r="BC125"/>
  <c r="BB125"/>
  <c r="AX125"/>
  <c r="AW125"/>
  <c r="AV125"/>
  <c r="AC125"/>
  <c r="H125"/>
  <c r="BT124"/>
  <c r="BS124"/>
  <c r="BR124"/>
  <c r="BQ124"/>
  <c r="BP124"/>
  <c r="BO124"/>
  <c r="BN124"/>
  <c r="BM124"/>
  <c r="BK124"/>
  <c r="BJ124"/>
  <c r="BI124"/>
  <c r="BH124"/>
  <c r="BG124"/>
  <c r="BF124"/>
  <c r="BE124"/>
  <c r="BD124"/>
  <c r="BA124" s="1"/>
  <c r="BC124"/>
  <c r="BB124"/>
  <c r="AX124"/>
  <c r="AW124"/>
  <c r="AV124"/>
  <c r="AC124"/>
  <c r="H124"/>
  <c r="G124" s="1"/>
  <c r="BT123"/>
  <c r="BS123"/>
  <c r="BR123"/>
  <c r="BQ123"/>
  <c r="BP123"/>
  <c r="BO123"/>
  <c r="BN123"/>
  <c r="BM123"/>
  <c r="BK123"/>
  <c r="BJ123"/>
  <c r="BI123"/>
  <c r="BH123"/>
  <c r="BG123"/>
  <c r="BF123"/>
  <c r="BE123"/>
  <c r="BD123"/>
  <c r="BC123"/>
  <c r="BB123"/>
  <c r="AX123"/>
  <c r="AW123"/>
  <c r="AV123"/>
  <c r="AC123"/>
  <c r="H123"/>
  <c r="G123" s="1"/>
  <c r="BT122"/>
  <c r="BS122"/>
  <c r="BR122"/>
  <c r="BQ122"/>
  <c r="BP122"/>
  <c r="BO122"/>
  <c r="BN122"/>
  <c r="BM122"/>
  <c r="BL122" s="1"/>
  <c r="BK122"/>
  <c r="BJ122"/>
  <c r="BI122"/>
  <c r="BH122"/>
  <c r="BG122"/>
  <c r="BF122"/>
  <c r="BE122"/>
  <c r="BD122"/>
  <c r="BC122"/>
  <c r="BB122"/>
  <c r="AX122"/>
  <c r="AW122"/>
  <c r="AV122"/>
  <c r="AC122"/>
  <c r="H122"/>
  <c r="G122" s="1"/>
  <c r="BT121"/>
  <c r="BS121"/>
  <c r="BR121"/>
  <c r="BQ121"/>
  <c r="BP121"/>
  <c r="BO121"/>
  <c r="BN121"/>
  <c r="BM121"/>
  <c r="BK121"/>
  <c r="BJ121"/>
  <c r="BI121"/>
  <c r="BH121"/>
  <c r="BG121"/>
  <c r="BF121"/>
  <c r="BE121"/>
  <c r="BD121"/>
  <c r="BC121"/>
  <c r="BB121"/>
  <c r="BA121"/>
  <c r="AX121"/>
  <c r="AW121"/>
  <c r="AV121"/>
  <c r="AC121"/>
  <c r="H121"/>
  <c r="BT120"/>
  <c r="BS120"/>
  <c r="BR120"/>
  <c r="BQ120"/>
  <c r="BP120"/>
  <c r="BO120"/>
  <c r="BN120"/>
  <c r="BM120"/>
  <c r="BK120"/>
  <c r="BJ120"/>
  <c r="BI120"/>
  <c r="BH120"/>
  <c r="BG120"/>
  <c r="BF120"/>
  <c r="BE120"/>
  <c r="BD120"/>
  <c r="BC120"/>
  <c r="BB120"/>
  <c r="AX120"/>
  <c r="AW120"/>
  <c r="AV120"/>
  <c r="AC120"/>
  <c r="H120"/>
  <c r="G120" s="1"/>
  <c r="BT119"/>
  <c r="BS119"/>
  <c r="BR119"/>
  <c r="BQ119"/>
  <c r="BP119"/>
  <c r="BO119"/>
  <c r="BN119"/>
  <c r="BM119"/>
  <c r="BL119" s="1"/>
  <c r="BK119"/>
  <c r="BJ119"/>
  <c r="BI119"/>
  <c r="BH119"/>
  <c r="BG119"/>
  <c r="BF119"/>
  <c r="BE119"/>
  <c r="BD119"/>
  <c r="BC119"/>
  <c r="BB119"/>
  <c r="AX119"/>
  <c r="AW119"/>
  <c r="AV119"/>
  <c r="AC119"/>
  <c r="H119"/>
  <c r="G119" s="1"/>
  <c r="BT118"/>
  <c r="BS118"/>
  <c r="BR118"/>
  <c r="BQ118"/>
  <c r="BP118"/>
  <c r="BO118"/>
  <c r="BN118"/>
  <c r="BM118"/>
  <c r="BK118"/>
  <c r="BJ118"/>
  <c r="BI118"/>
  <c r="BH118"/>
  <c r="BG118"/>
  <c r="BF118"/>
  <c r="BE118"/>
  <c r="BD118"/>
  <c r="BC118"/>
  <c r="BB118"/>
  <c r="BA118"/>
  <c r="AX118"/>
  <c r="AW118"/>
  <c r="AV118"/>
  <c r="AC118"/>
  <c r="H118"/>
  <c r="BT117"/>
  <c r="BS117"/>
  <c r="BR117"/>
  <c r="BQ117"/>
  <c r="BP117"/>
  <c r="BO117"/>
  <c r="BN117"/>
  <c r="BL117" s="1"/>
  <c r="BM117"/>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AX116"/>
  <c r="AW116"/>
  <c r="AV116"/>
  <c r="AC116"/>
  <c r="H116"/>
  <c r="G116" s="1"/>
  <c r="BT115"/>
  <c r="BS115"/>
  <c r="BR115"/>
  <c r="BQ115"/>
  <c r="BP115"/>
  <c r="BO115"/>
  <c r="BN115"/>
  <c r="BM115"/>
  <c r="BL115" s="1"/>
  <c r="BK115"/>
  <c r="BJ115"/>
  <c r="BI115"/>
  <c r="BH115"/>
  <c r="BG115"/>
  <c r="BF115"/>
  <c r="BE115"/>
  <c r="BD115"/>
  <c r="BC115"/>
  <c r="BB115"/>
  <c r="AX115"/>
  <c r="AW115"/>
  <c r="AV115"/>
  <c r="AC115"/>
  <c r="H115"/>
  <c r="G115" s="1"/>
  <c r="BT114"/>
  <c r="BS114"/>
  <c r="BR114"/>
  <c r="BQ114"/>
  <c r="BP114"/>
  <c r="BO114"/>
  <c r="BN114"/>
  <c r="BM114"/>
  <c r="BK114"/>
  <c r="BJ114"/>
  <c r="BI114"/>
  <c r="BH114"/>
  <c r="BG114"/>
  <c r="BF114"/>
  <c r="BE114"/>
  <c r="BD114"/>
  <c r="BC114"/>
  <c r="BB114"/>
  <c r="BA114"/>
  <c r="AX114"/>
  <c r="AW114"/>
  <c r="AV114"/>
  <c r="AC114"/>
  <c r="G114" s="1"/>
  <c r="H114"/>
  <c r="BT113"/>
  <c r="BS113"/>
  <c r="BR113"/>
  <c r="BQ113"/>
  <c r="BP113"/>
  <c r="BO113"/>
  <c r="BN113"/>
  <c r="BM113"/>
  <c r="BK113"/>
  <c r="BJ113"/>
  <c r="BI113"/>
  <c r="BH113"/>
  <c r="BG113"/>
  <c r="BF113"/>
  <c r="BE113"/>
  <c r="BD113"/>
  <c r="BC113"/>
  <c r="BB113"/>
  <c r="BA113" s="1"/>
  <c r="AX113"/>
  <c r="AW113"/>
  <c r="AV113"/>
  <c r="AC113"/>
  <c r="H113"/>
  <c r="BT302"/>
  <c r="BS302"/>
  <c r="BR302"/>
  <c r="BQ302"/>
  <c r="BP302"/>
  <c r="BO302"/>
  <c r="BN302"/>
  <c r="BM302"/>
  <c r="BK302"/>
  <c r="BJ302"/>
  <c r="BI302"/>
  <c r="BH302"/>
  <c r="BG302"/>
  <c r="BF302"/>
  <c r="BE302"/>
  <c r="BD302"/>
  <c r="BC302"/>
  <c r="BB302"/>
  <c r="BA302" s="1"/>
  <c r="AX302"/>
  <c r="AW302"/>
  <c r="AV302"/>
  <c r="AC302"/>
  <c r="H302"/>
  <c r="G302" s="1"/>
  <c r="BT301"/>
  <c r="BS301"/>
  <c r="BR301"/>
  <c r="BQ301"/>
  <c r="BP301"/>
  <c r="BO301"/>
  <c r="BL301" s="1"/>
  <c r="BN301"/>
  <c r="BM301"/>
  <c r="BK301"/>
  <c r="BJ301"/>
  <c r="BI301"/>
  <c r="BH301"/>
  <c r="BG301"/>
  <c r="BF301"/>
  <c r="BE301"/>
  <c r="BD301"/>
  <c r="BC301"/>
  <c r="BB301"/>
  <c r="AX301"/>
  <c r="AW301"/>
  <c r="AV301"/>
  <c r="AC301"/>
  <c r="H301"/>
  <c r="G301"/>
  <c r="BT300"/>
  <c r="BS300"/>
  <c r="BR300"/>
  <c r="BQ300"/>
  <c r="BP300"/>
  <c r="BO300"/>
  <c r="BN300"/>
  <c r="BM300"/>
  <c r="BK300"/>
  <c r="BJ300"/>
  <c r="BI300"/>
  <c r="BH300"/>
  <c r="BG300"/>
  <c r="BF300"/>
  <c r="BE300"/>
  <c r="BD300"/>
  <c r="BC300"/>
  <c r="BA300" s="1"/>
  <c r="BB300"/>
  <c r="AX300"/>
  <c r="AW300"/>
  <c r="AV300"/>
  <c r="AC300"/>
  <c r="H300"/>
  <c r="G300" s="1"/>
  <c r="BT299"/>
  <c r="BS299"/>
  <c r="BR299"/>
  <c r="BQ299"/>
  <c r="BP299"/>
  <c r="BO299"/>
  <c r="BN299"/>
  <c r="BM299"/>
  <c r="BL299"/>
  <c r="BK299"/>
  <c r="BJ299"/>
  <c r="BI299"/>
  <c r="BH299"/>
  <c r="BG299"/>
  <c r="BF299"/>
  <c r="BE299"/>
  <c r="BD299"/>
  <c r="BC299"/>
  <c r="BB299"/>
  <c r="AX299"/>
  <c r="AW299"/>
  <c r="AV299"/>
  <c r="AC299"/>
  <c r="H299"/>
  <c r="G299" s="1"/>
  <c r="BT298"/>
  <c r="BS298"/>
  <c r="BR298"/>
  <c r="BQ298"/>
  <c r="BP298"/>
  <c r="BO298"/>
  <c r="BN298"/>
  <c r="BM298"/>
  <c r="BL298"/>
  <c r="BK298"/>
  <c r="BJ298"/>
  <c r="BI298"/>
  <c r="BH298"/>
  <c r="BG298"/>
  <c r="BF298"/>
  <c r="BE298"/>
  <c r="BD298"/>
  <c r="BC298"/>
  <c r="BB298"/>
  <c r="AX298"/>
  <c r="AW298"/>
  <c r="AV298"/>
  <c r="AC298"/>
  <c r="H298"/>
  <c r="G298"/>
  <c r="BT297"/>
  <c r="BS297"/>
  <c r="BR297"/>
  <c r="BQ297"/>
  <c r="BP297"/>
  <c r="BO297"/>
  <c r="BN297"/>
  <c r="BM297"/>
  <c r="BL297" s="1"/>
  <c r="BK297"/>
  <c r="BJ297"/>
  <c r="BI297"/>
  <c r="BH297"/>
  <c r="BG297"/>
  <c r="BF297"/>
  <c r="BE297"/>
  <c r="BD297"/>
  <c r="BA297" s="1"/>
  <c r="BC297"/>
  <c r="BB297"/>
  <c r="AX297"/>
  <c r="AW297"/>
  <c r="AV297"/>
  <c r="AC297"/>
  <c r="H297"/>
  <c r="G297" s="1"/>
  <c r="BT296"/>
  <c r="BS296"/>
  <c r="BR296"/>
  <c r="BQ296"/>
  <c r="BP296"/>
  <c r="BO296"/>
  <c r="BN296"/>
  <c r="BM296"/>
  <c r="BK296"/>
  <c r="BJ296"/>
  <c r="BI296"/>
  <c r="BH296"/>
  <c r="BG296"/>
  <c r="BF296"/>
  <c r="BE296"/>
  <c r="BD296"/>
  <c r="BC296"/>
  <c r="BB296"/>
  <c r="BA296"/>
  <c r="AX296"/>
  <c r="AW296"/>
  <c r="AV296"/>
  <c r="AC296"/>
  <c r="G296" s="1"/>
  <c r="H296"/>
  <c r="BT295"/>
  <c r="BS295"/>
  <c r="BR295"/>
  <c r="BQ295"/>
  <c r="BP295"/>
  <c r="BO295"/>
  <c r="BN295"/>
  <c r="BM295"/>
  <c r="BK295"/>
  <c r="BJ295"/>
  <c r="BI295"/>
  <c r="BH295"/>
  <c r="BG295"/>
  <c r="BF295"/>
  <c r="BE295"/>
  <c r="BD295"/>
  <c r="BC295"/>
  <c r="BB295"/>
  <c r="BA295" s="1"/>
  <c r="AX295"/>
  <c r="AW295"/>
  <c r="AV295"/>
  <c r="AC295"/>
  <c r="H295"/>
  <c r="G295"/>
  <c r="BT294"/>
  <c r="BS294"/>
  <c r="BR294"/>
  <c r="BQ294"/>
  <c r="BP294"/>
  <c r="BO294"/>
  <c r="BN294"/>
  <c r="BM294"/>
  <c r="BK294"/>
  <c r="BJ294"/>
  <c r="BI294"/>
  <c r="BH294"/>
  <c r="BG294"/>
  <c r="BF294"/>
  <c r="BE294"/>
  <c r="BD294"/>
  <c r="BC294"/>
  <c r="BA294" s="1"/>
  <c r="BB294"/>
  <c r="AX294"/>
  <c r="AW294"/>
  <c r="AV294"/>
  <c r="AC294"/>
  <c r="H294"/>
  <c r="G294" s="1"/>
  <c r="BT293"/>
  <c r="BS293"/>
  <c r="BR293"/>
  <c r="BQ293"/>
  <c r="BP293"/>
  <c r="BO293"/>
  <c r="BN293"/>
  <c r="BM293"/>
  <c r="BL293"/>
  <c r="BK293"/>
  <c r="BJ293"/>
  <c r="BI293"/>
  <c r="BH293"/>
  <c r="BG293"/>
  <c r="BF293"/>
  <c r="BE293"/>
  <c r="BD293"/>
  <c r="BC293"/>
  <c r="BB293"/>
  <c r="AX293"/>
  <c r="AW293"/>
  <c r="AV293"/>
  <c r="AC293"/>
  <c r="H293"/>
  <c r="G293"/>
  <c r="BT292"/>
  <c r="BS292"/>
  <c r="BR292"/>
  <c r="BQ292"/>
  <c r="BP292"/>
  <c r="BO292"/>
  <c r="BN292"/>
  <c r="BM292"/>
  <c r="BL292" s="1"/>
  <c r="BK292"/>
  <c r="BJ292"/>
  <c r="BI292"/>
  <c r="BH292"/>
  <c r="BG292"/>
  <c r="BF292"/>
  <c r="BE292"/>
  <c r="BD292"/>
  <c r="BA292" s="1"/>
  <c r="AZ292" s="1"/>
  <c r="BC292"/>
  <c r="BB292"/>
  <c r="AX292"/>
  <c r="AW292"/>
  <c r="AV292"/>
  <c r="AC292"/>
  <c r="H292"/>
  <c r="G292" s="1"/>
  <c r="BT291"/>
  <c r="BS291"/>
  <c r="BR291"/>
  <c r="BQ291"/>
  <c r="BP291"/>
  <c r="BO291"/>
  <c r="BN291"/>
  <c r="BM291"/>
  <c r="BL291" s="1"/>
  <c r="BK291"/>
  <c r="BJ291"/>
  <c r="BI291"/>
  <c r="BH291"/>
  <c r="BG291"/>
  <c r="BF291"/>
  <c r="BE291"/>
  <c r="BD291"/>
  <c r="BC291"/>
  <c r="BB291"/>
  <c r="AX291"/>
  <c r="AW291"/>
  <c r="AV291"/>
  <c r="AC291"/>
  <c r="H291"/>
  <c r="G291" s="1"/>
  <c r="BT290"/>
  <c r="BS290"/>
  <c r="BR290"/>
  <c r="BQ290"/>
  <c r="BP290"/>
  <c r="BO290"/>
  <c r="BN290"/>
  <c r="BM290"/>
  <c r="BL290" s="1"/>
  <c r="BK290"/>
  <c r="BJ290"/>
  <c r="BI290"/>
  <c r="BH290"/>
  <c r="BG290"/>
  <c r="BF290"/>
  <c r="BE290"/>
  <c r="BD290"/>
  <c r="BC290"/>
  <c r="BB290"/>
  <c r="AX290"/>
  <c r="AW290"/>
  <c r="AV290"/>
  <c r="AC290"/>
  <c r="H290"/>
  <c r="G290" s="1"/>
  <c r="BT289"/>
  <c r="BS289"/>
  <c r="BR289"/>
  <c r="BQ289"/>
  <c r="BP289"/>
  <c r="BO289"/>
  <c r="BN289"/>
  <c r="BM289"/>
  <c r="BK289"/>
  <c r="BJ289"/>
  <c r="BI289"/>
  <c r="BH289"/>
  <c r="BG289"/>
  <c r="BF289"/>
  <c r="BE289"/>
  <c r="BD289"/>
  <c r="BC289"/>
  <c r="BB289"/>
  <c r="BA289"/>
  <c r="AX289"/>
  <c r="AW289"/>
  <c r="AV289"/>
  <c r="AC289"/>
  <c r="H289"/>
  <c r="BT288"/>
  <c r="BS288"/>
  <c r="BR288"/>
  <c r="BQ288"/>
  <c r="BP288"/>
  <c r="BO288"/>
  <c r="BN288"/>
  <c r="BL288" s="1"/>
  <c r="BM288"/>
  <c r="BK288"/>
  <c r="BJ288"/>
  <c r="BI288"/>
  <c r="BH288"/>
  <c r="BG288"/>
  <c r="BF288"/>
  <c r="BE288"/>
  <c r="BD288"/>
  <c r="BC288"/>
  <c r="BB288"/>
  <c r="BA288" s="1"/>
  <c r="AX288"/>
  <c r="AW288"/>
  <c r="AV288"/>
  <c r="AC288"/>
  <c r="H288"/>
  <c r="BT287"/>
  <c r="BS287"/>
  <c r="BR287"/>
  <c r="BQ287"/>
  <c r="BP287"/>
  <c r="BO287"/>
  <c r="BN287"/>
  <c r="BL287" s="1"/>
  <c r="BM287"/>
  <c r="BK287"/>
  <c r="BJ287"/>
  <c r="BI287"/>
  <c r="BH287"/>
  <c r="BG287"/>
  <c r="BF287"/>
  <c r="BE287"/>
  <c r="BD287"/>
  <c r="BC287"/>
  <c r="BB287"/>
  <c r="BA287" s="1"/>
  <c r="AX287"/>
  <c r="AW287"/>
  <c r="AV287"/>
  <c r="AC287"/>
  <c r="H287"/>
  <c r="BT286"/>
  <c r="BS286"/>
  <c r="BR286"/>
  <c r="BQ286"/>
  <c r="BP286"/>
  <c r="BO286"/>
  <c r="BN286"/>
  <c r="BL286" s="1"/>
  <c r="BM286"/>
  <c r="BK286"/>
  <c r="BJ286"/>
  <c r="BI286"/>
  <c r="BH286"/>
  <c r="BG286"/>
  <c r="BF286"/>
  <c r="BE286"/>
  <c r="BD286"/>
  <c r="BC286"/>
  <c r="BB286"/>
  <c r="BA286" s="1"/>
  <c r="AX286"/>
  <c r="AW286"/>
  <c r="AV286"/>
  <c r="AC286"/>
  <c r="H286"/>
  <c r="BT285"/>
  <c r="BS285"/>
  <c r="BR285"/>
  <c r="BQ285"/>
  <c r="BP285"/>
  <c r="BO285"/>
  <c r="BN285"/>
  <c r="BL285" s="1"/>
  <c r="BM285"/>
  <c r="BK285"/>
  <c r="BJ285"/>
  <c r="BI285"/>
  <c r="BH285"/>
  <c r="BG285"/>
  <c r="BF285"/>
  <c r="BE285"/>
  <c r="BD285"/>
  <c r="BC285"/>
  <c r="BB285"/>
  <c r="BA285" s="1"/>
  <c r="AZ285" s="1"/>
  <c r="AX285"/>
  <c r="AW285"/>
  <c r="AV285"/>
  <c r="AC285"/>
  <c r="H285"/>
  <c r="BT284"/>
  <c r="BS284"/>
  <c r="BR284"/>
  <c r="BQ284"/>
  <c r="BP284"/>
  <c r="BO284"/>
  <c r="BN284"/>
  <c r="BM284"/>
  <c r="BK284"/>
  <c r="BJ284"/>
  <c r="BI284"/>
  <c r="BH284"/>
  <c r="BG284"/>
  <c r="BF284"/>
  <c r="BE284"/>
  <c r="BD284"/>
  <c r="BC284"/>
  <c r="BB284"/>
  <c r="BA284" s="1"/>
  <c r="AX284"/>
  <c r="AW284"/>
  <c r="AV284"/>
  <c r="AC284"/>
  <c r="H284"/>
  <c r="BT283"/>
  <c r="BS283"/>
  <c r="BR283"/>
  <c r="BQ283"/>
  <c r="BP283"/>
  <c r="BO283"/>
  <c r="BL283" s="1"/>
  <c r="BN283"/>
  <c r="BM283"/>
  <c r="BK283"/>
  <c r="BJ283"/>
  <c r="BI283"/>
  <c r="BH283"/>
  <c r="BG283"/>
  <c r="BF283"/>
  <c r="BE283"/>
  <c r="BD283"/>
  <c r="BC283"/>
  <c r="BB283"/>
  <c r="AX283"/>
  <c r="AW283"/>
  <c r="AV283"/>
  <c r="AC283"/>
  <c r="H283"/>
  <c r="BT282"/>
  <c r="BS282"/>
  <c r="BR282"/>
  <c r="BQ282"/>
  <c r="BP282"/>
  <c r="BO282"/>
  <c r="BL282" s="1"/>
  <c r="BN282"/>
  <c r="BM282"/>
  <c r="BK282"/>
  <c r="BJ282"/>
  <c r="BI282"/>
  <c r="BH282"/>
  <c r="BG282"/>
  <c r="BF282"/>
  <c r="BE282"/>
  <c r="BD282"/>
  <c r="BC282"/>
  <c r="BB282"/>
  <c r="AX282"/>
  <c r="AW282"/>
  <c r="AV282"/>
  <c r="AC282"/>
  <c r="H282"/>
  <c r="G282"/>
  <c r="BT281"/>
  <c r="BS281"/>
  <c r="BR281"/>
  <c r="BQ281"/>
  <c r="BP281"/>
  <c r="BO281"/>
  <c r="BN281"/>
  <c r="BM281"/>
  <c r="BK281"/>
  <c r="BJ281"/>
  <c r="BI281"/>
  <c r="BH281"/>
  <c r="BG281"/>
  <c r="BF281"/>
  <c r="BE281"/>
  <c r="BD281"/>
  <c r="BC281"/>
  <c r="BB281"/>
  <c r="AX281"/>
  <c r="AW281"/>
  <c r="AV281"/>
  <c r="AC281"/>
  <c r="H281"/>
  <c r="G281"/>
  <c r="BT280"/>
  <c r="BS280"/>
  <c r="BR280"/>
  <c r="BQ280"/>
  <c r="BP280"/>
  <c r="BO280"/>
  <c r="BN280"/>
  <c r="BM280"/>
  <c r="BL280" s="1"/>
  <c r="BK280"/>
  <c r="BJ280"/>
  <c r="BI280"/>
  <c r="BH280"/>
  <c r="BG280"/>
  <c r="BF280"/>
  <c r="BE280"/>
  <c r="BD280"/>
  <c r="BA280" s="1"/>
  <c r="BC280"/>
  <c r="BB280"/>
  <c r="AX280"/>
  <c r="AW280"/>
  <c r="AV280"/>
  <c r="AC280"/>
  <c r="H280"/>
  <c r="G280" s="1"/>
  <c r="BT279"/>
  <c r="BS279"/>
  <c r="BR279"/>
  <c r="BQ279"/>
  <c r="BP279"/>
  <c r="BO279"/>
  <c r="BN279"/>
  <c r="BM279"/>
  <c r="BK279"/>
  <c r="BJ279"/>
  <c r="BI279"/>
  <c r="BH279"/>
  <c r="BG279"/>
  <c r="BF279"/>
  <c r="BE279"/>
  <c r="BD279"/>
  <c r="BC279"/>
  <c r="BB279"/>
  <c r="BA279"/>
  <c r="AX279"/>
  <c r="AW279"/>
  <c r="AV279"/>
  <c r="AC279"/>
  <c r="H279"/>
  <c r="BT278"/>
  <c r="BS278"/>
  <c r="BR278"/>
  <c r="BQ278"/>
  <c r="BP278"/>
  <c r="BO278"/>
  <c r="BN278"/>
  <c r="BM278"/>
  <c r="BK278"/>
  <c r="BJ278"/>
  <c r="BI278"/>
  <c r="BH278"/>
  <c r="BG278"/>
  <c r="BF278"/>
  <c r="BE278"/>
  <c r="BD278"/>
  <c r="BC278"/>
  <c r="BB278"/>
  <c r="BA278" s="1"/>
  <c r="AX278"/>
  <c r="AW278"/>
  <c r="AV278"/>
  <c r="AC278"/>
  <c r="H278"/>
  <c r="BT277"/>
  <c r="BS277"/>
  <c r="BR277"/>
  <c r="BQ277"/>
  <c r="BP277"/>
  <c r="BO277"/>
  <c r="BL277" s="1"/>
  <c r="BN277"/>
  <c r="BM277"/>
  <c r="BK277"/>
  <c r="BJ277"/>
  <c r="BI277"/>
  <c r="BH277"/>
  <c r="BG277"/>
  <c r="BF277"/>
  <c r="BE277"/>
  <c r="BD277"/>
  <c r="BC277"/>
  <c r="BB277"/>
  <c r="AX277"/>
  <c r="AW277"/>
  <c r="AV277"/>
  <c r="AC277"/>
  <c r="H277"/>
  <c r="G277"/>
  <c r="BT276"/>
  <c r="BS276"/>
  <c r="BR276"/>
  <c r="BQ276"/>
  <c r="BP276"/>
  <c r="BO276"/>
  <c r="BN276"/>
  <c r="BM276"/>
  <c r="BK276"/>
  <c r="BJ276"/>
  <c r="BI276"/>
  <c r="BH276"/>
  <c r="BG276"/>
  <c r="BF276"/>
  <c r="BE276"/>
  <c r="BD276"/>
  <c r="BC276"/>
  <c r="BB276"/>
  <c r="AX276"/>
  <c r="AW276"/>
  <c r="AV276"/>
  <c r="AC276"/>
  <c r="H276"/>
  <c r="G276" s="1"/>
  <c r="BT275"/>
  <c r="BS275"/>
  <c r="BR275"/>
  <c r="BQ275"/>
  <c r="BP275"/>
  <c r="BO275"/>
  <c r="BN275"/>
  <c r="BM275"/>
  <c r="BL275"/>
  <c r="BK275"/>
  <c r="BJ275"/>
  <c r="BI275"/>
  <c r="BH275"/>
  <c r="BG275"/>
  <c r="BF275"/>
  <c r="BE275"/>
  <c r="BD275"/>
  <c r="BC275"/>
  <c r="BB275"/>
  <c r="AX275"/>
  <c r="AW275"/>
  <c r="AV275"/>
  <c r="AC275"/>
  <c r="H275"/>
  <c r="G275" s="1"/>
  <c r="BT274"/>
  <c r="BS274"/>
  <c r="BR274"/>
  <c r="BQ274"/>
  <c r="BP274"/>
  <c r="BO274"/>
  <c r="BN274"/>
  <c r="BM274"/>
  <c r="BL274"/>
  <c r="BK274"/>
  <c r="BJ274"/>
  <c r="BI274"/>
  <c r="BH274"/>
  <c r="BG274"/>
  <c r="BF274"/>
  <c r="BE274"/>
  <c r="BD274"/>
  <c r="BC274"/>
  <c r="BB274"/>
  <c r="AX274"/>
  <c r="AW274"/>
  <c r="AV274"/>
  <c r="AC274"/>
  <c r="H274"/>
  <c r="G274"/>
  <c r="BT273"/>
  <c r="BS273"/>
  <c r="BR273"/>
  <c r="BQ273"/>
  <c r="BP273"/>
  <c r="BO273"/>
  <c r="BN273"/>
  <c r="BM273"/>
  <c r="BL273" s="1"/>
  <c r="BK273"/>
  <c r="BJ273"/>
  <c r="BI273"/>
  <c r="BH273"/>
  <c r="BG273"/>
  <c r="BF273"/>
  <c r="BE273"/>
  <c r="BD273"/>
  <c r="BA273" s="1"/>
  <c r="BC273"/>
  <c r="BB273"/>
  <c r="AX273"/>
  <c r="AW273"/>
  <c r="AV273"/>
  <c r="AC273"/>
  <c r="H273"/>
  <c r="G273" s="1"/>
  <c r="BT272"/>
  <c r="BS272"/>
  <c r="BR272"/>
  <c r="BQ272"/>
  <c r="BP272"/>
  <c r="BO272"/>
  <c r="BN272"/>
  <c r="BM272"/>
  <c r="BK272"/>
  <c r="BJ272"/>
  <c r="BI272"/>
  <c r="BH272"/>
  <c r="BG272"/>
  <c r="BF272"/>
  <c r="BE272"/>
  <c r="BD272"/>
  <c r="BC272"/>
  <c r="BB272"/>
  <c r="BA272"/>
  <c r="AX272"/>
  <c r="AW272"/>
  <c r="AV272"/>
  <c r="AC272"/>
  <c r="H272"/>
  <c r="BT271"/>
  <c r="BS271"/>
  <c r="BR271"/>
  <c r="BQ271"/>
  <c r="BP271"/>
  <c r="BO271"/>
  <c r="BN271"/>
  <c r="BL271" s="1"/>
  <c r="BM271"/>
  <c r="BK271"/>
  <c r="BJ271"/>
  <c r="BI271"/>
  <c r="BH271"/>
  <c r="BG271"/>
  <c r="BF271"/>
  <c r="BE271"/>
  <c r="BD271"/>
  <c r="BC271"/>
  <c r="BB271"/>
  <c r="BA271" s="1"/>
  <c r="AX271"/>
  <c r="AW271"/>
  <c r="AV271"/>
  <c r="AC271"/>
  <c r="H271"/>
  <c r="BT270"/>
  <c r="BS270"/>
  <c r="BR270"/>
  <c r="BQ270"/>
  <c r="BP270"/>
  <c r="BO270"/>
  <c r="BN270"/>
  <c r="BL270" s="1"/>
  <c r="BM270"/>
  <c r="BK270"/>
  <c r="BJ270"/>
  <c r="BI270"/>
  <c r="BH270"/>
  <c r="BG270"/>
  <c r="BF270"/>
  <c r="BE270"/>
  <c r="BD270"/>
  <c r="BC270"/>
  <c r="BB270"/>
  <c r="BA270" s="1"/>
  <c r="AX270"/>
  <c r="AW270"/>
  <c r="AV270"/>
  <c r="AC270"/>
  <c r="H270"/>
  <c r="BT269"/>
  <c r="BS269"/>
  <c r="BR269"/>
  <c r="BQ269"/>
  <c r="BP269"/>
  <c r="BO269"/>
  <c r="BN269"/>
  <c r="BM269"/>
  <c r="BK269"/>
  <c r="BJ269"/>
  <c r="BI269"/>
  <c r="BH269"/>
  <c r="BG269"/>
  <c r="BF269"/>
  <c r="BE269"/>
  <c r="BD269"/>
  <c r="BC269"/>
  <c r="BB269"/>
  <c r="BA269" s="1"/>
  <c r="AX269"/>
  <c r="AW269"/>
  <c r="AV269"/>
  <c r="AC269"/>
  <c r="H269"/>
  <c r="G269"/>
  <c r="BT268"/>
  <c r="BS268"/>
  <c r="BR268"/>
  <c r="BQ268"/>
  <c r="BP268"/>
  <c r="BO268"/>
  <c r="BN268"/>
  <c r="BM268"/>
  <c r="BK268"/>
  <c r="BJ268"/>
  <c r="BI268"/>
  <c r="BH268"/>
  <c r="BG268"/>
  <c r="BF268"/>
  <c r="BE268"/>
  <c r="BD268"/>
  <c r="BC268"/>
  <c r="BB268"/>
  <c r="BA268" s="1"/>
  <c r="AX268"/>
  <c r="AW268"/>
  <c r="AV268"/>
  <c r="AC268"/>
  <c r="H268"/>
  <c r="G268"/>
  <c r="BT267"/>
  <c r="BS267"/>
  <c r="BR267"/>
  <c r="BQ267"/>
  <c r="BP267"/>
  <c r="BO267"/>
  <c r="BN267"/>
  <c r="BM267"/>
  <c r="BL267" s="1"/>
  <c r="BK267"/>
  <c r="BJ267"/>
  <c r="BI267"/>
  <c r="BH267"/>
  <c r="BG267"/>
  <c r="BF267"/>
  <c r="BE267"/>
  <c r="BD267"/>
  <c r="BA267" s="1"/>
  <c r="AZ267" s="1"/>
  <c r="BC267"/>
  <c r="BB267"/>
  <c r="AX267"/>
  <c r="AW267"/>
  <c r="AV267"/>
  <c r="AC267"/>
  <c r="H267"/>
  <c r="G267" s="1"/>
  <c r="BT266"/>
  <c r="BS266"/>
  <c r="BR266"/>
  <c r="BQ266"/>
  <c r="BP266"/>
  <c r="BO266"/>
  <c r="BN266"/>
  <c r="BM266"/>
  <c r="BL266" s="1"/>
  <c r="BK266"/>
  <c r="BJ266"/>
  <c r="BI266"/>
  <c r="BH266"/>
  <c r="BG266"/>
  <c r="BF266"/>
  <c r="BE266"/>
  <c r="BD266"/>
  <c r="BC266"/>
  <c r="BB266"/>
  <c r="AX266"/>
  <c r="AW266"/>
  <c r="AV266"/>
  <c r="AC266"/>
  <c r="H266"/>
  <c r="G266" s="1"/>
  <c r="BT265"/>
  <c r="BS265"/>
  <c r="BR265"/>
  <c r="BQ265"/>
  <c r="BP265"/>
  <c r="BO265"/>
  <c r="BN265"/>
  <c r="BM265"/>
  <c r="BL265" s="1"/>
  <c r="BK265"/>
  <c r="BJ265"/>
  <c r="BI265"/>
  <c r="BH265"/>
  <c r="BG265"/>
  <c r="BF265"/>
  <c r="BE265"/>
  <c r="BD265"/>
  <c r="BC265"/>
  <c r="BB265"/>
  <c r="AX265"/>
  <c r="AW265"/>
  <c r="AV265"/>
  <c r="AC265"/>
  <c r="H265"/>
  <c r="G265" s="1"/>
  <c r="BT264"/>
  <c r="BS264"/>
  <c r="BR264"/>
  <c r="BQ264"/>
  <c r="BP264"/>
  <c r="BO264"/>
  <c r="BN264"/>
  <c r="BM264"/>
  <c r="BL264" s="1"/>
  <c r="BK264"/>
  <c r="BJ264"/>
  <c r="BI264"/>
  <c r="BH264"/>
  <c r="BG264"/>
  <c r="BF264"/>
  <c r="BE264"/>
  <c r="BD264"/>
  <c r="BC264"/>
  <c r="BB264"/>
  <c r="AX264"/>
  <c r="AW264"/>
  <c r="AV264"/>
  <c r="AC264"/>
  <c r="H264"/>
  <c r="G264" s="1"/>
  <c r="BT263"/>
  <c r="BS263"/>
  <c r="BR263"/>
  <c r="BQ263"/>
  <c r="BP263"/>
  <c r="BO263"/>
  <c r="BN263"/>
  <c r="BM263"/>
  <c r="BK263"/>
  <c r="BJ263"/>
  <c r="BI263"/>
  <c r="BH263"/>
  <c r="BG263"/>
  <c r="BF263"/>
  <c r="BE263"/>
  <c r="BD263"/>
  <c r="BC263"/>
  <c r="BB263"/>
  <c r="BA263"/>
  <c r="AX263"/>
  <c r="AW263"/>
  <c r="AV263"/>
  <c r="AC263"/>
  <c r="H263"/>
  <c r="BT262"/>
  <c r="BS262"/>
  <c r="BR262"/>
  <c r="BQ262"/>
  <c r="BP262"/>
  <c r="BO262"/>
  <c r="BN262"/>
  <c r="BM262"/>
  <c r="BK262"/>
  <c r="BJ262"/>
  <c r="BI262"/>
  <c r="BH262"/>
  <c r="BG262"/>
  <c r="BF262"/>
  <c r="BE262"/>
  <c r="BD262"/>
  <c r="BC262"/>
  <c r="BB262"/>
  <c r="BA262" s="1"/>
  <c r="AX262"/>
  <c r="AW262"/>
  <c r="AV262"/>
  <c r="AC262"/>
  <c r="H262"/>
  <c r="BT261"/>
  <c r="BS261"/>
  <c r="BR261"/>
  <c r="BQ261"/>
  <c r="BP261"/>
  <c r="BO261"/>
  <c r="BL261" s="1"/>
  <c r="BN261"/>
  <c r="BM261"/>
  <c r="BK261"/>
  <c r="BJ261"/>
  <c r="BI261"/>
  <c r="BH261"/>
  <c r="BG261"/>
  <c r="BF261"/>
  <c r="BE261"/>
  <c r="BD261"/>
  <c r="BC261"/>
  <c r="BB261"/>
  <c r="AX261"/>
  <c r="AW261"/>
  <c r="AV261"/>
  <c r="AC261"/>
  <c r="H261"/>
  <c r="BT260"/>
  <c r="BS260"/>
  <c r="BR260"/>
  <c r="BQ260"/>
  <c r="BP260"/>
  <c r="BO260"/>
  <c r="BL260" s="1"/>
  <c r="BN260"/>
  <c r="BM260"/>
  <c r="BK260"/>
  <c r="BJ260"/>
  <c r="BI260"/>
  <c r="BH260"/>
  <c r="BG260"/>
  <c r="BF260"/>
  <c r="BE260"/>
  <c r="BD260"/>
  <c r="BC260"/>
  <c r="BB260"/>
  <c r="AX260"/>
  <c r="AW260"/>
  <c r="AV260"/>
  <c r="AC260"/>
  <c r="H260"/>
  <c r="G260"/>
  <c r="BT259"/>
  <c r="BS259"/>
  <c r="BR259"/>
  <c r="BQ259"/>
  <c r="BP259"/>
  <c r="BO259"/>
  <c r="BN259"/>
  <c r="BM259"/>
  <c r="BK259"/>
  <c r="BJ259"/>
  <c r="BI259"/>
  <c r="BH259"/>
  <c r="BG259"/>
  <c r="BF259"/>
  <c r="BE259"/>
  <c r="BD259"/>
  <c r="BC259"/>
  <c r="BB259"/>
  <c r="AX259"/>
  <c r="AW259"/>
  <c r="AV259"/>
  <c r="AC259"/>
  <c r="H259"/>
  <c r="G259"/>
  <c r="BT258"/>
  <c r="BS258"/>
  <c r="BR258"/>
  <c r="BQ258"/>
  <c r="BP258"/>
  <c r="BO258"/>
  <c r="BN258"/>
  <c r="BM258"/>
  <c r="BL258" s="1"/>
  <c r="BK258"/>
  <c r="BJ258"/>
  <c r="BI258"/>
  <c r="BH258"/>
  <c r="BG258"/>
  <c r="BF258"/>
  <c r="BE258"/>
  <c r="BD258"/>
  <c r="BA258" s="1"/>
  <c r="AZ258" s="1"/>
  <c r="BC258"/>
  <c r="BB258"/>
  <c r="AX258"/>
  <c r="AW258"/>
  <c r="AV258"/>
  <c r="AC258"/>
  <c r="H258"/>
  <c r="G258" s="1"/>
  <c r="BT257"/>
  <c r="BS257"/>
  <c r="BR257"/>
  <c r="BQ257"/>
  <c r="BP257"/>
  <c r="BO257"/>
  <c r="BN257"/>
  <c r="BM257"/>
  <c r="BL257" s="1"/>
  <c r="BK257"/>
  <c r="BJ257"/>
  <c r="BI257"/>
  <c r="BH257"/>
  <c r="BG257"/>
  <c r="BF257"/>
  <c r="BE257"/>
  <c r="BD257"/>
  <c r="BC257"/>
  <c r="BB257"/>
  <c r="AX257"/>
  <c r="AW257"/>
  <c r="AV257"/>
  <c r="AC257"/>
  <c r="H257"/>
  <c r="G257" s="1"/>
  <c r="BT256"/>
  <c r="BS256"/>
  <c r="BR256"/>
  <c r="BQ256"/>
  <c r="BP256"/>
  <c r="BO256"/>
  <c r="BN256"/>
  <c r="BM256"/>
  <c r="BL256" s="1"/>
  <c r="BK256"/>
  <c r="BJ256"/>
  <c r="BI256"/>
  <c r="BH256"/>
  <c r="BG256"/>
  <c r="BF256"/>
  <c r="BE256"/>
  <c r="BD256"/>
  <c r="BC256"/>
  <c r="BB256"/>
  <c r="AX256"/>
  <c r="AW256"/>
  <c r="AV256"/>
  <c r="AC256"/>
  <c r="H256"/>
  <c r="G256" s="1"/>
  <c r="BT255"/>
  <c r="BS255"/>
  <c r="BR255"/>
  <c r="BQ255"/>
  <c r="BP255"/>
  <c r="BO255"/>
  <c r="BN255"/>
  <c r="BM255"/>
  <c r="BL255" s="1"/>
  <c r="BK255"/>
  <c r="BJ255"/>
  <c r="BI255"/>
  <c r="BH255"/>
  <c r="BG255"/>
  <c r="BF255"/>
  <c r="BE255"/>
  <c r="BD255"/>
  <c r="BC255"/>
  <c r="BB255"/>
  <c r="AX255"/>
  <c r="AW255"/>
  <c r="AV255"/>
  <c r="AC255"/>
  <c r="H255"/>
  <c r="G255" s="1"/>
  <c r="BT254"/>
  <c r="BS254"/>
  <c r="BR254"/>
  <c r="BQ254"/>
  <c r="BP254"/>
  <c r="BO254"/>
  <c r="BN254"/>
  <c r="BM254"/>
  <c r="BK254"/>
  <c r="BJ254"/>
  <c r="BI254"/>
  <c r="BH254"/>
  <c r="BG254"/>
  <c r="BF254"/>
  <c r="BE254"/>
  <c r="BD254"/>
  <c r="BC254"/>
  <c r="BB254"/>
  <c r="BA254"/>
  <c r="AX254"/>
  <c r="AW254"/>
  <c r="AV254"/>
  <c r="AC254"/>
  <c r="H254"/>
  <c r="G254" s="1"/>
  <c r="BT253"/>
  <c r="BS253"/>
  <c r="BR253"/>
  <c r="BQ253"/>
  <c r="BP253"/>
  <c r="BO253"/>
  <c r="BN253"/>
  <c r="BM253"/>
  <c r="BK253"/>
  <c r="BJ253"/>
  <c r="BI253"/>
  <c r="BH253"/>
  <c r="BG253"/>
  <c r="BF253"/>
  <c r="BE253"/>
  <c r="BD253"/>
  <c r="BC253"/>
  <c r="BB253"/>
  <c r="BA253" s="1"/>
  <c r="AX253"/>
  <c r="AW253"/>
  <c r="AV253"/>
  <c r="AC253"/>
  <c r="H253"/>
  <c r="G253"/>
  <c r="BT252"/>
  <c r="BS252"/>
  <c r="BR252"/>
  <c r="BQ252"/>
  <c r="BP252"/>
  <c r="BO252"/>
  <c r="BN252"/>
  <c r="BM252"/>
  <c r="BK252"/>
  <c r="BJ252"/>
  <c r="BI252"/>
  <c r="BH252"/>
  <c r="BG252"/>
  <c r="BF252"/>
  <c r="BE252"/>
  <c r="BD252"/>
  <c r="BC252"/>
  <c r="BB252"/>
  <c r="AX252"/>
  <c r="AW252"/>
  <c r="AV252"/>
  <c r="AC252"/>
  <c r="H252"/>
  <c r="G252" s="1"/>
  <c r="BT251"/>
  <c r="BS251"/>
  <c r="BR251"/>
  <c r="BQ251"/>
  <c r="BP251"/>
  <c r="BO251"/>
  <c r="BN251"/>
  <c r="BM251"/>
  <c r="BL251"/>
  <c r="BK251"/>
  <c r="BJ251"/>
  <c r="BI251"/>
  <c r="BH251"/>
  <c r="BG251"/>
  <c r="BF251"/>
  <c r="BE251"/>
  <c r="BD251"/>
  <c r="BC251"/>
  <c r="BB251"/>
  <c r="AX251"/>
  <c r="AW251"/>
  <c r="AV251"/>
  <c r="AC251"/>
  <c r="H251"/>
  <c r="G251" s="1"/>
  <c r="BT250"/>
  <c r="BS250"/>
  <c r="BR250"/>
  <c r="BQ250"/>
  <c r="BP250"/>
  <c r="BO250"/>
  <c r="BN250"/>
  <c r="BM250"/>
  <c r="BL250"/>
  <c r="BK250"/>
  <c r="BJ250"/>
  <c r="BI250"/>
  <c r="BH250"/>
  <c r="BG250"/>
  <c r="BF250"/>
  <c r="BE250"/>
  <c r="BD250"/>
  <c r="BC250"/>
  <c r="BB250"/>
  <c r="AX250"/>
  <c r="AW250"/>
  <c r="AV250"/>
  <c r="AC250"/>
  <c r="H250"/>
  <c r="G250" s="1"/>
  <c r="BT249"/>
  <c r="BS249"/>
  <c r="BR249"/>
  <c r="BQ249"/>
  <c r="BP249"/>
  <c r="BO249"/>
  <c r="BN249"/>
  <c r="BM249"/>
  <c r="BL249"/>
  <c r="BK249"/>
  <c r="BJ249"/>
  <c r="BI249"/>
  <c r="BH249"/>
  <c r="BG249"/>
  <c r="BF249"/>
  <c r="BE249"/>
  <c r="BD249"/>
  <c r="BC249"/>
  <c r="BB249"/>
  <c r="AX249"/>
  <c r="AW249"/>
  <c r="AV249"/>
  <c r="AC249"/>
  <c r="H249"/>
  <c r="G249" s="1"/>
  <c r="BT248"/>
  <c r="BS248"/>
  <c r="BR248"/>
  <c r="BQ248"/>
  <c r="BP248"/>
  <c r="BO248"/>
  <c r="BN248"/>
  <c r="BM248"/>
  <c r="BL248"/>
  <c r="BK248"/>
  <c r="BJ248"/>
  <c r="BI248"/>
  <c r="BH248"/>
  <c r="BG248"/>
  <c r="BF248"/>
  <c r="BE248"/>
  <c r="BD248"/>
  <c r="BC248"/>
  <c r="BB248"/>
  <c r="AX248"/>
  <c r="AW248"/>
  <c r="AV248"/>
  <c r="AC248"/>
  <c r="H248"/>
  <c r="G248" s="1"/>
  <c r="BT247"/>
  <c r="BS247"/>
  <c r="BR247"/>
  <c r="BQ247"/>
  <c r="BP247"/>
  <c r="BO247"/>
  <c r="BN247"/>
  <c r="BM247"/>
  <c r="BL247"/>
  <c r="BK247"/>
  <c r="BJ247"/>
  <c r="BI247"/>
  <c r="BH247"/>
  <c r="BG247"/>
  <c r="BF247"/>
  <c r="BE247"/>
  <c r="BD247"/>
  <c r="BC247"/>
  <c r="BB247"/>
  <c r="AX247"/>
  <c r="AW247"/>
  <c r="AV247"/>
  <c r="AC247"/>
  <c r="H247"/>
  <c r="G247"/>
  <c r="BT246"/>
  <c r="BS246"/>
  <c r="BR246"/>
  <c r="BQ246"/>
  <c r="BP246"/>
  <c r="BO246"/>
  <c r="BN246"/>
  <c r="BM246"/>
  <c r="BL246" s="1"/>
  <c r="BK246"/>
  <c r="BJ246"/>
  <c r="BI246"/>
  <c r="BH246"/>
  <c r="BG246"/>
  <c r="BF246"/>
  <c r="BE246"/>
  <c r="BD246"/>
  <c r="BA246" s="1"/>
  <c r="AZ246" s="1"/>
  <c r="BC246"/>
  <c r="BB246"/>
  <c r="AX246"/>
  <c r="AW246"/>
  <c r="AV246"/>
  <c r="AC246"/>
  <c r="H246"/>
  <c r="G246" s="1"/>
  <c r="BT245"/>
  <c r="BS245"/>
  <c r="BR245"/>
  <c r="BQ245"/>
  <c r="BP245"/>
  <c r="BO245"/>
  <c r="BN245"/>
  <c r="BM245"/>
  <c r="BL245" s="1"/>
  <c r="BK245"/>
  <c r="BJ245"/>
  <c r="BI245"/>
  <c r="BH245"/>
  <c r="BG245"/>
  <c r="BF245"/>
  <c r="BE245"/>
  <c r="BD245"/>
  <c r="BC245"/>
  <c r="BB245"/>
  <c r="AX245"/>
  <c r="AW245"/>
  <c r="AV245"/>
  <c r="AC245"/>
  <c r="H245"/>
  <c r="G245" s="1"/>
  <c r="BT244"/>
  <c r="BS244"/>
  <c r="BR244"/>
  <c r="BQ244"/>
  <c r="BP244"/>
  <c r="BO244"/>
  <c r="BN244"/>
  <c r="BM244"/>
  <c r="BL244" s="1"/>
  <c r="BK244"/>
  <c r="BJ244"/>
  <c r="BI244"/>
  <c r="BH244"/>
  <c r="BG244"/>
  <c r="BF244"/>
  <c r="BE244"/>
  <c r="BD244"/>
  <c r="BC244"/>
  <c r="BB244"/>
  <c r="AX244"/>
  <c r="AW244"/>
  <c r="AV244"/>
  <c r="AC244"/>
  <c r="H244"/>
  <c r="G244" s="1"/>
  <c r="BT243"/>
  <c r="BS243"/>
  <c r="BR243"/>
  <c r="BQ243"/>
  <c r="BP243"/>
  <c r="BO243"/>
  <c r="BN243"/>
  <c r="BM243"/>
  <c r="BK243"/>
  <c r="BJ243"/>
  <c r="BI243"/>
  <c r="BH243"/>
  <c r="BG243"/>
  <c r="BF243"/>
  <c r="BE243"/>
  <c r="BD243"/>
  <c r="BC243"/>
  <c r="BB243"/>
  <c r="BA243"/>
  <c r="AX243"/>
  <c r="AW243"/>
  <c r="AV243"/>
  <c r="AC243"/>
  <c r="G243" s="1"/>
  <c r="H243"/>
  <c r="BT242"/>
  <c r="BS242"/>
  <c r="BR242"/>
  <c r="BQ242"/>
  <c r="BP242"/>
  <c r="BO242"/>
  <c r="BN242"/>
  <c r="BM242"/>
  <c r="BK242"/>
  <c r="BJ242"/>
  <c r="BI242"/>
  <c r="BH242"/>
  <c r="BG242"/>
  <c r="BF242"/>
  <c r="BE242"/>
  <c r="BD242"/>
  <c r="BC242"/>
  <c r="BB242"/>
  <c r="BA242" s="1"/>
  <c r="AX242"/>
  <c r="AW242"/>
  <c r="AV242"/>
  <c r="AC242"/>
  <c r="H242"/>
  <c r="G242" s="1"/>
  <c r="BT241"/>
  <c r="BS241"/>
  <c r="BR241"/>
  <c r="BQ241"/>
  <c r="BP241"/>
  <c r="BO241"/>
  <c r="BL241" s="1"/>
  <c r="BN241"/>
  <c r="BM241"/>
  <c r="BK241"/>
  <c r="BJ241"/>
  <c r="BI241"/>
  <c r="BH241"/>
  <c r="BG241"/>
  <c r="BF241"/>
  <c r="BE241"/>
  <c r="BD241"/>
  <c r="BC241"/>
  <c r="BB241"/>
  <c r="AX241"/>
  <c r="AW241"/>
  <c r="AV241"/>
  <c r="AC241"/>
  <c r="H241"/>
  <c r="G241" s="1"/>
  <c r="BT240"/>
  <c r="BS240"/>
  <c r="BR240"/>
  <c r="BQ240"/>
  <c r="BP240"/>
  <c r="BO240"/>
  <c r="BL240" s="1"/>
  <c r="BN240"/>
  <c r="BM240"/>
  <c r="BK240"/>
  <c r="BJ240"/>
  <c r="BI240"/>
  <c r="BH240"/>
  <c r="BG240"/>
  <c r="BF240"/>
  <c r="BE240"/>
  <c r="BD240"/>
  <c r="BC240"/>
  <c r="BB240"/>
  <c r="AX240"/>
  <c r="AW240"/>
  <c r="AV240"/>
  <c r="AC240"/>
  <c r="H240"/>
  <c r="G240" s="1"/>
  <c r="BT239"/>
  <c r="BS239"/>
  <c r="BR239"/>
  <c r="BQ239"/>
  <c r="BP239"/>
  <c r="BO239"/>
  <c r="BL239" s="1"/>
  <c r="BN239"/>
  <c r="BM239"/>
  <c r="BK239"/>
  <c r="BJ239"/>
  <c r="BI239"/>
  <c r="BH239"/>
  <c r="BG239"/>
  <c r="BF239"/>
  <c r="BE239"/>
  <c r="BD239"/>
  <c r="BC239"/>
  <c r="BB239"/>
  <c r="AX239"/>
  <c r="AW239"/>
  <c r="AV239"/>
  <c r="AC239"/>
  <c r="H239"/>
  <c r="G239"/>
  <c r="BT238"/>
  <c r="BS238"/>
  <c r="BR238"/>
  <c r="BQ238"/>
  <c r="BP238"/>
  <c r="BO238"/>
  <c r="BN238"/>
  <c r="BM238"/>
  <c r="BK238"/>
  <c r="BJ238"/>
  <c r="BI238"/>
  <c r="BH238"/>
  <c r="BG238"/>
  <c r="BF238"/>
  <c r="BE238"/>
  <c r="BD238"/>
  <c r="BC238"/>
  <c r="BA238" s="1"/>
  <c r="BB238"/>
  <c r="AX238"/>
  <c r="AW238"/>
  <c r="AV238"/>
  <c r="AC238"/>
  <c r="H238"/>
  <c r="G238"/>
  <c r="BT237"/>
  <c r="BS237"/>
  <c r="BR237"/>
  <c r="BQ237"/>
  <c r="BP237"/>
  <c r="BO237"/>
  <c r="BN237"/>
  <c r="BM237"/>
  <c r="BL237" s="1"/>
  <c r="BK237"/>
  <c r="BJ237"/>
  <c r="BI237"/>
  <c r="BH237"/>
  <c r="BG237"/>
  <c r="BF237"/>
  <c r="BE237"/>
  <c r="BD237"/>
  <c r="BA237" s="1"/>
  <c r="BC237"/>
  <c r="BB237"/>
  <c r="AX237"/>
  <c r="AW237"/>
  <c r="AV237"/>
  <c r="AC237"/>
  <c r="H237"/>
  <c r="G237" s="1"/>
  <c r="BT236"/>
  <c r="BS236"/>
  <c r="BR236"/>
  <c r="BQ236"/>
  <c r="BP236"/>
  <c r="BO236"/>
  <c r="BN236"/>
  <c r="BM236"/>
  <c r="BK236"/>
  <c r="BJ236"/>
  <c r="BI236"/>
  <c r="BH236"/>
  <c r="BG236"/>
  <c r="BF236"/>
  <c r="BE236"/>
  <c r="BD236"/>
  <c r="BC236"/>
  <c r="BB236"/>
  <c r="BA236"/>
  <c r="AX236"/>
  <c r="AW236"/>
  <c r="AV236"/>
  <c r="AC236"/>
  <c r="H236"/>
  <c r="BT235"/>
  <c r="BS235"/>
  <c r="BR235"/>
  <c r="BQ235"/>
  <c r="BP235"/>
  <c r="BO235"/>
  <c r="BN235"/>
  <c r="BL235" s="1"/>
  <c r="BM235"/>
  <c r="BK235"/>
  <c r="BJ235"/>
  <c r="BI235"/>
  <c r="BH235"/>
  <c r="BG235"/>
  <c r="BF235"/>
  <c r="BE235"/>
  <c r="BD235"/>
  <c r="BC235"/>
  <c r="BB235"/>
  <c r="BA235" s="1"/>
  <c r="AX235"/>
  <c r="AW235"/>
  <c r="AV235"/>
  <c r="AC235"/>
  <c r="H235"/>
  <c r="BT234"/>
  <c r="BS234"/>
  <c r="BR234"/>
  <c r="BQ234"/>
  <c r="BP234"/>
  <c r="BO234"/>
  <c r="BN234"/>
  <c r="BL234" s="1"/>
  <c r="BM234"/>
  <c r="BK234"/>
  <c r="BJ234"/>
  <c r="BI234"/>
  <c r="BH234"/>
  <c r="BG234"/>
  <c r="BF234"/>
  <c r="BE234"/>
  <c r="BD234"/>
  <c r="BC234"/>
  <c r="BB234"/>
  <c r="BA234" s="1"/>
  <c r="AX234"/>
  <c r="AW234"/>
  <c r="AV234"/>
  <c r="AC234"/>
  <c r="H234"/>
  <c r="BT233"/>
  <c r="BS233"/>
  <c r="BR233"/>
  <c r="BQ233"/>
  <c r="BP233"/>
  <c r="BO233"/>
  <c r="BN233"/>
  <c r="BL233" s="1"/>
  <c r="BM233"/>
  <c r="BK233"/>
  <c r="BJ233"/>
  <c r="BI233"/>
  <c r="BH233"/>
  <c r="BG233"/>
  <c r="BF233"/>
  <c r="BE233"/>
  <c r="BD233"/>
  <c r="BC233"/>
  <c r="BB233"/>
  <c r="BA233" s="1"/>
  <c r="AX233"/>
  <c r="AW233"/>
  <c r="AV233"/>
  <c r="AC233"/>
  <c r="H233"/>
  <c r="BT232"/>
  <c r="BS232"/>
  <c r="BR232"/>
  <c r="BQ232"/>
  <c r="BP232"/>
  <c r="BO232"/>
  <c r="BN232"/>
  <c r="BL232" s="1"/>
  <c r="BM232"/>
  <c r="BK232"/>
  <c r="BJ232"/>
  <c r="BI232"/>
  <c r="BH232"/>
  <c r="BG232"/>
  <c r="BF232"/>
  <c r="BE232"/>
  <c r="BD232"/>
  <c r="BC232"/>
  <c r="BB232"/>
  <c r="BA232" s="1"/>
  <c r="AX232"/>
  <c r="AW232"/>
  <c r="AV232"/>
  <c r="AC232"/>
  <c r="H232"/>
  <c r="BT231"/>
  <c r="BS231"/>
  <c r="BR231"/>
  <c r="BQ231"/>
  <c r="BP231"/>
  <c r="BO231"/>
  <c r="BN231"/>
  <c r="BM231"/>
  <c r="BL231" s="1"/>
  <c r="BK231"/>
  <c r="BJ231"/>
  <c r="BI231"/>
  <c r="BH231"/>
  <c r="BG231"/>
  <c r="BF231"/>
  <c r="BE231"/>
  <c r="BD231"/>
  <c r="BC231"/>
  <c r="BB231"/>
  <c r="BA231" s="1"/>
  <c r="AX231"/>
  <c r="AW231"/>
  <c r="AV231"/>
  <c r="AC231"/>
  <c r="H231"/>
  <c r="G231" s="1"/>
  <c r="BT230"/>
  <c r="BS230"/>
  <c r="BR230"/>
  <c r="BQ230"/>
  <c r="BP230"/>
  <c r="BO230"/>
  <c r="BN230"/>
  <c r="BM230"/>
  <c r="BK230"/>
  <c r="BJ230"/>
  <c r="BI230"/>
  <c r="BH230"/>
  <c r="BG230"/>
  <c r="BF230"/>
  <c r="BE230"/>
  <c r="BD230"/>
  <c r="BC230"/>
  <c r="BB230"/>
  <c r="BA230" s="1"/>
  <c r="AX230"/>
  <c r="AW230"/>
  <c r="AV230"/>
  <c r="AC230"/>
  <c r="H230"/>
  <c r="BT229"/>
  <c r="BS229"/>
  <c r="BR229"/>
  <c r="BQ229"/>
  <c r="BP229"/>
  <c r="BO229"/>
  <c r="BL229" s="1"/>
  <c r="BN229"/>
  <c r="BM229"/>
  <c r="BK229"/>
  <c r="BJ229"/>
  <c r="BI229"/>
  <c r="BH229"/>
  <c r="BG229"/>
  <c r="BF229"/>
  <c r="BE229"/>
  <c r="BD229"/>
  <c r="BC229"/>
  <c r="BB229"/>
  <c r="AX229"/>
  <c r="AW229"/>
  <c r="AV229"/>
  <c r="AC229"/>
  <c r="H229"/>
  <c r="BT228"/>
  <c r="BS228"/>
  <c r="BR228"/>
  <c r="BQ228"/>
  <c r="BP228"/>
  <c r="BO228"/>
  <c r="BL228" s="1"/>
  <c r="BN228"/>
  <c r="BM228"/>
  <c r="BK228"/>
  <c r="BJ228"/>
  <c r="BI228"/>
  <c r="BH228"/>
  <c r="BG228"/>
  <c r="BF228"/>
  <c r="BE228"/>
  <c r="BD228"/>
  <c r="BC228"/>
  <c r="BB228"/>
  <c r="AX228"/>
  <c r="AW228"/>
  <c r="AV228"/>
  <c r="AC228"/>
  <c r="H228"/>
  <c r="G228"/>
  <c r="BT227"/>
  <c r="BS227"/>
  <c r="BR227"/>
  <c r="BQ227"/>
  <c r="BP227"/>
  <c r="BO227"/>
  <c r="BN227"/>
  <c r="BM227"/>
  <c r="BK227"/>
  <c r="BJ227"/>
  <c r="BI227"/>
  <c r="BH227"/>
  <c r="BG227"/>
  <c r="BF227"/>
  <c r="BE227"/>
  <c r="BD227"/>
  <c r="BC227"/>
  <c r="BB227"/>
  <c r="BA227" s="1"/>
  <c r="AX227"/>
  <c r="AW227"/>
  <c r="AV227"/>
  <c r="AC227"/>
  <c r="H227"/>
  <c r="G227"/>
  <c r="BT226"/>
  <c r="BS226"/>
  <c r="BR226"/>
  <c r="BQ226"/>
  <c r="BP226"/>
  <c r="BO226"/>
  <c r="BN226"/>
  <c r="BM226"/>
  <c r="BL226" s="1"/>
  <c r="BK226"/>
  <c r="BJ226"/>
  <c r="BI226"/>
  <c r="BH226"/>
  <c r="BG226"/>
  <c r="BF226"/>
  <c r="BE226"/>
  <c r="BD226"/>
  <c r="BA226" s="1"/>
  <c r="AZ226" s="1"/>
  <c r="BC226"/>
  <c r="BB226"/>
  <c r="AX226"/>
  <c r="AW226"/>
  <c r="AV226"/>
  <c r="AC226"/>
  <c r="H226"/>
  <c r="G226" s="1"/>
  <c r="BT225"/>
  <c r="BS225"/>
  <c r="BR225"/>
  <c r="BQ225"/>
  <c r="BP225"/>
  <c r="BO225"/>
  <c r="BN225"/>
  <c r="BM225"/>
  <c r="BL225" s="1"/>
  <c r="BK225"/>
  <c r="BJ225"/>
  <c r="BI225"/>
  <c r="BH225"/>
  <c r="BG225"/>
  <c r="BF225"/>
  <c r="BE225"/>
  <c r="BD225"/>
  <c r="BC225"/>
  <c r="BB225"/>
  <c r="AX225"/>
  <c r="AW225"/>
  <c r="AV225"/>
  <c r="AC225"/>
  <c r="H225"/>
  <c r="G225" s="1"/>
  <c r="BT224"/>
  <c r="BS224"/>
  <c r="BR224"/>
  <c r="BQ224"/>
  <c r="BP224"/>
  <c r="BO224"/>
  <c r="BN224"/>
  <c r="BM224"/>
  <c r="BK224"/>
  <c r="BJ224"/>
  <c r="BI224"/>
  <c r="BH224"/>
  <c r="BG224"/>
  <c r="BF224"/>
  <c r="BE224"/>
  <c r="BD224"/>
  <c r="BC224"/>
  <c r="BB224"/>
  <c r="BA224"/>
  <c r="AX224"/>
  <c r="AW224"/>
  <c r="AV224"/>
  <c r="AC224"/>
  <c r="H224"/>
  <c r="G224" s="1"/>
  <c r="BT223"/>
  <c r="BS223"/>
  <c r="BR223"/>
  <c r="BQ223"/>
  <c r="BP223"/>
  <c r="BO223"/>
  <c r="BN223"/>
  <c r="BM223"/>
  <c r="BK223"/>
  <c r="BJ223"/>
  <c r="BI223"/>
  <c r="BH223"/>
  <c r="BG223"/>
  <c r="BF223"/>
  <c r="BE223"/>
  <c r="BD223"/>
  <c r="BC223"/>
  <c r="BB223"/>
  <c r="BA223" s="1"/>
  <c r="AX223"/>
  <c r="AW223"/>
  <c r="AV223"/>
  <c r="AC223"/>
  <c r="H223"/>
  <c r="G223"/>
  <c r="BT222"/>
  <c r="BS222"/>
  <c r="BR222"/>
  <c r="BQ222"/>
  <c r="BP222"/>
  <c r="BO222"/>
  <c r="BN222"/>
  <c r="BM222"/>
  <c r="BK222"/>
  <c r="BJ222"/>
  <c r="BI222"/>
  <c r="BH222"/>
  <c r="BG222"/>
  <c r="BF222"/>
  <c r="BE222"/>
  <c r="BD222"/>
  <c r="BC222"/>
  <c r="BB222"/>
  <c r="AX222"/>
  <c r="AW222"/>
  <c r="AV222"/>
  <c r="AC222"/>
  <c r="H222"/>
  <c r="G222"/>
  <c r="BT221"/>
  <c r="BS221"/>
  <c r="BR221"/>
  <c r="BQ221"/>
  <c r="BP221"/>
  <c r="BO221"/>
  <c r="BN221"/>
  <c r="BM221"/>
  <c r="BL221" s="1"/>
  <c r="BK221"/>
  <c r="BJ221"/>
  <c r="BI221"/>
  <c r="BH221"/>
  <c r="BG221"/>
  <c r="BF221"/>
  <c r="BE221"/>
  <c r="BD221"/>
  <c r="BA221" s="1"/>
  <c r="AZ221" s="1"/>
  <c r="BC221"/>
  <c r="BB221"/>
  <c r="AX221"/>
  <c r="AW221"/>
  <c r="AV221"/>
  <c r="AC221"/>
  <c r="H221"/>
  <c r="G221" s="1"/>
  <c r="BT220"/>
  <c r="BS220"/>
  <c r="BR220"/>
  <c r="BQ220"/>
  <c r="BP220"/>
  <c r="BO220"/>
  <c r="BN220"/>
  <c r="BM220"/>
  <c r="BL220" s="1"/>
  <c r="BK220"/>
  <c r="BJ220"/>
  <c r="BI220"/>
  <c r="BH220"/>
  <c r="BG220"/>
  <c r="BF220"/>
  <c r="BE220"/>
  <c r="BD220"/>
  <c r="BC220"/>
  <c r="BB220"/>
  <c r="AX220"/>
  <c r="AW220"/>
  <c r="AV220"/>
  <c r="AC220"/>
  <c r="H220"/>
  <c r="G220" s="1"/>
  <c r="BT219"/>
  <c r="BS219"/>
  <c r="BR219"/>
  <c r="BQ219"/>
  <c r="BP219"/>
  <c r="BO219"/>
  <c r="BN219"/>
  <c r="BM219"/>
  <c r="BK219"/>
  <c r="BJ219"/>
  <c r="BI219"/>
  <c r="BH219"/>
  <c r="BG219"/>
  <c r="BF219"/>
  <c r="BE219"/>
  <c r="BD219"/>
  <c r="BC219"/>
  <c r="BB219"/>
  <c r="BA219"/>
  <c r="AX219"/>
  <c r="AW219"/>
  <c r="AV219"/>
  <c r="AC219"/>
  <c r="H219"/>
  <c r="BT218"/>
  <c r="BS218"/>
  <c r="BR218"/>
  <c r="BQ218"/>
  <c r="BP218"/>
  <c r="BO218"/>
  <c r="BN218"/>
  <c r="BM218"/>
  <c r="BK218"/>
  <c r="BJ218"/>
  <c r="BI218"/>
  <c r="BH218"/>
  <c r="BG218"/>
  <c r="BF218"/>
  <c r="BE218"/>
  <c r="BD218"/>
  <c r="BC218"/>
  <c r="BB218"/>
  <c r="BA218" s="1"/>
  <c r="AX218"/>
  <c r="AW218"/>
  <c r="AV218"/>
  <c r="AC218"/>
  <c r="H218"/>
  <c r="BT217"/>
  <c r="BS217"/>
  <c r="BR217"/>
  <c r="BQ217"/>
  <c r="BP217"/>
  <c r="BO217"/>
  <c r="BN217"/>
  <c r="BM217"/>
  <c r="BK217"/>
  <c r="BJ217"/>
  <c r="BI217"/>
  <c r="BH217"/>
  <c r="BG217"/>
  <c r="BF217"/>
  <c r="BE217"/>
  <c r="BD217"/>
  <c r="BC217"/>
  <c r="BB217"/>
  <c r="BA217" s="1"/>
  <c r="AX217"/>
  <c r="AW217"/>
  <c r="AV217"/>
  <c r="AC217"/>
  <c r="H217"/>
  <c r="G217" s="1"/>
  <c r="BT216"/>
  <c r="BS216"/>
  <c r="BR216"/>
  <c r="BQ216"/>
  <c r="BP216"/>
  <c r="BO216"/>
  <c r="BN216"/>
  <c r="BM216"/>
  <c r="BK216"/>
  <c r="BJ216"/>
  <c r="BI216"/>
  <c r="BH216"/>
  <c r="BG216"/>
  <c r="BF216"/>
  <c r="BE216"/>
  <c r="BD216"/>
  <c r="BC216"/>
  <c r="BB216"/>
  <c r="BA216" s="1"/>
  <c r="AX216"/>
  <c r="AW216"/>
  <c r="AV216"/>
  <c r="AC216"/>
  <c r="H216"/>
  <c r="BT215"/>
  <c r="BS215"/>
  <c r="BR215"/>
  <c r="BQ215"/>
  <c r="BP215"/>
  <c r="BO215"/>
  <c r="BL215" s="1"/>
  <c r="BN215"/>
  <c r="BM215"/>
  <c r="BK215"/>
  <c r="BJ215"/>
  <c r="BI215"/>
  <c r="BH215"/>
  <c r="BG215"/>
  <c r="BF215"/>
  <c r="BE215"/>
  <c r="BD215"/>
  <c r="BC215"/>
  <c r="BB215"/>
  <c r="AX215"/>
  <c r="AW215"/>
  <c r="AV215"/>
  <c r="AC215"/>
  <c r="H215"/>
  <c r="BT214"/>
  <c r="BS214"/>
  <c r="BR214"/>
  <c r="BQ214"/>
  <c r="BP214"/>
  <c r="BO214"/>
  <c r="BL214" s="1"/>
  <c r="BN214"/>
  <c r="BM214"/>
  <c r="BK214"/>
  <c r="BJ214"/>
  <c r="BI214"/>
  <c r="BH214"/>
  <c r="BG214"/>
  <c r="BF214"/>
  <c r="BE214"/>
  <c r="BD214"/>
  <c r="BC214"/>
  <c r="BB214"/>
  <c r="AX214"/>
  <c r="AW214"/>
  <c r="AV214"/>
  <c r="AC214"/>
  <c r="H214"/>
  <c r="BT213"/>
  <c r="BS213"/>
  <c r="BR213"/>
  <c r="BQ213"/>
  <c r="BP213"/>
  <c r="BO213"/>
  <c r="BL213" s="1"/>
  <c r="BN213"/>
  <c r="BM213"/>
  <c r="BK213"/>
  <c r="BJ213"/>
  <c r="BI213"/>
  <c r="BH213"/>
  <c r="BG213"/>
  <c r="BF213"/>
  <c r="BE213"/>
  <c r="BD213"/>
  <c r="BC213"/>
  <c r="BB213"/>
  <c r="AX213"/>
  <c r="AW213"/>
  <c r="AV213"/>
  <c r="AC213"/>
  <c r="H213"/>
  <c r="BT212"/>
  <c r="BS212"/>
  <c r="BR212"/>
  <c r="BQ212"/>
  <c r="BP212"/>
  <c r="BO212"/>
  <c r="BL212" s="1"/>
  <c r="BN212"/>
  <c r="BM212"/>
  <c r="BK212"/>
  <c r="BJ212"/>
  <c r="BI212"/>
  <c r="BH212"/>
  <c r="BG212"/>
  <c r="BF212"/>
  <c r="BE212"/>
  <c r="BD212"/>
  <c r="BC212"/>
  <c r="BB212"/>
  <c r="AX212"/>
  <c r="AW212"/>
  <c r="AV212"/>
  <c r="AC212"/>
  <c r="H212"/>
  <c r="G212"/>
  <c r="BT211"/>
  <c r="BS211"/>
  <c r="BR211"/>
  <c r="BQ211"/>
  <c r="BP211"/>
  <c r="BO211"/>
  <c r="BN211"/>
  <c r="BM211"/>
  <c r="BK211"/>
  <c r="BJ211"/>
  <c r="BI211"/>
  <c r="BH211"/>
  <c r="BG211"/>
  <c r="BF211"/>
  <c r="BE211"/>
  <c r="BD211"/>
  <c r="BC211"/>
  <c r="BB211"/>
  <c r="AX211"/>
  <c r="AW211"/>
  <c r="AV211"/>
  <c r="AC211"/>
  <c r="H211"/>
  <c r="G211" s="1"/>
  <c r="BT210"/>
  <c r="BS210"/>
  <c r="BR210"/>
  <c r="BQ210"/>
  <c r="BP210"/>
  <c r="BO210"/>
  <c r="BN210"/>
  <c r="BM210"/>
  <c r="BL210"/>
  <c r="BK210"/>
  <c r="BJ210"/>
  <c r="BI210"/>
  <c r="BH210"/>
  <c r="BG210"/>
  <c r="BF210"/>
  <c r="BE210"/>
  <c r="BD210"/>
  <c r="BC210"/>
  <c r="BB210"/>
  <c r="AX210"/>
  <c r="AW210"/>
  <c r="AV210"/>
  <c r="AC210"/>
  <c r="H210"/>
  <c r="G210"/>
  <c r="BT209"/>
  <c r="BS209"/>
  <c r="BR209"/>
  <c r="BQ209"/>
  <c r="BP209"/>
  <c r="BO209"/>
  <c r="BN209"/>
  <c r="BM209"/>
  <c r="BL209" s="1"/>
  <c r="BK209"/>
  <c r="BJ209"/>
  <c r="BI209"/>
  <c r="BH209"/>
  <c r="BG209"/>
  <c r="BF209"/>
  <c r="BE209"/>
  <c r="BD209"/>
  <c r="BA209" s="1"/>
  <c r="BC209"/>
  <c r="BB209"/>
  <c r="AX209"/>
  <c r="AW209"/>
  <c r="AV209"/>
  <c r="AC209"/>
  <c r="H209"/>
  <c r="G209" s="1"/>
  <c r="BT208"/>
  <c r="BS208"/>
  <c r="BR208"/>
  <c r="BQ208"/>
  <c r="BP208"/>
  <c r="BO208"/>
  <c r="BN208"/>
  <c r="BM208"/>
  <c r="BK208"/>
  <c r="BJ208"/>
  <c r="BI208"/>
  <c r="BH208"/>
  <c r="BG208"/>
  <c r="BF208"/>
  <c r="BE208"/>
  <c r="BD208"/>
  <c r="BC208"/>
  <c r="BB208"/>
  <c r="BA208"/>
  <c r="AX208"/>
  <c r="AW208"/>
  <c r="AV208"/>
  <c r="AC208"/>
  <c r="H208"/>
  <c r="BT397"/>
  <c r="BS397"/>
  <c r="BR397"/>
  <c r="BQ397"/>
  <c r="BP397"/>
  <c r="BO397"/>
  <c r="BN397"/>
  <c r="BM397"/>
  <c r="BL397" s="1"/>
  <c r="BK397"/>
  <c r="BJ397"/>
  <c r="BI397"/>
  <c r="BH397"/>
  <c r="BG397"/>
  <c r="BF397"/>
  <c r="BE397"/>
  <c r="BD397"/>
  <c r="BC397"/>
  <c r="BB397"/>
  <c r="BA397" s="1"/>
  <c r="AZ397" s="1"/>
  <c r="AX397"/>
  <c r="AW397"/>
  <c r="AV397"/>
  <c r="AC397"/>
  <c r="H397"/>
  <c r="G397"/>
  <c r="BT396"/>
  <c r="BS396"/>
  <c r="BR396"/>
  <c r="BQ396"/>
  <c r="BP396"/>
  <c r="BO396"/>
  <c r="BN396"/>
  <c r="BM396"/>
  <c r="BK396"/>
  <c r="BJ396"/>
  <c r="BI396"/>
  <c r="BH396"/>
  <c r="BG396"/>
  <c r="BF396"/>
  <c r="BE396"/>
  <c r="BD396"/>
  <c r="BC396"/>
  <c r="BB396"/>
  <c r="AX396"/>
  <c r="AW396"/>
  <c r="AV396"/>
  <c r="AC396"/>
  <c r="H396"/>
  <c r="G396"/>
  <c r="BT395"/>
  <c r="BS395"/>
  <c r="BR395"/>
  <c r="BQ395"/>
  <c r="BP395"/>
  <c r="BO395"/>
  <c r="BN395"/>
  <c r="BM395"/>
  <c r="BL395" s="1"/>
  <c r="BK395"/>
  <c r="BJ395"/>
  <c r="BI395"/>
  <c r="BH395"/>
  <c r="BG395"/>
  <c r="BF395"/>
  <c r="BE395"/>
  <c r="BD395"/>
  <c r="BA395" s="1"/>
  <c r="AZ395" s="1"/>
  <c r="BC395"/>
  <c r="BB395"/>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G387" s="1"/>
  <c r="BT386"/>
  <c r="BS386"/>
  <c r="BR386"/>
  <c r="BQ386"/>
  <c r="BP386"/>
  <c r="BO386"/>
  <c r="BN386"/>
  <c r="BM386"/>
  <c r="BK386"/>
  <c r="BJ386"/>
  <c r="BI386"/>
  <c r="BH386"/>
  <c r="BG386"/>
  <c r="BF386"/>
  <c r="BE386"/>
  <c r="BD386"/>
  <c r="BC386"/>
  <c r="BB386"/>
  <c r="BA386"/>
  <c r="AX386"/>
  <c r="AW386"/>
  <c r="AV386"/>
  <c r="AC386"/>
  <c r="H386"/>
  <c r="BT385"/>
  <c r="BS385"/>
  <c r="BR385"/>
  <c r="BQ385"/>
  <c r="BP385"/>
  <c r="BO385"/>
  <c r="BN385"/>
  <c r="BM385"/>
  <c r="BL385" s="1"/>
  <c r="BK385"/>
  <c r="BJ385"/>
  <c r="BI385"/>
  <c r="BH385"/>
  <c r="BG385"/>
  <c r="BF385"/>
  <c r="BE385"/>
  <c r="BD385"/>
  <c r="BC385"/>
  <c r="BB385"/>
  <c r="BA385" s="1"/>
  <c r="AX385"/>
  <c r="AW385"/>
  <c r="AV385"/>
  <c r="AC385"/>
  <c r="H385"/>
  <c r="BT384"/>
  <c r="BS384"/>
  <c r="BR384"/>
  <c r="BQ384"/>
  <c r="BP384"/>
  <c r="BO384"/>
  <c r="BN384"/>
  <c r="BM384"/>
  <c r="BK384"/>
  <c r="BJ384"/>
  <c r="BI384"/>
  <c r="BH384"/>
  <c r="BG384"/>
  <c r="BF384"/>
  <c r="BE384"/>
  <c r="BD384"/>
  <c r="BC384"/>
  <c r="BB384"/>
  <c r="BA384"/>
  <c r="AX384"/>
  <c r="AW384"/>
  <c r="AV384"/>
  <c r="AC384"/>
  <c r="H384"/>
  <c r="BT383"/>
  <c r="BS383"/>
  <c r="BR383"/>
  <c r="BQ383"/>
  <c r="BP383"/>
  <c r="BO383"/>
  <c r="BN383"/>
  <c r="BM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A374" s="1"/>
  <c r="BC374"/>
  <c r="BB374"/>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K368"/>
  <c r="BJ368"/>
  <c r="BI368"/>
  <c r="BH368"/>
  <c r="BG368"/>
  <c r="BF368"/>
  <c r="BE368"/>
  <c r="BD368"/>
  <c r="BC368"/>
  <c r="BB368"/>
  <c r="BA368" s="1"/>
  <c r="AX368"/>
  <c r="AW368"/>
  <c r="AV368"/>
  <c r="AC368"/>
  <c r="H368"/>
  <c r="BT367"/>
  <c r="BS367"/>
  <c r="BR367"/>
  <c r="BQ367"/>
  <c r="BP367"/>
  <c r="BO367"/>
  <c r="BN367"/>
  <c r="BM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c r="AX366"/>
  <c r="AW366"/>
  <c r="AV366"/>
  <c r="AC366"/>
  <c r="H366"/>
  <c r="BT365"/>
  <c r="BS365"/>
  <c r="BR365"/>
  <c r="BQ365"/>
  <c r="BP365"/>
  <c r="BO365"/>
  <c r="BN365"/>
  <c r="BM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G358" s="1"/>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BA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s="1"/>
  <c r="BK350"/>
  <c r="BJ350"/>
  <c r="BI350"/>
  <c r="BH350"/>
  <c r="BG350"/>
  <c r="BF350"/>
  <c r="BE350"/>
  <c r="BD350"/>
  <c r="BA350" s="1"/>
  <c r="BC350"/>
  <c r="BB350"/>
  <c r="AX350"/>
  <c r="AW350"/>
  <c r="AV350"/>
  <c r="AC350"/>
  <c r="H350"/>
  <c r="BT349"/>
  <c r="BS349"/>
  <c r="BR349"/>
  <c r="BQ349"/>
  <c r="BP349"/>
  <c r="BO349"/>
  <c r="BN349"/>
  <c r="BM349"/>
  <c r="BK349"/>
  <c r="BJ349"/>
  <c r="BI349"/>
  <c r="BH349"/>
  <c r="BG349"/>
  <c r="BF349"/>
  <c r="BE349"/>
  <c r="BD349"/>
  <c r="BA349" s="1"/>
  <c r="BC349"/>
  <c r="BB349"/>
  <c r="AX349"/>
  <c r="AW349"/>
  <c r="AV349"/>
  <c r="AC349"/>
  <c r="H349"/>
  <c r="G349" s="1"/>
  <c r="BT348"/>
  <c r="BS348"/>
  <c r="BR348"/>
  <c r="BQ348"/>
  <c r="BP348"/>
  <c r="BO348"/>
  <c r="BN348"/>
  <c r="BM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L333" s="1"/>
  <c r="BN333"/>
  <c r="BM333"/>
  <c r="BK333"/>
  <c r="BJ333"/>
  <c r="BI333"/>
  <c r="BH333"/>
  <c r="BG333"/>
  <c r="BF333"/>
  <c r="BE333"/>
  <c r="BD333"/>
  <c r="BC333"/>
  <c r="BB333"/>
  <c r="AX333"/>
  <c r="AW333"/>
  <c r="AV333"/>
  <c r="AC333"/>
  <c r="H333"/>
  <c r="BT332"/>
  <c r="BS332"/>
  <c r="BR332"/>
  <c r="BQ332"/>
  <c r="BP332"/>
  <c r="BO332"/>
  <c r="BN332"/>
  <c r="BM332"/>
  <c r="BK332"/>
  <c r="BJ332"/>
  <c r="BI332"/>
  <c r="BH332"/>
  <c r="BG332"/>
  <c r="BF332"/>
  <c r="BE332"/>
  <c r="BD332"/>
  <c r="BC332"/>
  <c r="BB332"/>
  <c r="BA332" s="1"/>
  <c r="AX332"/>
  <c r="AW332"/>
  <c r="AV332"/>
  <c r="AC332"/>
  <c r="H332"/>
  <c r="BT331"/>
  <c r="BS331"/>
  <c r="BR331"/>
  <c r="BQ331"/>
  <c r="BP331"/>
  <c r="BO331"/>
  <c r="BN331"/>
  <c r="BM331"/>
  <c r="BK331"/>
  <c r="BJ331"/>
  <c r="BI331"/>
  <c r="BH331"/>
  <c r="BG331"/>
  <c r="BF331"/>
  <c r="BE331"/>
  <c r="BD331"/>
  <c r="BC331"/>
  <c r="BB331"/>
  <c r="BA331" s="1"/>
  <c r="AX331"/>
  <c r="AW331"/>
  <c r="AV331"/>
  <c r="AC331"/>
  <c r="H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BT317"/>
  <c r="BS317"/>
  <c r="BR317"/>
  <c r="BQ317"/>
  <c r="BP317"/>
  <c r="BO317"/>
  <c r="BN317"/>
  <c r="BM317"/>
  <c r="BL317"/>
  <c r="BK317"/>
  <c r="BJ317"/>
  <c r="BI317"/>
  <c r="BH317"/>
  <c r="BG317"/>
  <c r="BF317"/>
  <c r="BE317"/>
  <c r="BD317"/>
  <c r="BC317"/>
  <c r="BB317"/>
  <c r="AX317"/>
  <c r="AW317"/>
  <c r="AV317"/>
  <c r="AC317"/>
  <c r="H317"/>
  <c r="BT316"/>
  <c r="BS316"/>
  <c r="BR316"/>
  <c r="BQ316"/>
  <c r="BP316"/>
  <c r="BO316"/>
  <c r="BN316"/>
  <c r="BM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492"/>
  <c r="BS492"/>
  <c r="BR492"/>
  <c r="BQ492"/>
  <c r="BP492"/>
  <c r="BO492"/>
  <c r="BN492"/>
  <c r="BM492"/>
  <c r="BL492"/>
  <c r="BK492"/>
  <c r="BJ492"/>
  <c r="BI492"/>
  <c r="BH492"/>
  <c r="BG492"/>
  <c r="BF492"/>
  <c r="BE492"/>
  <c r="BD492"/>
  <c r="BC492"/>
  <c r="BB492"/>
  <c r="AX492"/>
  <c r="AW492"/>
  <c r="AV492"/>
  <c r="AC492"/>
  <c r="H492"/>
  <c r="G492"/>
  <c r="BT491"/>
  <c r="BS491"/>
  <c r="BR491"/>
  <c r="BQ491"/>
  <c r="BP491"/>
  <c r="BO491"/>
  <c r="BN491"/>
  <c r="BM491"/>
  <c r="BL491" s="1"/>
  <c r="BK491"/>
  <c r="BJ491"/>
  <c r="BI491"/>
  <c r="BH491"/>
  <c r="BG491"/>
  <c r="BF491"/>
  <c r="BE491"/>
  <c r="BD491"/>
  <c r="BA491" s="1"/>
  <c r="BC491"/>
  <c r="BB491"/>
  <c r="AX491"/>
  <c r="AW491"/>
  <c r="AV491"/>
  <c r="AC491"/>
  <c r="H491"/>
  <c r="G491" s="1"/>
  <c r="BT490"/>
  <c r="BS490"/>
  <c r="BR490"/>
  <c r="BQ490"/>
  <c r="BP490"/>
  <c r="BO490"/>
  <c r="BN490"/>
  <c r="BM490"/>
  <c r="BK490"/>
  <c r="BJ490"/>
  <c r="BI490"/>
  <c r="BH490"/>
  <c r="BG490"/>
  <c r="BF490"/>
  <c r="BE490"/>
  <c r="BD490"/>
  <c r="BC490"/>
  <c r="BB490"/>
  <c r="BA490"/>
  <c r="AX490"/>
  <c r="AW490"/>
  <c r="AV490"/>
  <c r="AC490"/>
  <c r="H490"/>
  <c r="G490" s="1"/>
  <c r="BT489"/>
  <c r="BS489"/>
  <c r="BR489"/>
  <c r="BQ489"/>
  <c r="BP489"/>
  <c r="BO489"/>
  <c r="BN489"/>
  <c r="BM489"/>
  <c r="BK489"/>
  <c r="BJ489"/>
  <c r="BI489"/>
  <c r="BH489"/>
  <c r="BG489"/>
  <c r="BF489"/>
  <c r="BE489"/>
  <c r="BD489"/>
  <c r="BC489"/>
  <c r="BB489"/>
  <c r="AX489"/>
  <c r="AW489"/>
  <c r="AV489"/>
  <c r="AC489"/>
  <c r="H489"/>
  <c r="BT488"/>
  <c r="BS488"/>
  <c r="BR488"/>
  <c r="BQ488"/>
  <c r="BP488"/>
  <c r="BO488"/>
  <c r="BN488"/>
  <c r="BM488"/>
  <c r="BL488"/>
  <c r="BK488"/>
  <c r="BJ488"/>
  <c r="BI488"/>
  <c r="BH488"/>
  <c r="BG488"/>
  <c r="BF488"/>
  <c r="BE488"/>
  <c r="BD488"/>
  <c r="BC488"/>
  <c r="BB488"/>
  <c r="AX488"/>
  <c r="AW488"/>
  <c r="AV488"/>
  <c r="AC488"/>
  <c r="H488"/>
  <c r="G488"/>
  <c r="BT487"/>
  <c r="BS487"/>
  <c r="BR487"/>
  <c r="BQ487"/>
  <c r="BP487"/>
  <c r="BO487"/>
  <c r="BN487"/>
  <c r="BM487"/>
  <c r="BL487" s="1"/>
  <c r="BK487"/>
  <c r="BJ487"/>
  <c r="BI487"/>
  <c r="BH487"/>
  <c r="BG487"/>
  <c r="BF487"/>
  <c r="BE487"/>
  <c r="BD487"/>
  <c r="BC487"/>
  <c r="BB487"/>
  <c r="AX487"/>
  <c r="AW487"/>
  <c r="AV487"/>
  <c r="AC487"/>
  <c r="H487"/>
  <c r="BT486"/>
  <c r="BS486"/>
  <c r="BR486"/>
  <c r="BQ486"/>
  <c r="BP486"/>
  <c r="BO486"/>
  <c r="BN486"/>
  <c r="BM486"/>
  <c r="BL486"/>
  <c r="BK486"/>
  <c r="BJ486"/>
  <c r="BI486"/>
  <c r="BH486"/>
  <c r="BG486"/>
  <c r="BF486"/>
  <c r="BE486"/>
  <c r="BD486"/>
  <c r="BC486"/>
  <c r="BB486"/>
  <c r="AX486"/>
  <c r="AW486"/>
  <c r="AV486"/>
  <c r="AC486"/>
  <c r="H486"/>
  <c r="G486"/>
  <c r="BT485"/>
  <c r="BS485"/>
  <c r="BR485"/>
  <c r="BQ485"/>
  <c r="BP485"/>
  <c r="BO485"/>
  <c r="BN485"/>
  <c r="BM485"/>
  <c r="BL485" s="1"/>
  <c r="BK485"/>
  <c r="BJ485"/>
  <c r="BI485"/>
  <c r="BH485"/>
  <c r="BG485"/>
  <c r="BF485"/>
  <c r="BE485"/>
  <c r="BD485"/>
  <c r="BC485"/>
  <c r="BB485"/>
  <c r="AX485"/>
  <c r="AW485"/>
  <c r="AV485"/>
  <c r="AC485"/>
  <c r="H485"/>
  <c r="G485" s="1"/>
  <c r="BT484"/>
  <c r="BS484"/>
  <c r="BR484"/>
  <c r="BQ484"/>
  <c r="BP484"/>
  <c r="BO484"/>
  <c r="BN484"/>
  <c r="BM484"/>
  <c r="BL484"/>
  <c r="BK484"/>
  <c r="BJ484"/>
  <c r="BI484"/>
  <c r="BH484"/>
  <c r="BG484"/>
  <c r="BF484"/>
  <c r="BE484"/>
  <c r="BD484"/>
  <c r="BC484"/>
  <c r="BB484"/>
  <c r="AX484"/>
  <c r="AW484"/>
  <c r="AV484"/>
  <c r="AC484"/>
  <c r="H484"/>
  <c r="G484"/>
  <c r="BT483"/>
  <c r="BS483"/>
  <c r="BR483"/>
  <c r="BQ483"/>
  <c r="BP483"/>
  <c r="BO483"/>
  <c r="BN483"/>
  <c r="BM483"/>
  <c r="BL483" s="1"/>
  <c r="BK483"/>
  <c r="BJ483"/>
  <c r="BI483"/>
  <c r="BH483"/>
  <c r="BG483"/>
  <c r="BF483"/>
  <c r="BE483"/>
  <c r="BD483"/>
  <c r="BA483" s="1"/>
  <c r="AZ483" s="1"/>
  <c r="BC483"/>
  <c r="BB483"/>
  <c r="AX483"/>
  <c r="AW483"/>
  <c r="AV483"/>
  <c r="AC483"/>
  <c r="H483"/>
  <c r="G483" s="1"/>
  <c r="BT482"/>
  <c r="BS482"/>
  <c r="BR482"/>
  <c r="BQ482"/>
  <c r="BP482"/>
  <c r="BO482"/>
  <c r="BN482"/>
  <c r="BM482"/>
  <c r="BL482" s="1"/>
  <c r="BK482"/>
  <c r="BJ482"/>
  <c r="BI482"/>
  <c r="BH482"/>
  <c r="BG482"/>
  <c r="BF482"/>
  <c r="BE482"/>
  <c r="BD482"/>
  <c r="BC482"/>
  <c r="BB482"/>
  <c r="AX482"/>
  <c r="AW482"/>
  <c r="AV482"/>
  <c r="AC482"/>
  <c r="H482"/>
  <c r="G482" s="1"/>
  <c r="BT481"/>
  <c r="BS481"/>
  <c r="BR481"/>
  <c r="BQ481"/>
  <c r="BP481"/>
  <c r="BO481"/>
  <c r="BN481"/>
  <c r="BM481"/>
  <c r="BK481"/>
  <c r="BJ481"/>
  <c r="BI481"/>
  <c r="BH481"/>
  <c r="BG481"/>
  <c r="BF481"/>
  <c r="BE481"/>
  <c r="BD481"/>
  <c r="BC481"/>
  <c r="BB481"/>
  <c r="BA481" s="1"/>
  <c r="AX481"/>
  <c r="AW481"/>
  <c r="AV481"/>
  <c r="AC481"/>
  <c r="H481"/>
  <c r="BT480"/>
  <c r="BS480"/>
  <c r="BR480"/>
  <c r="BQ480"/>
  <c r="BP480"/>
  <c r="BO480"/>
  <c r="BN480"/>
  <c r="BM480"/>
  <c r="BK480"/>
  <c r="BJ480"/>
  <c r="BI480"/>
  <c r="BH480"/>
  <c r="BG480"/>
  <c r="BF480"/>
  <c r="BE480"/>
  <c r="BD480"/>
  <c r="BC480"/>
  <c r="BB480"/>
  <c r="BA480" s="1"/>
  <c r="AX480"/>
  <c r="AW480"/>
  <c r="AV480"/>
  <c r="AC480"/>
  <c r="H480"/>
  <c r="G480" s="1"/>
  <c r="BT479"/>
  <c r="BS479"/>
  <c r="BR479"/>
  <c r="BQ479"/>
  <c r="BP479"/>
  <c r="BO479"/>
  <c r="BN479"/>
  <c r="BM479"/>
  <c r="BK479"/>
  <c r="BJ479"/>
  <c r="BI479"/>
  <c r="BH479"/>
  <c r="BG479"/>
  <c r="BF479"/>
  <c r="BE479"/>
  <c r="BD479"/>
  <c r="BC479"/>
  <c r="BB479"/>
  <c r="BA479" s="1"/>
  <c r="AX479"/>
  <c r="AW479"/>
  <c r="AV479"/>
  <c r="AC479"/>
  <c r="H479"/>
  <c r="BT478"/>
  <c r="BS478"/>
  <c r="BR478"/>
  <c r="BQ478"/>
  <c r="BP478"/>
  <c r="BO478"/>
  <c r="BN478"/>
  <c r="BM478"/>
  <c r="BK478"/>
  <c r="BJ478"/>
  <c r="BI478"/>
  <c r="BH478"/>
  <c r="BG478"/>
  <c r="BF478"/>
  <c r="BE478"/>
  <c r="BD478"/>
  <c r="BC478"/>
  <c r="BB478"/>
  <c r="BA478" s="1"/>
  <c r="AX478"/>
  <c r="AW478"/>
  <c r="AV478"/>
  <c r="AC478"/>
  <c r="H478"/>
  <c r="BT477"/>
  <c r="BS477"/>
  <c r="BR477"/>
  <c r="BQ477"/>
  <c r="BP477"/>
  <c r="BO477"/>
  <c r="BN477"/>
  <c r="BM477"/>
  <c r="BK477"/>
  <c r="BJ477"/>
  <c r="BI477"/>
  <c r="BH477"/>
  <c r="BG477"/>
  <c r="BF477"/>
  <c r="BE477"/>
  <c r="BD477"/>
  <c r="BC477"/>
  <c r="BB477"/>
  <c r="AX477"/>
  <c r="AW477"/>
  <c r="AV477"/>
  <c r="AC477"/>
  <c r="H477"/>
  <c r="G477" s="1"/>
  <c r="BT476"/>
  <c r="BS476"/>
  <c r="BR476"/>
  <c r="BQ476"/>
  <c r="BP476"/>
  <c r="BO476"/>
  <c r="BN476"/>
  <c r="BM476"/>
  <c r="BL476" s="1"/>
  <c r="BK476"/>
  <c r="BJ476"/>
  <c r="BI476"/>
  <c r="BH476"/>
  <c r="BG476"/>
  <c r="BF476"/>
  <c r="BE476"/>
  <c r="BD476"/>
  <c r="BC476"/>
  <c r="BB476"/>
  <c r="AX476"/>
  <c r="AW476"/>
  <c r="AV476"/>
  <c r="AC476"/>
  <c r="H476"/>
  <c r="G476" s="1"/>
  <c r="BT475"/>
  <c r="BS475"/>
  <c r="BR475"/>
  <c r="BQ475"/>
  <c r="BP475"/>
  <c r="BO475"/>
  <c r="BN475"/>
  <c r="BM475"/>
  <c r="BK475"/>
  <c r="BJ475"/>
  <c r="BI475"/>
  <c r="BH475"/>
  <c r="BG475"/>
  <c r="BF475"/>
  <c r="BE475"/>
  <c r="BD475"/>
  <c r="BC475"/>
  <c r="BB475"/>
  <c r="BA475" s="1"/>
  <c r="AX475"/>
  <c r="AW475"/>
  <c r="AV475"/>
  <c r="AC475"/>
  <c r="H475"/>
  <c r="BT474"/>
  <c r="BS474"/>
  <c r="BR474"/>
  <c r="BQ474"/>
  <c r="BP474"/>
  <c r="BO474"/>
  <c r="BN474"/>
  <c r="BM474"/>
  <c r="BL474"/>
  <c r="BK474"/>
  <c r="BJ474"/>
  <c r="BI474"/>
  <c r="BH474"/>
  <c r="BG474"/>
  <c r="BF474"/>
  <c r="BE474"/>
  <c r="BD474"/>
  <c r="BC474"/>
  <c r="BB474"/>
  <c r="AX474"/>
  <c r="AW474"/>
  <c r="AV474"/>
  <c r="AC474"/>
  <c r="H474"/>
  <c r="G474"/>
  <c r="BT473"/>
  <c r="BS473"/>
  <c r="BR473"/>
  <c r="BQ473"/>
  <c r="BP473"/>
  <c r="BO473"/>
  <c r="BN473"/>
  <c r="BM473"/>
  <c r="BL473" s="1"/>
  <c r="BK473"/>
  <c r="BJ473"/>
  <c r="BI473"/>
  <c r="BH473"/>
  <c r="BG473"/>
  <c r="BF473"/>
  <c r="BE473"/>
  <c r="BD473"/>
  <c r="BC473"/>
  <c r="BB473"/>
  <c r="AX473"/>
  <c r="AW473"/>
  <c r="AV473"/>
  <c r="AC473"/>
  <c r="H473"/>
  <c r="G473" s="1"/>
  <c r="BT472"/>
  <c r="BS472"/>
  <c r="BR472"/>
  <c r="BQ472"/>
  <c r="BP472"/>
  <c r="BO472"/>
  <c r="BN472"/>
  <c r="BM472"/>
  <c r="BK472"/>
  <c r="BJ472"/>
  <c r="BI472"/>
  <c r="BH472"/>
  <c r="BG472"/>
  <c r="BF472"/>
  <c r="BE472"/>
  <c r="BD472"/>
  <c r="BC472"/>
  <c r="BB472"/>
  <c r="BA472"/>
  <c r="AX472"/>
  <c r="AW472"/>
  <c r="AV472"/>
  <c r="AC472"/>
  <c r="H472"/>
  <c r="G472" s="1"/>
  <c r="BT471"/>
  <c r="BS471"/>
  <c r="BR471"/>
  <c r="BQ471"/>
  <c r="BP471"/>
  <c r="BO471"/>
  <c r="BN471"/>
  <c r="BM471"/>
  <c r="BL471" s="1"/>
  <c r="BK471"/>
  <c r="BJ471"/>
  <c r="BI471"/>
  <c r="BH471"/>
  <c r="BG471"/>
  <c r="BF471"/>
  <c r="BE471"/>
  <c r="BD471"/>
  <c r="BC471"/>
  <c r="BB471"/>
  <c r="BA471" s="1"/>
  <c r="AX471"/>
  <c r="AW471"/>
  <c r="AV471"/>
  <c r="AC471"/>
  <c r="H471"/>
  <c r="G471" s="1"/>
  <c r="BT470"/>
  <c r="BS470"/>
  <c r="BR470"/>
  <c r="BQ470"/>
  <c r="BP470"/>
  <c r="BO470"/>
  <c r="BN470"/>
  <c r="BM470"/>
  <c r="BK470"/>
  <c r="BJ470"/>
  <c r="BI470"/>
  <c r="BH470"/>
  <c r="BG470"/>
  <c r="BF470"/>
  <c r="BE470"/>
  <c r="BD470"/>
  <c r="BC470"/>
  <c r="BB470"/>
  <c r="BA470"/>
  <c r="AX470"/>
  <c r="AW470"/>
  <c r="AV470"/>
  <c r="AC470"/>
  <c r="H470"/>
  <c r="BT469"/>
  <c r="BS469"/>
  <c r="BR469"/>
  <c r="BQ469"/>
  <c r="BP469"/>
  <c r="BO469"/>
  <c r="BN469"/>
  <c r="BM469"/>
  <c r="BK469"/>
  <c r="BJ469"/>
  <c r="BI469"/>
  <c r="BH469"/>
  <c r="BG469"/>
  <c r="BF469"/>
  <c r="BE469"/>
  <c r="BD469"/>
  <c r="BC469"/>
  <c r="BB469"/>
  <c r="BA469"/>
  <c r="AX469"/>
  <c r="AW469"/>
  <c r="AV469"/>
  <c r="AC469"/>
  <c r="G469" s="1"/>
  <c r="H469"/>
  <c r="BT468"/>
  <c r="BS468"/>
  <c r="BR468"/>
  <c r="BQ468"/>
  <c r="BP468"/>
  <c r="BO468"/>
  <c r="BN468"/>
  <c r="BM468"/>
  <c r="BK468"/>
  <c r="BJ468"/>
  <c r="BI468"/>
  <c r="BH468"/>
  <c r="BG468"/>
  <c r="BF468"/>
  <c r="BE468"/>
  <c r="BD468"/>
  <c r="BC468"/>
  <c r="BB468"/>
  <c r="BA468" s="1"/>
  <c r="AX468"/>
  <c r="AW468"/>
  <c r="AV468"/>
  <c r="AC468"/>
  <c r="H468"/>
  <c r="G468" s="1"/>
  <c r="BT467"/>
  <c r="BS467"/>
  <c r="BR467"/>
  <c r="BQ467"/>
  <c r="BP467"/>
  <c r="BO467"/>
  <c r="BN467"/>
  <c r="BM467"/>
  <c r="BL467" s="1"/>
  <c r="BK467"/>
  <c r="BJ467"/>
  <c r="BI467"/>
  <c r="BH467"/>
  <c r="BG467"/>
  <c r="BF467"/>
  <c r="BE467"/>
  <c r="BD467"/>
  <c r="BC467"/>
  <c r="BB467"/>
  <c r="AX467"/>
  <c r="AW467"/>
  <c r="AV467"/>
  <c r="AC467"/>
  <c r="H467"/>
  <c r="G467" s="1"/>
  <c r="BT466"/>
  <c r="BS466"/>
  <c r="BR466"/>
  <c r="BQ466"/>
  <c r="BP466"/>
  <c r="BO466"/>
  <c r="BN466"/>
  <c r="BM466"/>
  <c r="BK466"/>
  <c r="BJ466"/>
  <c r="BI466"/>
  <c r="BH466"/>
  <c r="BG466"/>
  <c r="BF466"/>
  <c r="BE466"/>
  <c r="BD466"/>
  <c r="BC466"/>
  <c r="BA466" s="1"/>
  <c r="BB466"/>
  <c r="AX466"/>
  <c r="AW466"/>
  <c r="AV466"/>
  <c r="AC466"/>
  <c r="H466"/>
  <c r="BT465"/>
  <c r="BS465"/>
  <c r="BR465"/>
  <c r="BQ465"/>
  <c r="BP465"/>
  <c r="BO465"/>
  <c r="BN465"/>
  <c r="BM465"/>
  <c r="BL465"/>
  <c r="BK465"/>
  <c r="BJ465"/>
  <c r="BI465"/>
  <c r="BH465"/>
  <c r="BG465"/>
  <c r="BF465"/>
  <c r="BE465"/>
  <c r="BD465"/>
  <c r="BC465"/>
  <c r="BB465"/>
  <c r="AX465"/>
  <c r="AW465"/>
  <c r="AV465"/>
  <c r="AC465"/>
  <c r="H465"/>
  <c r="BT464"/>
  <c r="BS464"/>
  <c r="BR464"/>
  <c r="BQ464"/>
  <c r="BP464"/>
  <c r="BO464"/>
  <c r="BN464"/>
  <c r="BM464"/>
  <c r="BL464"/>
  <c r="BK464"/>
  <c r="BJ464"/>
  <c r="BI464"/>
  <c r="BH464"/>
  <c r="BG464"/>
  <c r="BF464"/>
  <c r="BE464"/>
  <c r="BD464"/>
  <c r="BC464"/>
  <c r="BB464"/>
  <c r="AX464"/>
  <c r="AW464"/>
  <c r="AV464"/>
  <c r="AC464"/>
  <c r="G464" s="1"/>
  <c r="H464"/>
  <c r="BT463"/>
  <c r="BS463"/>
  <c r="BR463"/>
  <c r="BQ463"/>
  <c r="BP463"/>
  <c r="BO463"/>
  <c r="BN463"/>
  <c r="BM463"/>
  <c r="BK463"/>
  <c r="BJ463"/>
  <c r="BI463"/>
  <c r="BH463"/>
  <c r="BG463"/>
  <c r="BF463"/>
  <c r="BE463"/>
  <c r="BD463"/>
  <c r="BC463"/>
  <c r="BB463"/>
  <c r="BA463" s="1"/>
  <c r="AX463"/>
  <c r="AW463"/>
  <c r="AV463"/>
  <c r="AC463"/>
  <c r="H463"/>
  <c r="G463" s="1"/>
  <c r="BT462"/>
  <c r="BS462"/>
  <c r="BR462"/>
  <c r="BQ462"/>
  <c r="BP462"/>
  <c r="BO462"/>
  <c r="BN462"/>
  <c r="BM462"/>
  <c r="BL462" s="1"/>
  <c r="BK462"/>
  <c r="BJ462"/>
  <c r="BI462"/>
  <c r="BH462"/>
  <c r="BG462"/>
  <c r="BF462"/>
  <c r="BE462"/>
  <c r="BD462"/>
  <c r="BC462"/>
  <c r="BB462"/>
  <c r="BA462" s="1"/>
  <c r="AZ462" s="1"/>
  <c r="AX462"/>
  <c r="AW462"/>
  <c r="AV462"/>
  <c r="AC462"/>
  <c r="H462"/>
  <c r="G462"/>
  <c r="BT461"/>
  <c r="BS461"/>
  <c r="BR461"/>
  <c r="BQ461"/>
  <c r="BP461"/>
  <c r="BO461"/>
  <c r="BN461"/>
  <c r="BM461"/>
  <c r="BL461" s="1"/>
  <c r="BK461"/>
  <c r="BJ461"/>
  <c r="BI461"/>
  <c r="BH461"/>
  <c r="BG461"/>
  <c r="BF461"/>
  <c r="BE461"/>
  <c r="BD461"/>
  <c r="BA461" s="1"/>
  <c r="BC461"/>
  <c r="BB461"/>
  <c r="AX461"/>
  <c r="AW461"/>
  <c r="AV461"/>
  <c r="AC461"/>
  <c r="H461"/>
  <c r="G461" s="1"/>
  <c r="BT460"/>
  <c r="BS460"/>
  <c r="BR460"/>
  <c r="BQ460"/>
  <c r="BP460"/>
  <c r="BO460"/>
  <c r="BN460"/>
  <c r="BM460"/>
  <c r="BL460" s="1"/>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B459"/>
  <c r="AX459"/>
  <c r="AW459"/>
  <c r="AV459"/>
  <c r="AC459"/>
  <c r="H459"/>
  <c r="G459" s="1"/>
  <c r="BT458"/>
  <c r="BS458"/>
  <c r="BR458"/>
  <c r="BQ458"/>
  <c r="BP458"/>
  <c r="BO458"/>
  <c r="BN458"/>
  <c r="BM458"/>
  <c r="BL458" s="1"/>
  <c r="BK458"/>
  <c r="BJ458"/>
  <c r="BI458"/>
  <c r="BH458"/>
  <c r="BG458"/>
  <c r="BF458"/>
  <c r="BE458"/>
  <c r="BD458"/>
  <c r="BC458"/>
  <c r="BB458"/>
  <c r="BA458"/>
  <c r="AX458"/>
  <c r="AW458"/>
  <c r="AV458"/>
  <c r="AC458"/>
  <c r="H458"/>
  <c r="G458" s="1"/>
  <c r="BT457"/>
  <c r="BS457"/>
  <c r="BR457"/>
  <c r="BQ457"/>
  <c r="BP457"/>
  <c r="BO457"/>
  <c r="BN457"/>
  <c r="BM457"/>
  <c r="BK457"/>
  <c r="BJ457"/>
  <c r="BI457"/>
  <c r="BH457"/>
  <c r="BG457"/>
  <c r="BF457"/>
  <c r="BE457"/>
  <c r="BD457"/>
  <c r="BC457"/>
  <c r="BB457"/>
  <c r="BA457" s="1"/>
  <c r="AX457"/>
  <c r="AW457"/>
  <c r="AV457"/>
  <c r="AC457"/>
  <c r="H457"/>
  <c r="G457"/>
  <c r="BT456"/>
  <c r="BS456"/>
  <c r="BR456"/>
  <c r="BQ456"/>
  <c r="BP456"/>
  <c r="BO456"/>
  <c r="BN456"/>
  <c r="BM456"/>
  <c r="BK456"/>
  <c r="BJ456"/>
  <c r="BI456"/>
  <c r="BH456"/>
  <c r="BG456"/>
  <c r="BF456"/>
  <c r="BE456"/>
  <c r="BD456"/>
  <c r="BC456"/>
  <c r="BB456"/>
  <c r="BA456" s="1"/>
  <c r="AX456"/>
  <c r="AW456"/>
  <c r="AV456"/>
  <c r="AC456"/>
  <c r="H456"/>
  <c r="G456" s="1"/>
  <c r="BT455"/>
  <c r="BS455"/>
  <c r="BR455"/>
  <c r="BQ455"/>
  <c r="BP455"/>
  <c r="BO455"/>
  <c r="BN455"/>
  <c r="BM455"/>
  <c r="BL455"/>
  <c r="BK455"/>
  <c r="BJ455"/>
  <c r="BI455"/>
  <c r="BH455"/>
  <c r="BG455"/>
  <c r="BF455"/>
  <c r="BE455"/>
  <c r="BD455"/>
  <c r="BC455"/>
  <c r="BB455"/>
  <c r="AX455"/>
  <c r="AW455"/>
  <c r="AV455"/>
  <c r="AC455"/>
  <c r="H455"/>
  <c r="G455" s="1"/>
  <c r="BT454"/>
  <c r="BS454"/>
  <c r="BR454"/>
  <c r="BQ454"/>
  <c r="BP454"/>
  <c r="BO454"/>
  <c r="BN454"/>
  <c r="BM454"/>
  <c r="BK454"/>
  <c r="BJ454"/>
  <c r="BI454"/>
  <c r="BH454"/>
  <c r="BG454"/>
  <c r="BF454"/>
  <c r="BE454"/>
  <c r="BD454"/>
  <c r="BC454"/>
  <c r="BB454"/>
  <c r="AX454"/>
  <c r="AW454"/>
  <c r="AV454"/>
  <c r="AC454"/>
  <c r="H454"/>
  <c r="G454" s="1"/>
  <c r="BT453"/>
  <c r="BS453"/>
  <c r="BR453"/>
  <c r="BQ453"/>
  <c r="BP453"/>
  <c r="BO453"/>
  <c r="BN453"/>
  <c r="BM453"/>
  <c r="BL453" s="1"/>
  <c r="BK453"/>
  <c r="BJ453"/>
  <c r="BI453"/>
  <c r="BH453"/>
  <c r="BG453"/>
  <c r="BF453"/>
  <c r="BE453"/>
  <c r="BD453"/>
  <c r="BC453"/>
  <c r="BB453"/>
  <c r="AX453"/>
  <c r="AW453"/>
  <c r="AV453"/>
  <c r="AC453"/>
  <c r="H453"/>
  <c r="G453" s="1"/>
  <c r="BT452"/>
  <c r="BS452"/>
  <c r="BR452"/>
  <c r="BQ452"/>
  <c r="BP452"/>
  <c r="BO452"/>
  <c r="BN452"/>
  <c r="BM452"/>
  <c r="BK452"/>
  <c r="BJ452"/>
  <c r="BI452"/>
  <c r="BH452"/>
  <c r="BG452"/>
  <c r="BF452"/>
  <c r="BE452"/>
  <c r="BD452"/>
  <c r="BC452"/>
  <c r="BB452"/>
  <c r="BA452"/>
  <c r="AX452"/>
  <c r="AW452"/>
  <c r="AV452"/>
  <c r="AC452"/>
  <c r="H452"/>
  <c r="BT451"/>
  <c r="BS451"/>
  <c r="BR451"/>
  <c r="BQ451"/>
  <c r="BP451"/>
  <c r="BO451"/>
  <c r="BN451"/>
  <c r="BM451"/>
  <c r="BL451" s="1"/>
  <c r="BK451"/>
  <c r="BJ451"/>
  <c r="BI451"/>
  <c r="BH451"/>
  <c r="BG451"/>
  <c r="BF451"/>
  <c r="BE451"/>
  <c r="BD451"/>
  <c r="BC451"/>
  <c r="BB451"/>
  <c r="BA451" s="1"/>
  <c r="AZ451" s="1"/>
  <c r="AX451"/>
  <c r="AW451"/>
  <c r="AV451"/>
  <c r="AC451"/>
  <c r="H451"/>
  <c r="G451" s="1"/>
  <c r="BT450"/>
  <c r="BS450"/>
  <c r="BR450"/>
  <c r="BQ450"/>
  <c r="BP450"/>
  <c r="BO450"/>
  <c r="BN450"/>
  <c r="BM450"/>
  <c r="BK450"/>
  <c r="BJ450"/>
  <c r="BI450"/>
  <c r="BH450"/>
  <c r="BG450"/>
  <c r="BF450"/>
  <c r="BE450"/>
  <c r="BD450"/>
  <c r="BC450"/>
  <c r="BB450"/>
  <c r="AX450"/>
  <c r="AW450"/>
  <c r="AV450"/>
  <c r="AC450"/>
  <c r="H450"/>
  <c r="BT449"/>
  <c r="BS449"/>
  <c r="BR449"/>
  <c r="BQ449"/>
  <c r="BP449"/>
  <c r="BO449"/>
  <c r="BN449"/>
  <c r="BM449"/>
  <c r="BL449" s="1"/>
  <c r="BK449"/>
  <c r="BJ449"/>
  <c r="BI449"/>
  <c r="BH449"/>
  <c r="BG449"/>
  <c r="BF449"/>
  <c r="BE449"/>
  <c r="BD449"/>
  <c r="BC449"/>
  <c r="BB449"/>
  <c r="AX449"/>
  <c r="AW449"/>
  <c r="AV449"/>
  <c r="AC449"/>
  <c r="H449"/>
  <c r="G449" s="1"/>
  <c r="BT448"/>
  <c r="BS448"/>
  <c r="BR448"/>
  <c r="BQ448"/>
  <c r="BP448"/>
  <c r="BO448"/>
  <c r="BN448"/>
  <c r="BM448"/>
  <c r="BK448"/>
  <c r="BJ448"/>
  <c r="BI448"/>
  <c r="BH448"/>
  <c r="BG448"/>
  <c r="BF448"/>
  <c r="BE448"/>
  <c r="BD448"/>
  <c r="BC448"/>
  <c r="BB448"/>
  <c r="BA448" s="1"/>
  <c r="AX448"/>
  <c r="AW448"/>
  <c r="AV448"/>
  <c r="AC448"/>
  <c r="H448"/>
  <c r="BT447"/>
  <c r="BS447"/>
  <c r="BR447"/>
  <c r="BQ447"/>
  <c r="BP447"/>
  <c r="BO447"/>
  <c r="BL447" s="1"/>
  <c r="BN447"/>
  <c r="BM447"/>
  <c r="BK447"/>
  <c r="BJ447"/>
  <c r="BI447"/>
  <c r="BH447"/>
  <c r="BG447"/>
  <c r="BF447"/>
  <c r="BE447"/>
  <c r="BD447"/>
  <c r="BC447"/>
  <c r="BB447"/>
  <c r="AX447"/>
  <c r="AW447"/>
  <c r="AV447"/>
  <c r="AC447"/>
  <c r="H447"/>
  <c r="G447"/>
  <c r="BT446"/>
  <c r="BS446"/>
  <c r="BR446"/>
  <c r="BQ446"/>
  <c r="BP446"/>
  <c r="BO446"/>
  <c r="BN446"/>
  <c r="BM446"/>
  <c r="BK446"/>
  <c r="BJ446"/>
  <c r="BI446"/>
  <c r="BH446"/>
  <c r="BG446"/>
  <c r="BF446"/>
  <c r="BE446"/>
  <c r="BD446"/>
  <c r="BC446"/>
  <c r="BB446"/>
  <c r="AX446"/>
  <c r="AW446"/>
  <c r="AV446"/>
  <c r="AC446"/>
  <c r="H446"/>
  <c r="BT445"/>
  <c r="BS445"/>
  <c r="BR445"/>
  <c r="BQ445"/>
  <c r="BP445"/>
  <c r="BO445"/>
  <c r="BL445" s="1"/>
  <c r="BN445"/>
  <c r="BM445"/>
  <c r="BK445"/>
  <c r="BJ445"/>
  <c r="BI445"/>
  <c r="BH445"/>
  <c r="BG445"/>
  <c r="BF445"/>
  <c r="BE445"/>
  <c r="BD445"/>
  <c r="BC445"/>
  <c r="BB445"/>
  <c r="AX445"/>
  <c r="AW445"/>
  <c r="AV445"/>
  <c r="AC445"/>
  <c r="G445" s="1"/>
  <c r="H445"/>
  <c r="BT444"/>
  <c r="BS444"/>
  <c r="BR444"/>
  <c r="BQ444"/>
  <c r="BP444"/>
  <c r="BO444"/>
  <c r="BN444"/>
  <c r="BM444"/>
  <c r="BK444"/>
  <c r="BJ444"/>
  <c r="BI444"/>
  <c r="BH444"/>
  <c r="BG444"/>
  <c r="BF444"/>
  <c r="BE444"/>
  <c r="BD444"/>
  <c r="BC444"/>
  <c r="BB444"/>
  <c r="BA444" s="1"/>
  <c r="AX444"/>
  <c r="AW444"/>
  <c r="AV444"/>
  <c r="AC444"/>
  <c r="H444"/>
  <c r="G444" s="1"/>
  <c r="BT443"/>
  <c r="BS443"/>
  <c r="BR443"/>
  <c r="BQ443"/>
  <c r="BP443"/>
  <c r="BO443"/>
  <c r="BN443"/>
  <c r="BM443"/>
  <c r="BL443" s="1"/>
  <c r="BK443"/>
  <c r="BJ443"/>
  <c r="BI443"/>
  <c r="BH443"/>
  <c r="BG443"/>
  <c r="BF443"/>
  <c r="BE443"/>
  <c r="BD443"/>
  <c r="BC443"/>
  <c r="BB443"/>
  <c r="BA443"/>
  <c r="AX443"/>
  <c r="AW443"/>
  <c r="AV443"/>
  <c r="AC443"/>
  <c r="H443"/>
  <c r="G443" s="1"/>
  <c r="BT442"/>
  <c r="BS442"/>
  <c r="BR442"/>
  <c r="BQ442"/>
  <c r="BP442"/>
  <c r="BO442"/>
  <c r="BN442"/>
  <c r="BM442"/>
  <c r="BK442"/>
  <c r="BJ442"/>
  <c r="BI442"/>
  <c r="BH442"/>
  <c r="BG442"/>
  <c r="BF442"/>
  <c r="BE442"/>
  <c r="BD442"/>
  <c r="BC442"/>
  <c r="BB442"/>
  <c r="BA442" s="1"/>
  <c r="AX442"/>
  <c r="AW442"/>
  <c r="AV442"/>
  <c r="AC442"/>
  <c r="H442"/>
  <c r="BT441"/>
  <c r="BS441"/>
  <c r="BR441"/>
  <c r="BQ441"/>
  <c r="BP441"/>
  <c r="BO441"/>
  <c r="BN441"/>
  <c r="BM441"/>
  <c r="BL441" s="1"/>
  <c r="BK441"/>
  <c r="BJ441"/>
  <c r="BI441"/>
  <c r="BH441"/>
  <c r="BG441"/>
  <c r="BF441"/>
  <c r="BE441"/>
  <c r="BD441"/>
  <c r="BC441"/>
  <c r="BB441"/>
  <c r="BA441" s="1"/>
  <c r="AX441"/>
  <c r="AW441"/>
  <c r="AV441"/>
  <c r="AC441"/>
  <c r="H441"/>
  <c r="BT440"/>
  <c r="BS440"/>
  <c r="BR440"/>
  <c r="BQ440"/>
  <c r="BP440"/>
  <c r="BO440"/>
  <c r="BN440"/>
  <c r="BM440"/>
  <c r="BL440" s="1"/>
  <c r="BK440"/>
  <c r="BJ440"/>
  <c r="BI440"/>
  <c r="BH440"/>
  <c r="BG440"/>
  <c r="BF440"/>
  <c r="BE440"/>
  <c r="BD440"/>
  <c r="BC440"/>
  <c r="BB440"/>
  <c r="BA440" s="1"/>
  <c r="AX440"/>
  <c r="AW440"/>
  <c r="AV440"/>
  <c r="AC440"/>
  <c r="H440"/>
  <c r="G440" s="1"/>
  <c r="BT439"/>
  <c r="BS439"/>
  <c r="BR439"/>
  <c r="BQ439"/>
  <c r="BP439"/>
  <c r="BO439"/>
  <c r="BN439"/>
  <c r="BM439"/>
  <c r="BK439"/>
  <c r="BJ439"/>
  <c r="BI439"/>
  <c r="BH439"/>
  <c r="BG439"/>
  <c r="BF439"/>
  <c r="BE439"/>
  <c r="BD439"/>
  <c r="BC439"/>
  <c r="BB439"/>
  <c r="BA439" s="1"/>
  <c r="AX439"/>
  <c r="AW439"/>
  <c r="AV439"/>
  <c r="AC439"/>
  <c r="H439"/>
  <c r="BT438"/>
  <c r="BS438"/>
  <c r="BR438"/>
  <c r="BQ438"/>
  <c r="BP438"/>
  <c r="BO438"/>
  <c r="BN438"/>
  <c r="BM438"/>
  <c r="BL438" s="1"/>
  <c r="BK438"/>
  <c r="BJ438"/>
  <c r="BI438"/>
  <c r="BH438"/>
  <c r="BG438"/>
  <c r="BF438"/>
  <c r="BE438"/>
  <c r="BD438"/>
  <c r="BC438"/>
  <c r="BB438"/>
  <c r="BA438" s="1"/>
  <c r="AX438"/>
  <c r="AW438"/>
  <c r="AV438"/>
  <c r="AC438"/>
  <c r="H438"/>
  <c r="G438"/>
  <c r="BT437"/>
  <c r="BS437"/>
  <c r="BR437"/>
  <c r="BQ437"/>
  <c r="BP437"/>
  <c r="BO437"/>
  <c r="BN437"/>
  <c r="BM437"/>
  <c r="BK437"/>
  <c r="BJ437"/>
  <c r="BI437"/>
  <c r="BH437"/>
  <c r="BG437"/>
  <c r="BF437"/>
  <c r="BE437"/>
  <c r="BD437"/>
  <c r="BC437"/>
  <c r="BB437"/>
  <c r="BA437" s="1"/>
  <c r="AX437"/>
  <c r="AW437"/>
  <c r="AV437"/>
  <c r="AC437"/>
  <c r="H437"/>
  <c r="G437" s="1"/>
  <c r="BT436"/>
  <c r="BS436"/>
  <c r="BR436"/>
  <c r="BQ436"/>
  <c r="BP436"/>
  <c r="BO436"/>
  <c r="BN436"/>
  <c r="BM436"/>
  <c r="BK436"/>
  <c r="BJ436"/>
  <c r="BI436"/>
  <c r="BH436"/>
  <c r="BG436"/>
  <c r="BF436"/>
  <c r="BE436"/>
  <c r="BD436"/>
  <c r="BC436"/>
  <c r="BB436"/>
  <c r="BA436"/>
  <c r="AX436"/>
  <c r="AW436"/>
  <c r="AV436"/>
  <c r="AC436"/>
  <c r="H436"/>
  <c r="BT435"/>
  <c r="BS435"/>
  <c r="BR435"/>
  <c r="BQ435"/>
  <c r="BP435"/>
  <c r="BO435"/>
  <c r="BN435"/>
  <c r="BM435"/>
  <c r="BL435" s="1"/>
  <c r="BK435"/>
  <c r="BJ435"/>
  <c r="BI435"/>
  <c r="BH435"/>
  <c r="BG435"/>
  <c r="BF435"/>
  <c r="BE435"/>
  <c r="BD435"/>
  <c r="BC435"/>
  <c r="BB435"/>
  <c r="BA435" s="1"/>
  <c r="AZ435" s="1"/>
  <c r="AX435"/>
  <c r="AW435"/>
  <c r="AV435"/>
  <c r="AC435"/>
  <c r="H435"/>
  <c r="G435" s="1"/>
  <c r="BT434"/>
  <c r="BS434"/>
  <c r="BR434"/>
  <c r="BQ434"/>
  <c r="BP434"/>
  <c r="BO434"/>
  <c r="BN434"/>
  <c r="BM434"/>
  <c r="BK434"/>
  <c r="BJ434"/>
  <c r="BI434"/>
  <c r="BH434"/>
  <c r="BG434"/>
  <c r="BF434"/>
  <c r="BE434"/>
  <c r="BD434"/>
  <c r="BC434"/>
  <c r="BB434"/>
  <c r="BA434" s="1"/>
  <c r="AX434"/>
  <c r="AW434"/>
  <c r="AV434"/>
  <c r="AC434"/>
  <c r="H434"/>
  <c r="BT433"/>
  <c r="BS433"/>
  <c r="BR433"/>
  <c r="BQ433"/>
  <c r="BP433"/>
  <c r="BO433"/>
  <c r="BN433"/>
  <c r="BM433"/>
  <c r="BL433" s="1"/>
  <c r="BK433"/>
  <c r="BJ433"/>
  <c r="BI433"/>
  <c r="BH433"/>
  <c r="BG433"/>
  <c r="BF433"/>
  <c r="BE433"/>
  <c r="BD433"/>
  <c r="BC433"/>
  <c r="BB433"/>
  <c r="BA433" s="1"/>
  <c r="AX433"/>
  <c r="AW433"/>
  <c r="AV433"/>
  <c r="AC433"/>
  <c r="H433"/>
  <c r="BT432"/>
  <c r="BS432"/>
  <c r="BR432"/>
  <c r="BQ432"/>
  <c r="BP432"/>
  <c r="BO432"/>
  <c r="BN432"/>
  <c r="BM432"/>
  <c r="BL432" s="1"/>
  <c r="BK432"/>
  <c r="BJ432"/>
  <c r="BI432"/>
  <c r="BH432"/>
  <c r="BG432"/>
  <c r="BF432"/>
  <c r="BE432"/>
  <c r="BD432"/>
  <c r="BC432"/>
  <c r="BB432"/>
  <c r="BA432" s="1"/>
  <c r="AX432"/>
  <c r="AW432"/>
  <c r="AV432"/>
  <c r="AC432"/>
  <c r="H432"/>
  <c r="G432" s="1"/>
  <c r="BT431"/>
  <c r="BS431"/>
  <c r="BR431"/>
  <c r="BQ431"/>
  <c r="BP431"/>
  <c r="BO431"/>
  <c r="BN431"/>
  <c r="BM431"/>
  <c r="BK431"/>
  <c r="BJ431"/>
  <c r="BI431"/>
  <c r="BH431"/>
  <c r="BG431"/>
  <c r="BF431"/>
  <c r="BE431"/>
  <c r="BD431"/>
  <c r="BC431"/>
  <c r="BB431"/>
  <c r="BA431" s="1"/>
  <c r="AX431"/>
  <c r="AW431"/>
  <c r="AV431"/>
  <c r="AC431"/>
  <c r="H431"/>
  <c r="BT430"/>
  <c r="BS430"/>
  <c r="BR430"/>
  <c r="BQ430"/>
  <c r="BP430"/>
  <c r="BO430"/>
  <c r="BN430"/>
  <c r="BL430" s="1"/>
  <c r="BM430"/>
  <c r="BK430"/>
  <c r="BJ430"/>
  <c r="BI430"/>
  <c r="BH430"/>
  <c r="BG430"/>
  <c r="BF430"/>
  <c r="BE430"/>
  <c r="BD430"/>
  <c r="BC430"/>
  <c r="BB430"/>
  <c r="AX430"/>
  <c r="AW430"/>
  <c r="AV430"/>
  <c r="AC430"/>
  <c r="G430" s="1"/>
  <c r="H430"/>
  <c r="BT429"/>
  <c r="BS429"/>
  <c r="BR429"/>
  <c r="BQ429"/>
  <c r="BP429"/>
  <c r="BO429"/>
  <c r="BN429"/>
  <c r="BM429"/>
  <c r="BK429"/>
  <c r="BJ429"/>
  <c r="BI429"/>
  <c r="BH429"/>
  <c r="BG429"/>
  <c r="BF429"/>
  <c r="BE429"/>
  <c r="BD429"/>
  <c r="BC429"/>
  <c r="BB429"/>
  <c r="BA429" s="1"/>
  <c r="AX429"/>
  <c r="AW429"/>
  <c r="AV429"/>
  <c r="AC429"/>
  <c r="H429"/>
  <c r="G429" s="1"/>
  <c r="BT428"/>
  <c r="BS428"/>
  <c r="BR428"/>
  <c r="BQ428"/>
  <c r="BP428"/>
  <c r="BO428"/>
  <c r="BN428"/>
  <c r="BM428"/>
  <c r="BL428"/>
  <c r="BK428"/>
  <c r="BJ428"/>
  <c r="BI428"/>
  <c r="BH428"/>
  <c r="BG428"/>
  <c r="BF428"/>
  <c r="BE428"/>
  <c r="BD428"/>
  <c r="BC428"/>
  <c r="BB428"/>
  <c r="AX428"/>
  <c r="AW428"/>
  <c r="AV428"/>
  <c r="AC428"/>
  <c r="H428"/>
  <c r="G428" s="1"/>
  <c r="BT427"/>
  <c r="BS427"/>
  <c r="BR427"/>
  <c r="BQ427"/>
  <c r="BP427"/>
  <c r="BO427"/>
  <c r="BN427"/>
  <c r="BM427"/>
  <c r="BL427"/>
  <c r="BK427"/>
  <c r="BJ427"/>
  <c r="BI427"/>
  <c r="BH427"/>
  <c r="BG427"/>
  <c r="BF427"/>
  <c r="BE427"/>
  <c r="BD427"/>
  <c r="BC427"/>
  <c r="BB427"/>
  <c r="AX427"/>
  <c r="AW427"/>
  <c r="AV427"/>
  <c r="AC427"/>
  <c r="H427"/>
  <c r="G427"/>
  <c r="BT426"/>
  <c r="BS426"/>
  <c r="BR426"/>
  <c r="BQ426"/>
  <c r="BP426"/>
  <c r="BO426"/>
  <c r="BN426"/>
  <c r="BM426"/>
  <c r="BL426" s="1"/>
  <c r="BK426"/>
  <c r="BJ426"/>
  <c r="BI426"/>
  <c r="BH426"/>
  <c r="BG426"/>
  <c r="BF426"/>
  <c r="BE426"/>
  <c r="BD426"/>
  <c r="BA426" s="1"/>
  <c r="BC426"/>
  <c r="BB426"/>
  <c r="AX426"/>
  <c r="AW426"/>
  <c r="AV426"/>
  <c r="AC426"/>
  <c r="H426"/>
  <c r="G426" s="1"/>
  <c r="BT425"/>
  <c r="BS425"/>
  <c r="BR425"/>
  <c r="BQ425"/>
  <c r="BP425"/>
  <c r="BO425"/>
  <c r="BN425"/>
  <c r="BM425"/>
  <c r="BL425" s="1"/>
  <c r="BK425"/>
  <c r="BJ425"/>
  <c r="BI425"/>
  <c r="BH425"/>
  <c r="BG425"/>
  <c r="BF425"/>
  <c r="BE425"/>
  <c r="BD425"/>
  <c r="BC425"/>
  <c r="BB425"/>
  <c r="AX425"/>
  <c r="AW425"/>
  <c r="AV425"/>
  <c r="AC425"/>
  <c r="H425"/>
  <c r="G425" s="1"/>
  <c r="BT424"/>
  <c r="BS424"/>
  <c r="BR424"/>
  <c r="BQ424"/>
  <c r="BP424"/>
  <c r="BO424"/>
  <c r="BN424"/>
  <c r="BM424"/>
  <c r="BK424"/>
  <c r="BJ424"/>
  <c r="BI424"/>
  <c r="BH424"/>
  <c r="BG424"/>
  <c r="BF424"/>
  <c r="BE424"/>
  <c r="BD424"/>
  <c r="BC424"/>
  <c r="BB424"/>
  <c r="BA424"/>
  <c r="AX424"/>
  <c r="AW424"/>
  <c r="AV424"/>
  <c r="AC424"/>
  <c r="H424"/>
  <c r="BT423"/>
  <c r="BS423"/>
  <c r="BR423"/>
  <c r="BQ423"/>
  <c r="BP423"/>
  <c r="BO423"/>
  <c r="BN423"/>
  <c r="BM423"/>
  <c r="BL423" s="1"/>
  <c r="BK423"/>
  <c r="BJ423"/>
  <c r="BI423"/>
  <c r="BH423"/>
  <c r="BG423"/>
  <c r="BF423"/>
  <c r="BE423"/>
  <c r="BD423"/>
  <c r="BC423"/>
  <c r="BB423"/>
  <c r="BA423" s="1"/>
  <c r="AX423"/>
  <c r="AW423"/>
  <c r="AV423"/>
  <c r="AC423"/>
  <c r="H423"/>
  <c r="G423" s="1"/>
  <c r="BT422"/>
  <c r="BS422"/>
  <c r="BR422"/>
  <c r="BQ422"/>
  <c r="BP422"/>
  <c r="BO422"/>
  <c r="BN422"/>
  <c r="BM422"/>
  <c r="BK422"/>
  <c r="BJ422"/>
  <c r="BI422"/>
  <c r="BH422"/>
  <c r="BG422"/>
  <c r="BF422"/>
  <c r="BE422"/>
  <c r="BD422"/>
  <c r="BC422"/>
  <c r="BB422"/>
  <c r="BA422" s="1"/>
  <c r="AX422"/>
  <c r="AW422"/>
  <c r="AV422"/>
  <c r="AC422"/>
  <c r="H422"/>
  <c r="BT421"/>
  <c r="BS421"/>
  <c r="BR421"/>
  <c r="BQ421"/>
  <c r="BP421"/>
  <c r="BO421"/>
  <c r="BN421"/>
  <c r="BM421"/>
  <c r="BL421" s="1"/>
  <c r="BK421"/>
  <c r="BJ421"/>
  <c r="BI421"/>
  <c r="BH421"/>
  <c r="BG421"/>
  <c r="BF421"/>
  <c r="BE421"/>
  <c r="BD421"/>
  <c r="BC421"/>
  <c r="BB421"/>
  <c r="BA421" s="1"/>
  <c r="AX421"/>
  <c r="AW421"/>
  <c r="AV421"/>
  <c r="AC421"/>
  <c r="H421"/>
  <c r="G421" s="1"/>
  <c r="BT420"/>
  <c r="BS420"/>
  <c r="BR420"/>
  <c r="BQ420"/>
  <c r="BP420"/>
  <c r="BO420"/>
  <c r="BN420"/>
  <c r="BM420"/>
  <c r="BK420"/>
  <c r="BJ420"/>
  <c r="BI420"/>
  <c r="BH420"/>
  <c r="BG420"/>
  <c r="BF420"/>
  <c r="BE420"/>
  <c r="BD420"/>
  <c r="BC420"/>
  <c r="BB420"/>
  <c r="BA420" s="1"/>
  <c r="AX420"/>
  <c r="AW420"/>
  <c r="AV420"/>
  <c r="AC420"/>
  <c r="H420"/>
  <c r="BT419"/>
  <c r="BS419"/>
  <c r="BR419"/>
  <c r="BQ419"/>
  <c r="BP419"/>
  <c r="BO419"/>
  <c r="BN419"/>
  <c r="BL419" s="1"/>
  <c r="BM419"/>
  <c r="BK419"/>
  <c r="BJ419"/>
  <c r="BI419"/>
  <c r="BH419"/>
  <c r="BG419"/>
  <c r="BF419"/>
  <c r="BE419"/>
  <c r="BD419"/>
  <c r="BC419"/>
  <c r="BB419"/>
  <c r="BA419" s="1"/>
  <c r="AZ419" s="1"/>
  <c r="AX419"/>
  <c r="AW419"/>
  <c r="AV419"/>
  <c r="AC419"/>
  <c r="H419"/>
  <c r="G419"/>
  <c r="BT418"/>
  <c r="BS418"/>
  <c r="BR418"/>
  <c r="BQ418"/>
  <c r="BP418"/>
  <c r="BO418"/>
  <c r="BN418"/>
  <c r="BM418"/>
  <c r="BL418" s="1"/>
  <c r="BK418"/>
  <c r="BJ418"/>
  <c r="BI418"/>
  <c r="BH418"/>
  <c r="BG418"/>
  <c r="BF418"/>
  <c r="BE418"/>
  <c r="BD418"/>
  <c r="BC418"/>
  <c r="BB418"/>
  <c r="AX418"/>
  <c r="AW418"/>
  <c r="AV418"/>
  <c r="AC418"/>
  <c r="H418"/>
  <c r="G418" s="1"/>
  <c r="BT417"/>
  <c r="BS417"/>
  <c r="BR417"/>
  <c r="BQ417"/>
  <c r="BP417"/>
  <c r="BO417"/>
  <c r="BN417"/>
  <c r="BM417"/>
  <c r="BL417"/>
  <c r="BK417"/>
  <c r="BJ417"/>
  <c r="BI417"/>
  <c r="BH417"/>
  <c r="BG417"/>
  <c r="BF417"/>
  <c r="BE417"/>
  <c r="BD417"/>
  <c r="BC417"/>
  <c r="BB417"/>
  <c r="AX417"/>
  <c r="AW417"/>
  <c r="AV417"/>
  <c r="AC417"/>
  <c r="H417"/>
  <c r="G417" s="1"/>
  <c r="BT416"/>
  <c r="BS416"/>
  <c r="BR416"/>
  <c r="BQ416"/>
  <c r="BP416"/>
  <c r="BO416"/>
  <c r="BN416"/>
  <c r="BM416"/>
  <c r="BL416"/>
  <c r="BK416"/>
  <c r="BJ416"/>
  <c r="BI416"/>
  <c r="BH416"/>
  <c r="BG416"/>
  <c r="BF416"/>
  <c r="BE416"/>
  <c r="BD416"/>
  <c r="BC416"/>
  <c r="BB416"/>
  <c r="AX416"/>
  <c r="AW416"/>
  <c r="AV416"/>
  <c r="AC416"/>
  <c r="H416"/>
  <c r="G416"/>
  <c r="BT415"/>
  <c r="BS415"/>
  <c r="BR415"/>
  <c r="BQ415"/>
  <c r="BP415"/>
  <c r="BO415"/>
  <c r="BN415"/>
  <c r="BM415"/>
  <c r="BL415" s="1"/>
  <c r="BK415"/>
  <c r="BJ415"/>
  <c r="BI415"/>
  <c r="BH415"/>
  <c r="BG415"/>
  <c r="BF415"/>
  <c r="BE415"/>
  <c r="BD415"/>
  <c r="BA415" s="1"/>
  <c r="BC415"/>
  <c r="BB415"/>
  <c r="AX415"/>
  <c r="AW415"/>
  <c r="AV415"/>
  <c r="AC415"/>
  <c r="H415"/>
  <c r="G415" s="1"/>
  <c r="BT414"/>
  <c r="BS414"/>
  <c r="BR414"/>
  <c r="BQ414"/>
  <c r="BP414"/>
  <c r="BO414"/>
  <c r="BN414"/>
  <c r="BM414"/>
  <c r="BL414" s="1"/>
  <c r="BK414"/>
  <c r="BJ414"/>
  <c r="BI414"/>
  <c r="BH414"/>
  <c r="BG414"/>
  <c r="BF414"/>
  <c r="BE414"/>
  <c r="BD414"/>
  <c r="BC414"/>
  <c r="BB414"/>
  <c r="AX414"/>
  <c r="AW414"/>
  <c r="AV414"/>
  <c r="AC414"/>
  <c r="H414"/>
  <c r="G414" s="1"/>
  <c r="BT413"/>
  <c r="BS413"/>
  <c r="BR413"/>
  <c r="BQ413"/>
  <c r="BP413"/>
  <c r="BO413"/>
  <c r="BN413"/>
  <c r="BM413"/>
  <c r="BK413"/>
  <c r="BJ413"/>
  <c r="BI413"/>
  <c r="BH413"/>
  <c r="BG413"/>
  <c r="BF413"/>
  <c r="BE413"/>
  <c r="BD413"/>
  <c r="BC413"/>
  <c r="BB413"/>
  <c r="BA413"/>
  <c r="AX413"/>
  <c r="AW413"/>
  <c r="AV413"/>
  <c r="AC413"/>
  <c r="H413"/>
  <c r="BT412"/>
  <c r="BS412"/>
  <c r="BR412"/>
  <c r="BQ412"/>
  <c r="BP412"/>
  <c r="BO412"/>
  <c r="BN412"/>
  <c r="BM412"/>
  <c r="BL412" s="1"/>
  <c r="BK412"/>
  <c r="BJ412"/>
  <c r="BI412"/>
  <c r="BH412"/>
  <c r="BG412"/>
  <c r="BF412"/>
  <c r="BE412"/>
  <c r="BD412"/>
  <c r="BC412"/>
  <c r="BB412"/>
  <c r="BA412" s="1"/>
  <c r="AX412"/>
  <c r="AW412"/>
  <c r="AV412"/>
  <c r="AC412"/>
  <c r="H412"/>
  <c r="BT411"/>
  <c r="BS411"/>
  <c r="BR411"/>
  <c r="BQ411"/>
  <c r="BP411"/>
  <c r="BO411"/>
  <c r="BN411"/>
  <c r="BM411"/>
  <c r="BL411" s="1"/>
  <c r="BK411"/>
  <c r="BJ411"/>
  <c r="BI411"/>
  <c r="BH411"/>
  <c r="BG411"/>
  <c r="BF411"/>
  <c r="BE411"/>
  <c r="BD411"/>
  <c r="BC411"/>
  <c r="BB411"/>
  <c r="BA411" s="1"/>
  <c r="AX411"/>
  <c r="AW411"/>
  <c r="AV411"/>
  <c r="AC411"/>
  <c r="H411"/>
  <c r="G411" s="1"/>
  <c r="BT410"/>
  <c r="BS410"/>
  <c r="BR410"/>
  <c r="BQ410"/>
  <c r="BP410"/>
  <c r="BO410"/>
  <c r="BN410"/>
  <c r="BM410"/>
  <c r="BK410"/>
  <c r="BJ410"/>
  <c r="BI410"/>
  <c r="BH410"/>
  <c r="BG410"/>
  <c r="BF410"/>
  <c r="BE410"/>
  <c r="BD410"/>
  <c r="BC410"/>
  <c r="BB410"/>
  <c r="BA410" s="1"/>
  <c r="AX410"/>
  <c r="AW410"/>
  <c r="AV410"/>
  <c r="AC410"/>
  <c r="H410"/>
  <c r="BT409"/>
  <c r="BS409"/>
  <c r="BR409"/>
  <c r="BQ409"/>
  <c r="BP409"/>
  <c r="BO409"/>
  <c r="BL409" s="1"/>
  <c r="BN409"/>
  <c r="BM409"/>
  <c r="BK409"/>
  <c r="BJ409"/>
  <c r="BI409"/>
  <c r="BH409"/>
  <c r="BG409"/>
  <c r="BF409"/>
  <c r="BE409"/>
  <c r="BD409"/>
  <c r="BC409"/>
  <c r="BB409"/>
  <c r="AX409"/>
  <c r="AW409"/>
  <c r="AV409"/>
  <c r="AC409"/>
  <c r="G409" s="1"/>
  <c r="H409"/>
  <c r="BT408"/>
  <c r="BS408"/>
  <c r="BR408"/>
  <c r="BQ408"/>
  <c r="BP408"/>
  <c r="BO408"/>
  <c r="BN408"/>
  <c r="BM408"/>
  <c r="BK408"/>
  <c r="BJ408"/>
  <c r="BI408"/>
  <c r="BH408"/>
  <c r="BG408"/>
  <c r="BF408"/>
  <c r="BE408"/>
  <c r="BD408"/>
  <c r="BC408"/>
  <c r="BB408"/>
  <c r="BA408" s="1"/>
  <c r="AX408"/>
  <c r="AW408"/>
  <c r="AV408"/>
  <c r="AC408"/>
  <c r="H408"/>
  <c r="G408"/>
  <c r="BT407"/>
  <c r="BS407"/>
  <c r="BR407"/>
  <c r="BQ407"/>
  <c r="BP407"/>
  <c r="BO407"/>
  <c r="BN407"/>
  <c r="BM407"/>
  <c r="BL407" s="1"/>
  <c r="BK407"/>
  <c r="BJ407"/>
  <c r="BI407"/>
  <c r="BH407"/>
  <c r="BG407"/>
  <c r="BF407"/>
  <c r="BE407"/>
  <c r="BD407"/>
  <c r="BA407" s="1"/>
  <c r="BC407"/>
  <c r="BB407"/>
  <c r="AX407"/>
  <c r="AW407"/>
  <c r="AV407"/>
  <c r="AC407"/>
  <c r="H407"/>
  <c r="G407" s="1"/>
  <c r="BT406"/>
  <c r="BS406"/>
  <c r="BR406"/>
  <c r="BQ406"/>
  <c r="BP406"/>
  <c r="BO406"/>
  <c r="BN406"/>
  <c r="BM406"/>
  <c r="BL406" s="1"/>
  <c r="BK406"/>
  <c r="BJ406"/>
  <c r="BI406"/>
  <c r="BH406"/>
  <c r="BG406"/>
  <c r="BF406"/>
  <c r="BE406"/>
  <c r="BD406"/>
  <c r="BC406"/>
  <c r="BB406"/>
  <c r="BA406"/>
  <c r="AX406"/>
  <c r="AW406"/>
  <c r="AV406"/>
  <c r="AC406"/>
  <c r="H406"/>
  <c r="G406" s="1"/>
  <c r="BT405"/>
  <c r="BS405"/>
  <c r="BR405"/>
  <c r="BQ405"/>
  <c r="BP405"/>
  <c r="BO405"/>
  <c r="BN405"/>
  <c r="BM405"/>
  <c r="BK405"/>
  <c r="BJ405"/>
  <c r="BI405"/>
  <c r="BH405"/>
  <c r="BG405"/>
  <c r="BF405"/>
  <c r="BE405"/>
  <c r="BD405"/>
  <c r="BC405"/>
  <c r="BB405"/>
  <c r="BA405" s="1"/>
  <c r="AX405"/>
  <c r="AW405"/>
  <c r="AV405"/>
  <c r="AC405"/>
  <c r="H405"/>
  <c r="BT404"/>
  <c r="BS404"/>
  <c r="BR404"/>
  <c r="BQ404"/>
  <c r="BP404"/>
  <c r="BO404"/>
  <c r="BN404"/>
  <c r="BL404" s="1"/>
  <c r="BM404"/>
  <c r="BK404"/>
  <c r="BJ404"/>
  <c r="BI404"/>
  <c r="BH404"/>
  <c r="BG404"/>
  <c r="BF404"/>
  <c r="BE404"/>
  <c r="BD404"/>
  <c r="BC404"/>
  <c r="BB404"/>
  <c r="AX404"/>
  <c r="AW404"/>
  <c r="AV404"/>
  <c r="AC404"/>
  <c r="G404" s="1"/>
  <c r="H404"/>
  <c r="BT403"/>
  <c r="BS403"/>
  <c r="BR403"/>
  <c r="BQ403"/>
  <c r="BP403"/>
  <c r="BO403"/>
  <c r="BN403"/>
  <c r="BM403"/>
  <c r="BK403"/>
  <c r="BJ403"/>
  <c r="BI403"/>
  <c r="BH403"/>
  <c r="BG403"/>
  <c r="BF403"/>
  <c r="BE403"/>
  <c r="BD403"/>
  <c r="BC403"/>
  <c r="BB403"/>
  <c r="AX403"/>
  <c r="AW403"/>
  <c r="AV403"/>
  <c r="AC403"/>
  <c r="H403"/>
  <c r="BT402"/>
  <c r="BS402"/>
  <c r="BR402"/>
  <c r="BQ402"/>
  <c r="BP402"/>
  <c r="BO402"/>
  <c r="BN402"/>
  <c r="BL402" s="1"/>
  <c r="BM402"/>
  <c r="BK402"/>
  <c r="BJ402"/>
  <c r="BI402"/>
  <c r="BH402"/>
  <c r="BG402"/>
  <c r="BF402"/>
  <c r="BE402"/>
  <c r="BD402"/>
  <c r="BC402"/>
  <c r="BB402"/>
  <c r="BA402" s="1"/>
  <c r="AZ402" s="1"/>
  <c r="AX402"/>
  <c r="AW402"/>
  <c r="AV402"/>
  <c r="AC402"/>
  <c r="H402"/>
  <c r="G402"/>
  <c r="BT401"/>
  <c r="BS401"/>
  <c r="BR401"/>
  <c r="BQ401"/>
  <c r="BP401"/>
  <c r="BO401"/>
  <c r="BN401"/>
  <c r="BM401"/>
  <c r="BL401" s="1"/>
  <c r="BK401"/>
  <c r="BJ401"/>
  <c r="BI401"/>
  <c r="BH401"/>
  <c r="BG401"/>
  <c r="BF401"/>
  <c r="BE401"/>
  <c r="BD401"/>
  <c r="BC401"/>
  <c r="BA401" s="1"/>
  <c r="BB401"/>
  <c r="AX401"/>
  <c r="AW401"/>
  <c r="AV401"/>
  <c r="AC401"/>
  <c r="H401"/>
  <c r="G401" s="1"/>
  <c r="BT400"/>
  <c r="BS400"/>
  <c r="BR400"/>
  <c r="BQ400"/>
  <c r="BP400"/>
  <c r="BO400"/>
  <c r="BN400"/>
  <c r="BM400"/>
  <c r="BK400"/>
  <c r="BJ400"/>
  <c r="BI400"/>
  <c r="BH400"/>
  <c r="BG400"/>
  <c r="BF400"/>
  <c r="BE400"/>
  <c r="BD400"/>
  <c r="BC400"/>
  <c r="BB400"/>
  <c r="BA400"/>
  <c r="AX400"/>
  <c r="AW400"/>
  <c r="AV400"/>
  <c r="AC400"/>
  <c r="H400"/>
  <c r="BT399"/>
  <c r="BS399"/>
  <c r="BR399"/>
  <c r="BQ399"/>
  <c r="BP399"/>
  <c r="BO399"/>
  <c r="BN399"/>
  <c r="BM399"/>
  <c r="BL399" s="1"/>
  <c r="BK399"/>
  <c r="BJ399"/>
  <c r="BI399"/>
  <c r="BH399"/>
  <c r="BG399"/>
  <c r="BF399"/>
  <c r="BE399"/>
  <c r="BD399"/>
  <c r="BC399"/>
  <c r="BB399"/>
  <c r="BA399" s="1"/>
  <c r="AX399"/>
  <c r="AW399"/>
  <c r="AV399"/>
  <c r="AC399"/>
  <c r="H399"/>
  <c r="G399" s="1"/>
  <c r="BT398"/>
  <c r="BS398"/>
  <c r="BR398"/>
  <c r="BQ398"/>
  <c r="BP398"/>
  <c r="BO398"/>
  <c r="BN398"/>
  <c r="BM398"/>
  <c r="BK398"/>
  <c r="BJ398"/>
  <c r="BI398"/>
  <c r="BH398"/>
  <c r="BG398"/>
  <c r="BF398"/>
  <c r="BE398"/>
  <c r="BD398"/>
  <c r="BC398"/>
  <c r="BB398"/>
  <c r="BA398" s="1"/>
  <c r="AX398"/>
  <c r="AW398"/>
  <c r="AV398"/>
  <c r="AC398"/>
  <c r="H398"/>
  <c r="H60" i="40"/>
  <c r="I60" s="1"/>
  <c r="C60" s="1"/>
  <c r="H59"/>
  <c r="I59" s="1"/>
  <c r="C59" s="1"/>
  <c r="H58"/>
  <c r="I58" s="1"/>
  <c r="C58" s="1"/>
  <c r="H57"/>
  <c r="I57" s="1"/>
  <c r="C57" s="1"/>
  <c r="H56"/>
  <c r="I56" s="1"/>
  <c r="C56" s="1"/>
  <c r="H54"/>
  <c r="I54" s="1"/>
  <c r="C54" s="1"/>
  <c r="H53"/>
  <c r="I53" s="1"/>
  <c r="C53" s="1"/>
  <c r="H52"/>
  <c r="I52" s="1"/>
  <c r="C52" s="1"/>
  <c r="H64" i="39"/>
  <c r="I64" s="1"/>
  <c r="C64" s="1"/>
  <c r="H63"/>
  <c r="I63" s="1"/>
  <c r="C63" s="1"/>
  <c r="H59"/>
  <c r="I59" s="1"/>
  <c r="C59" s="1"/>
  <c r="H58"/>
  <c r="I58" s="1"/>
  <c r="C58" s="1"/>
  <c r="H57"/>
  <c r="I57" s="1"/>
  <c r="C57" s="1"/>
  <c r="H60"/>
  <c r="I60" s="1"/>
  <c r="C60" s="1"/>
  <c r="H62"/>
  <c r="I62" s="1"/>
  <c r="C62" s="1"/>
  <c r="H61"/>
  <c r="I61" s="1"/>
  <c r="C61" s="1"/>
  <c r="C145" i="21"/>
  <c r="K139" s="1"/>
  <c r="J142"/>
  <c r="J140"/>
  <c r="M87"/>
  <c r="L87"/>
  <c r="K87"/>
  <c r="J87"/>
  <c r="I87"/>
  <c r="H87"/>
  <c r="G87"/>
  <c r="F87"/>
  <c r="E87"/>
  <c r="D87"/>
  <c r="X7" i="43"/>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K4" i="9"/>
  <c r="L22" i="4"/>
  <c r="B61" i="72"/>
  <c r="L20" i="4"/>
  <c r="A5" i="62"/>
  <c r="B72" i="72" s="1"/>
  <c r="A4" i="62"/>
  <c r="B70" i="72" s="1"/>
  <c r="F33" i="9"/>
  <c r="R35" i="4"/>
  <c r="Q35"/>
  <c r="P35"/>
  <c r="O35"/>
  <c r="N35"/>
  <c r="M35"/>
  <c r="L35"/>
  <c r="K34"/>
  <c r="T34" s="1"/>
  <c r="G13" i="1"/>
  <c r="H15" i="4"/>
  <c r="F9" i="1" s="1"/>
  <c r="G9" s="1"/>
  <c r="G15" i="4"/>
  <c r="F12" i="1" s="1"/>
  <c r="G12" s="1"/>
  <c r="F15" i="4"/>
  <c r="F11" i="1" s="1"/>
  <c r="G11" s="1"/>
  <c r="D15" i="4"/>
  <c r="F7" i="1" s="1"/>
  <c r="G7" s="1"/>
  <c r="C15" i="4"/>
  <c r="F6" i="1" s="1"/>
  <c r="L21" i="4"/>
  <c r="F19"/>
  <c r="F2" i="52"/>
  <c r="B50" i="72" s="1"/>
  <c r="D2" i="52"/>
  <c r="B46" i="72" s="1"/>
  <c r="B8" i="53"/>
  <c r="B23" i="72" s="1"/>
  <c r="L4" i="9"/>
  <c r="B17" i="72"/>
  <c r="B15"/>
  <c r="A3" i="51"/>
  <c r="C8" i="11"/>
  <c r="B40" i="48"/>
  <c r="B3" i="72" s="1"/>
  <c r="F35" i="4"/>
  <c r="J55" i="39" s="1"/>
  <c r="H38" i="43"/>
  <c r="H39"/>
  <c r="H40"/>
  <c r="H41"/>
  <c r="H42"/>
  <c r="H37"/>
  <c r="J24"/>
  <c r="C22"/>
  <c r="C10"/>
  <c r="C11" s="1"/>
  <c r="C9"/>
  <c r="F33" i="15"/>
  <c r="F61" s="1"/>
  <c r="M19"/>
  <c r="BR13" i="3"/>
  <c r="B22" i="1"/>
  <c r="G41" i="69" s="1"/>
  <c r="B23" i="1"/>
  <c r="B24"/>
  <c r="F34" i="68" s="1"/>
  <c r="B43" i="1"/>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K6" i="1" s="1"/>
  <c r="E20" i="6"/>
  <c r="E21"/>
  <c r="K8" i="1"/>
  <c r="M8" s="1"/>
  <c r="F23" i="15"/>
  <c r="D24" s="1"/>
  <c r="E22" i="6"/>
  <c r="E23"/>
  <c r="K10" i="1" s="1"/>
  <c r="M10" s="1"/>
  <c r="O10" s="1"/>
  <c r="P10" s="1"/>
  <c r="E24" i="6"/>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H13"/>
  <c r="AC13"/>
  <c r="H14"/>
  <c r="G14" s="1"/>
  <c r="AC14"/>
  <c r="H15"/>
  <c r="AC15"/>
  <c r="H16"/>
  <c r="AC16"/>
  <c r="H17"/>
  <c r="AC17"/>
  <c r="AT5"/>
  <c r="I5"/>
  <c r="AD5"/>
  <c r="AH5"/>
  <c r="AL5"/>
  <c r="AP5"/>
  <c r="F35" i="11"/>
  <c r="F36"/>
  <c r="F38"/>
  <c r="E37"/>
  <c r="F20"/>
  <c r="F21"/>
  <c r="C21" s="1"/>
  <c r="F7"/>
  <c r="C7" s="1"/>
  <c r="F12" i="12"/>
  <c r="F13"/>
  <c r="F15"/>
  <c r="E14"/>
  <c r="BC11" i="3"/>
  <c r="BD11"/>
  <c r="BB11"/>
  <c r="E19" i="12"/>
  <c r="E20"/>
  <c r="E17"/>
  <c r="F22"/>
  <c r="F23"/>
  <c r="I55" i="9"/>
  <c r="F55"/>
  <c r="O53" s="1"/>
  <c r="D89"/>
  <c r="C89" s="1"/>
  <c r="C87" s="1"/>
  <c r="J55"/>
  <c r="B31" i="1"/>
  <c r="B52"/>
  <c r="M20" i="15" s="1"/>
  <c r="T4" i="1"/>
  <c r="F15" i="15"/>
  <c r="F17"/>
  <c r="F18"/>
  <c r="F20"/>
  <c r="F21"/>
  <c r="D3" i="35"/>
  <c r="N55" i="9"/>
  <c r="K55"/>
  <c r="O55"/>
  <c r="N54"/>
  <c r="N53"/>
  <c r="E48"/>
  <c r="N52" s="1"/>
  <c r="F56"/>
  <c r="O54" s="1"/>
  <c r="D101"/>
  <c r="C101"/>
  <c r="D10" i="53"/>
  <c r="B26" i="72"/>
  <c r="C30" i="40"/>
  <c r="C28"/>
  <c r="C23" i="39"/>
  <c r="C19" i="40"/>
  <c r="C25" i="9"/>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G542" s="1"/>
  <c r="AC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G551"/>
  <c r="AC551"/>
  <c r="BB551"/>
  <c r="BC551"/>
  <c r="BD551"/>
  <c r="BE551"/>
  <c r="BF551"/>
  <c r="BG551"/>
  <c r="BH551"/>
  <c r="BI551"/>
  <c r="BJ551"/>
  <c r="BK551"/>
  <c r="BM551"/>
  <c r="BN551"/>
  <c r="BO551"/>
  <c r="BP551"/>
  <c r="BR551"/>
  <c r="BS551"/>
  <c r="BT551"/>
  <c r="H552"/>
  <c r="G552" s="1"/>
  <c r="AC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s="1"/>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G574" s="1"/>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G582" s="1"/>
  <c r="AC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09" i="39"/>
  <c r="H35" s="1"/>
  <c r="AB35" s="1"/>
  <c r="B111"/>
  <c r="J30" i="36"/>
  <c r="W30" s="1"/>
  <c r="H30"/>
  <c r="AB30" s="1"/>
  <c r="F30"/>
  <c r="AA30" s="1"/>
  <c r="C26" i="35"/>
  <c r="C79" s="1"/>
  <c r="J31"/>
  <c r="W31" s="1"/>
  <c r="H31"/>
  <c r="F31"/>
  <c r="S31" s="1"/>
  <c r="D87"/>
  <c r="E87" s="1"/>
  <c r="F87" s="1"/>
  <c r="G87" s="1"/>
  <c r="H87" s="1"/>
  <c r="I87" s="1"/>
  <c r="J87" s="1"/>
  <c r="K87" s="1"/>
  <c r="L87" s="1"/>
  <c r="M87" s="1"/>
  <c r="H34" i="37"/>
  <c r="D101"/>
  <c r="F34"/>
  <c r="AA34" s="1"/>
  <c r="D99"/>
  <c r="E99"/>
  <c r="F99" s="1"/>
  <c r="G99" s="1"/>
  <c r="H99" s="1"/>
  <c r="I99" s="1"/>
  <c r="J99" s="1"/>
  <c r="K99" s="1"/>
  <c r="L99" s="1"/>
  <c r="M99" s="1"/>
  <c r="H42" i="34"/>
  <c r="J42"/>
  <c r="W42" s="1"/>
  <c r="F42"/>
  <c r="S42" s="1"/>
  <c r="J38"/>
  <c r="W38"/>
  <c r="D114"/>
  <c r="F38"/>
  <c r="D112"/>
  <c r="E112" s="1"/>
  <c r="F112"/>
  <c r="G112" s="1"/>
  <c r="H112" s="1"/>
  <c r="I112" s="1"/>
  <c r="J112" s="1"/>
  <c r="K112" s="1"/>
  <c r="L112" s="1"/>
  <c r="M112" s="1"/>
  <c r="F40" i="33"/>
  <c r="AA40" s="1"/>
  <c r="J41"/>
  <c r="D113"/>
  <c r="E113" s="1"/>
  <c r="F113" s="1"/>
  <c r="G113" s="1"/>
  <c r="H113" s="1"/>
  <c r="F37"/>
  <c r="D111"/>
  <c r="E111" s="1"/>
  <c r="F111" s="1"/>
  <c r="S515" i="31"/>
  <c r="S516"/>
  <c r="S517"/>
  <c r="S518"/>
  <c r="S519"/>
  <c r="S520"/>
  <c r="S521"/>
  <c r="S522"/>
  <c r="S523"/>
  <c r="S524"/>
  <c r="F41" i="21"/>
  <c r="J41"/>
  <c r="AC41" s="1"/>
  <c r="H41"/>
  <c r="D80" i="39"/>
  <c r="E80" s="1"/>
  <c r="F80" s="1"/>
  <c r="G80" s="1"/>
  <c r="H80" s="1"/>
  <c r="I80" s="1"/>
  <c r="J80" s="1"/>
  <c r="K80" s="1"/>
  <c r="L80" s="1"/>
  <c r="M80" s="1"/>
  <c r="D76" i="40"/>
  <c r="E76" s="1"/>
  <c r="F76" s="1"/>
  <c r="G76"/>
  <c r="H76" s="1"/>
  <c r="I76" s="1"/>
  <c r="J76" s="1"/>
  <c r="K76" s="1"/>
  <c r="L76" s="1"/>
  <c r="M76" s="1"/>
  <c r="B120"/>
  <c r="J40" s="1"/>
  <c r="W40" s="1"/>
  <c r="B118"/>
  <c r="B116"/>
  <c r="D115"/>
  <c r="E115"/>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s="1"/>
  <c r="B101"/>
  <c r="J31" s="1"/>
  <c r="D100"/>
  <c r="E100" s="1"/>
  <c r="F100" s="1"/>
  <c r="G100" s="1"/>
  <c r="H100" s="1"/>
  <c r="I100" s="1"/>
  <c r="J100" s="1"/>
  <c r="K100" s="1"/>
  <c r="L100" s="1"/>
  <c r="M100" s="1"/>
  <c r="D98"/>
  <c r="J28"/>
  <c r="AC28"/>
  <c r="D96"/>
  <c r="E96"/>
  <c r="F96" s="1"/>
  <c r="G96" s="1"/>
  <c r="H96" s="1"/>
  <c r="I96" s="1"/>
  <c r="J96" s="1"/>
  <c r="K96"/>
  <c r="L96" s="1"/>
  <c r="M96" s="1"/>
  <c r="B95"/>
  <c r="D92"/>
  <c r="E92" s="1"/>
  <c r="F92" s="1"/>
  <c r="G92" s="1"/>
  <c r="D90"/>
  <c r="E90" s="1"/>
  <c r="F90" s="1"/>
  <c r="G90" s="1"/>
  <c r="D88"/>
  <c r="E88" s="1"/>
  <c r="D86"/>
  <c r="E86" s="1"/>
  <c r="F86" s="1"/>
  <c r="G86" s="1"/>
  <c r="D84"/>
  <c r="E84" s="1"/>
  <c r="F84" s="1"/>
  <c r="G84" s="1"/>
  <c r="B81"/>
  <c r="B79"/>
  <c r="B77"/>
  <c r="J12" s="1"/>
  <c r="M74"/>
  <c r="L74"/>
  <c r="K74"/>
  <c r="J74"/>
  <c r="I74"/>
  <c r="H74"/>
  <c r="G74"/>
  <c r="F74"/>
  <c r="E74"/>
  <c r="D74"/>
  <c r="C74"/>
  <c r="P43"/>
  <c r="P42"/>
  <c r="V41"/>
  <c r="T41"/>
  <c r="R41"/>
  <c r="P41"/>
  <c r="Q40"/>
  <c r="Z40"/>
  <c r="Q39"/>
  <c r="Z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AC9" s="1"/>
  <c r="W9"/>
  <c r="H9"/>
  <c r="AB9"/>
  <c r="F9"/>
  <c r="S9"/>
  <c r="J8"/>
  <c r="AC8"/>
  <c r="H8"/>
  <c r="AB8"/>
  <c r="F8"/>
  <c r="AA8"/>
  <c r="J38" i="39"/>
  <c r="W38" s="1"/>
  <c r="H38"/>
  <c r="AB38" s="1"/>
  <c r="F38"/>
  <c r="AA38" s="1"/>
  <c r="D123"/>
  <c r="E123" s="1"/>
  <c r="F123" s="1"/>
  <c r="G123" s="1"/>
  <c r="H123" s="1"/>
  <c r="I123" s="1"/>
  <c r="J123" s="1"/>
  <c r="K123" s="1"/>
  <c r="L123" s="1"/>
  <c r="M123" s="1"/>
  <c r="D119"/>
  <c r="E119" s="1"/>
  <c r="F119" s="1"/>
  <c r="G119" s="1"/>
  <c r="H119" s="1"/>
  <c r="I119" s="1"/>
  <c r="J119" s="1"/>
  <c r="K119" s="1"/>
  <c r="L119" s="1"/>
  <c r="M119" s="1"/>
  <c r="B113"/>
  <c r="J37" s="1"/>
  <c r="D108"/>
  <c r="F34"/>
  <c r="AA34" s="1"/>
  <c r="D106"/>
  <c r="E106" s="1"/>
  <c r="D104"/>
  <c r="E104" s="1"/>
  <c r="F104" s="1"/>
  <c r="G104" s="1"/>
  <c r="H104" s="1"/>
  <c r="I104" s="1"/>
  <c r="J104" s="1"/>
  <c r="K104" s="1"/>
  <c r="L104" s="1"/>
  <c r="M104" s="1"/>
  <c r="D100"/>
  <c r="D98"/>
  <c r="E98" s="1"/>
  <c r="F98" s="1"/>
  <c r="G98" s="1"/>
  <c r="Q39"/>
  <c r="Z39" s="1"/>
  <c r="Q40"/>
  <c r="Z40" s="1"/>
  <c r="Q41"/>
  <c r="Z41" s="1"/>
  <c r="Q42"/>
  <c r="Z42" s="1"/>
  <c r="Q43"/>
  <c r="Z43" s="1"/>
  <c r="Q44"/>
  <c r="Z44" s="1"/>
  <c r="Q45"/>
  <c r="Z45" s="1"/>
  <c r="Q38"/>
  <c r="Z38" s="1"/>
  <c r="Q36"/>
  <c r="Z36" s="1"/>
  <c r="Q37"/>
  <c r="Z37" s="1"/>
  <c r="B130"/>
  <c r="H45" s="1"/>
  <c r="B128"/>
  <c r="B126"/>
  <c r="J43" s="1"/>
  <c r="D125"/>
  <c r="E125" s="1"/>
  <c r="F125" s="1"/>
  <c r="G125" s="1"/>
  <c r="H125" s="1"/>
  <c r="I125" s="1"/>
  <c r="J125" s="1"/>
  <c r="K125" s="1"/>
  <c r="L125" s="1"/>
  <c r="M125" s="1"/>
  <c r="D121"/>
  <c r="E121" s="1"/>
  <c r="F121" s="1"/>
  <c r="G121" s="1"/>
  <c r="H121" s="1"/>
  <c r="I121" s="1"/>
  <c r="J121" s="1"/>
  <c r="K121" s="1"/>
  <c r="L121" s="1"/>
  <c r="M121" s="1"/>
  <c r="B103"/>
  <c r="D96"/>
  <c r="J23"/>
  <c r="AC23" s="1"/>
  <c r="D94"/>
  <c r="E94" s="1"/>
  <c r="F94"/>
  <c r="D92"/>
  <c r="E92"/>
  <c r="F92" s="1"/>
  <c r="G92" s="1"/>
  <c r="D90"/>
  <c r="E90"/>
  <c r="F90" s="1"/>
  <c r="G90" s="1"/>
  <c r="D88"/>
  <c r="E88" s="1"/>
  <c r="F88" s="1"/>
  <c r="G88" s="1"/>
  <c r="B85"/>
  <c r="B83"/>
  <c r="B81"/>
  <c r="J12" s="1"/>
  <c r="M78"/>
  <c r="L78"/>
  <c r="K78"/>
  <c r="J78"/>
  <c r="I78"/>
  <c r="H78"/>
  <c r="G78"/>
  <c r="F78"/>
  <c r="E78"/>
  <c r="D78"/>
  <c r="C78"/>
  <c r="P48"/>
  <c r="P47"/>
  <c r="V46"/>
  <c r="T46"/>
  <c r="R46"/>
  <c r="P46"/>
  <c r="J40"/>
  <c r="F40"/>
  <c r="AA40" s="1"/>
  <c r="Q35"/>
  <c r="Z35" s="1"/>
  <c r="Q34"/>
  <c r="Z34" s="1"/>
  <c r="Q32"/>
  <c r="Z32" s="1"/>
  <c r="Q31"/>
  <c r="Z31" s="1"/>
  <c r="Q27"/>
  <c r="Z27" s="1"/>
  <c r="Q25"/>
  <c r="Z25" s="1"/>
  <c r="Q23"/>
  <c r="Z23" s="1"/>
  <c r="Q21"/>
  <c r="Z21" s="1"/>
  <c r="Q19"/>
  <c r="Z19" s="1"/>
  <c r="Q17"/>
  <c r="Z17" s="1"/>
  <c r="Q15"/>
  <c r="Z15" s="1"/>
  <c r="Q14"/>
  <c r="Z14" s="1"/>
  <c r="Q13"/>
  <c r="Z13" s="1"/>
  <c r="Q12"/>
  <c r="Z12"/>
  <c r="Q11"/>
  <c r="Z11"/>
  <c r="Q10"/>
  <c r="Z10"/>
  <c r="Q9"/>
  <c r="Z9"/>
  <c r="J9"/>
  <c r="AC9"/>
  <c r="H9"/>
  <c r="AB9" s="1"/>
  <c r="F9"/>
  <c r="AA9" s="1"/>
  <c r="J8"/>
  <c r="AC8" s="1"/>
  <c r="H8"/>
  <c r="F8"/>
  <c r="AA8" s="1"/>
  <c r="C20" i="36"/>
  <c r="C20" i="35"/>
  <c r="C16" i="36"/>
  <c r="C16" i="35"/>
  <c r="C14" i="36"/>
  <c r="C14" i="35"/>
  <c r="B80" i="37"/>
  <c r="B110"/>
  <c r="J39"/>
  <c r="AC39" s="1"/>
  <c r="B108"/>
  <c r="C23"/>
  <c r="C19"/>
  <c r="C17"/>
  <c r="C15"/>
  <c r="B112"/>
  <c r="D107"/>
  <c r="E107" s="1"/>
  <c r="D105"/>
  <c r="E105" s="1"/>
  <c r="D103"/>
  <c r="E103" s="1"/>
  <c r="F103" s="1"/>
  <c r="J35"/>
  <c r="W35" s="1"/>
  <c r="F97"/>
  <c r="E97"/>
  <c r="D97"/>
  <c r="C97"/>
  <c r="D96"/>
  <c r="E96" s="1"/>
  <c r="D94"/>
  <c r="M90"/>
  <c r="L90"/>
  <c r="K90"/>
  <c r="J90"/>
  <c r="I90"/>
  <c r="H90"/>
  <c r="G90"/>
  <c r="F90"/>
  <c r="E90"/>
  <c r="D90"/>
  <c r="C90"/>
  <c r="D89"/>
  <c r="B86"/>
  <c r="B84"/>
  <c r="H27" s="1"/>
  <c r="U27" s="1"/>
  <c r="B82"/>
  <c r="D79"/>
  <c r="E79"/>
  <c r="D75"/>
  <c r="E75"/>
  <c r="D73"/>
  <c r="E73"/>
  <c r="F73" s="1"/>
  <c r="D71"/>
  <c r="H15"/>
  <c r="AB15" s="1"/>
  <c r="B68"/>
  <c r="H14" s="1"/>
  <c r="B66"/>
  <c r="B64"/>
  <c r="D63"/>
  <c r="E63" s="1"/>
  <c r="M61"/>
  <c r="L61"/>
  <c r="K61"/>
  <c r="J61"/>
  <c r="I61"/>
  <c r="H61"/>
  <c r="G61"/>
  <c r="F61"/>
  <c r="E61"/>
  <c r="D61"/>
  <c r="C61"/>
  <c r="C57"/>
  <c r="P43"/>
  <c r="P42"/>
  <c r="V41"/>
  <c r="T41"/>
  <c r="R41"/>
  <c r="P41"/>
  <c r="Q40"/>
  <c r="Z40" s="1"/>
  <c r="Q39"/>
  <c r="Z39" s="1"/>
  <c r="Q38"/>
  <c r="Z38" s="1"/>
  <c r="Q37"/>
  <c r="Z37" s="1"/>
  <c r="Q36"/>
  <c r="Z36" s="1"/>
  <c r="Q35"/>
  <c r="Z35" s="1"/>
  <c r="Q34"/>
  <c r="Z34" s="1"/>
  <c r="Q33"/>
  <c r="Z33" s="1"/>
  <c r="Q32"/>
  <c r="Z32" s="1"/>
  <c r="Q31"/>
  <c r="Z31" s="1"/>
  <c r="J31"/>
  <c r="Q30"/>
  <c r="Z30" s="1"/>
  <c r="J30"/>
  <c r="AC30" s="1"/>
  <c r="H30"/>
  <c r="F30"/>
  <c r="AA30" s="1"/>
  <c r="Q29"/>
  <c r="Z29" s="1"/>
  <c r="H29"/>
  <c r="AB29" s="1"/>
  <c r="Q28"/>
  <c r="Z28" s="1"/>
  <c r="Q27"/>
  <c r="Z27" s="1"/>
  <c r="Q26"/>
  <c r="Z26" s="1"/>
  <c r="Q25"/>
  <c r="Z25" s="1"/>
  <c r="Q23"/>
  <c r="Z23" s="1"/>
  <c r="Q19"/>
  <c r="Z19"/>
  <c r="Q17"/>
  <c r="Z17" s="1"/>
  <c r="Q15"/>
  <c r="Z15" s="1"/>
  <c r="Q14"/>
  <c r="Z14" s="1"/>
  <c r="Q13"/>
  <c r="Z13" s="1"/>
  <c r="Q12"/>
  <c r="Z12" s="1"/>
  <c r="Q11"/>
  <c r="Z11" s="1"/>
  <c r="Q10"/>
  <c r="Z10" s="1"/>
  <c r="F10"/>
  <c r="AA10" s="1"/>
  <c r="Q9"/>
  <c r="Z9" s="1"/>
  <c r="J8"/>
  <c r="W8" s="1"/>
  <c r="H8"/>
  <c r="AB8" s="1"/>
  <c r="F8"/>
  <c r="S8" s="1"/>
  <c r="J31" i="36"/>
  <c r="AC31" s="1"/>
  <c r="H31"/>
  <c r="F31"/>
  <c r="S31" s="1"/>
  <c r="M86"/>
  <c r="L86"/>
  <c r="K86"/>
  <c r="J86"/>
  <c r="I86"/>
  <c r="H86"/>
  <c r="G86"/>
  <c r="F86"/>
  <c r="E86"/>
  <c r="D86"/>
  <c r="C86"/>
  <c r="D85"/>
  <c r="H29"/>
  <c r="D81"/>
  <c r="E81"/>
  <c r="F81" s="1"/>
  <c r="G81" s="1"/>
  <c r="H81" s="1"/>
  <c r="I81" s="1"/>
  <c r="J81" s="1"/>
  <c r="K81" s="1"/>
  <c r="L81" s="1"/>
  <c r="M81" s="1"/>
  <c r="F79"/>
  <c r="E79"/>
  <c r="D79"/>
  <c r="C79"/>
  <c r="B93"/>
  <c r="H33"/>
  <c r="B91"/>
  <c r="F32"/>
  <c r="B95"/>
  <c r="H34"/>
  <c r="D83"/>
  <c r="E83"/>
  <c r="F83" s="1"/>
  <c r="G83" s="1"/>
  <c r="H83" s="1"/>
  <c r="I83" s="1"/>
  <c r="J83" s="1"/>
  <c r="K83" s="1"/>
  <c r="L83" s="1"/>
  <c r="M83" s="1"/>
  <c r="D78"/>
  <c r="E78"/>
  <c r="F78" s="1"/>
  <c r="G78" s="1"/>
  <c r="H78" s="1"/>
  <c r="I78" s="1"/>
  <c r="J78" s="1"/>
  <c r="K78" s="1"/>
  <c r="L78" s="1"/>
  <c r="M78" s="1"/>
  <c r="B75"/>
  <c r="B73"/>
  <c r="B71"/>
  <c r="D70"/>
  <c r="H22"/>
  <c r="AB22"/>
  <c r="D68"/>
  <c r="E68"/>
  <c r="F68" s="1"/>
  <c r="G68"/>
  <c r="D64"/>
  <c r="E64" s="1"/>
  <c r="F64" s="1"/>
  <c r="G64" s="1"/>
  <c r="J16"/>
  <c r="W16" s="1"/>
  <c r="D62"/>
  <c r="E62" s="1"/>
  <c r="F62" s="1"/>
  <c r="G62"/>
  <c r="B59"/>
  <c r="B57"/>
  <c r="B55"/>
  <c r="C51"/>
  <c r="J9" s="1"/>
  <c r="AC9" s="1"/>
  <c r="P37"/>
  <c r="P36"/>
  <c r="V35"/>
  <c r="T35"/>
  <c r="R35"/>
  <c r="P35"/>
  <c r="Q34"/>
  <c r="Z34" s="1"/>
  <c r="Q33"/>
  <c r="Z33" s="1"/>
  <c r="Q32"/>
  <c r="Z32" s="1"/>
  <c r="Q31"/>
  <c r="Z31" s="1"/>
  <c r="Q30"/>
  <c r="Z30" s="1"/>
  <c r="AC30"/>
  <c r="Q29"/>
  <c r="Z29" s="1"/>
  <c r="Q28"/>
  <c r="Z28"/>
  <c r="J28"/>
  <c r="AC28" s="1"/>
  <c r="Q27"/>
  <c r="Z27" s="1"/>
  <c r="Q26"/>
  <c r="Z26" s="1"/>
  <c r="H26"/>
  <c r="AB26" s="1"/>
  <c r="Q25"/>
  <c r="Z25" s="1"/>
  <c r="Q24"/>
  <c r="Z24" s="1"/>
  <c r="Q23"/>
  <c r="Z23" s="1"/>
  <c r="J23"/>
  <c r="AC23" s="1"/>
  <c r="H23"/>
  <c r="AB23" s="1"/>
  <c r="F23"/>
  <c r="AA23" s="1"/>
  <c r="Q22"/>
  <c r="Z22" s="1"/>
  <c r="J22"/>
  <c r="AC22" s="1"/>
  <c r="Q20"/>
  <c r="Z20" s="1"/>
  <c r="Q16"/>
  <c r="Z16" s="1"/>
  <c r="Q14"/>
  <c r="Z14" s="1"/>
  <c r="Q13"/>
  <c r="Z13" s="1"/>
  <c r="Q12"/>
  <c r="Z12" s="1"/>
  <c r="Q11"/>
  <c r="Z11" s="1"/>
  <c r="Q10"/>
  <c r="Z10" s="1"/>
  <c r="F10"/>
  <c r="AA10" s="1"/>
  <c r="Q9"/>
  <c r="Z9" s="1"/>
  <c r="H9"/>
  <c r="F9"/>
  <c r="AA9" s="1"/>
  <c r="J8"/>
  <c r="AC8" s="1"/>
  <c r="H8"/>
  <c r="U8" s="1"/>
  <c r="F8"/>
  <c r="AA8" s="1"/>
  <c r="D89" i="35"/>
  <c r="M90"/>
  <c r="L90"/>
  <c r="K90"/>
  <c r="J90"/>
  <c r="I90"/>
  <c r="H90"/>
  <c r="G90"/>
  <c r="F90"/>
  <c r="E90"/>
  <c r="D90"/>
  <c r="C90"/>
  <c r="F85"/>
  <c r="E85"/>
  <c r="D85"/>
  <c r="C85"/>
  <c r="J27"/>
  <c r="W27" s="1"/>
  <c r="H27"/>
  <c r="U27"/>
  <c r="F27"/>
  <c r="AA27" s="1"/>
  <c r="J22"/>
  <c r="AC22"/>
  <c r="B101"/>
  <c r="H36" s="1"/>
  <c r="AB36" s="1"/>
  <c r="B99"/>
  <c r="B97"/>
  <c r="F34" s="1"/>
  <c r="B77"/>
  <c r="B75"/>
  <c r="J24" s="1"/>
  <c r="AC24" s="1"/>
  <c r="B73"/>
  <c r="B57"/>
  <c r="B61"/>
  <c r="B59"/>
  <c r="B131" i="34"/>
  <c r="B129"/>
  <c r="B127"/>
  <c r="B99"/>
  <c r="B97"/>
  <c r="B95"/>
  <c r="B93"/>
  <c r="B75"/>
  <c r="B73"/>
  <c r="B71"/>
  <c r="J12" s="1"/>
  <c r="B130" i="33"/>
  <c r="B128"/>
  <c r="B126"/>
  <c r="B98"/>
  <c r="B96"/>
  <c r="B94"/>
  <c r="B74"/>
  <c r="B72"/>
  <c r="B70"/>
  <c r="D96" i="35"/>
  <c r="E96" s="1"/>
  <c r="F96" s="1"/>
  <c r="G96" s="1"/>
  <c r="D94"/>
  <c r="E94" s="1"/>
  <c r="F94" s="1"/>
  <c r="G94" s="1"/>
  <c r="H94" s="1"/>
  <c r="I94" s="1"/>
  <c r="J94" s="1"/>
  <c r="K94" s="1"/>
  <c r="L94" s="1"/>
  <c r="M94" s="1"/>
  <c r="D84"/>
  <c r="E84" s="1"/>
  <c r="F84"/>
  <c r="G84" s="1"/>
  <c r="H84" s="1"/>
  <c r="I84" s="1"/>
  <c r="J84" s="1"/>
  <c r="K84" s="1"/>
  <c r="L84" s="1"/>
  <c r="M84" s="1"/>
  <c r="D80"/>
  <c r="E80" s="1"/>
  <c r="F80" s="1"/>
  <c r="G80" s="1"/>
  <c r="H80" s="1"/>
  <c r="I80" s="1"/>
  <c r="J80" s="1"/>
  <c r="K80" s="1"/>
  <c r="L80" s="1"/>
  <c r="M80" s="1"/>
  <c r="D72"/>
  <c r="E72" s="1"/>
  <c r="F72"/>
  <c r="G72" s="1"/>
  <c r="D70"/>
  <c r="E70" s="1"/>
  <c r="F70" s="1"/>
  <c r="G70" s="1"/>
  <c r="D66"/>
  <c r="E66" s="1"/>
  <c r="F66" s="1"/>
  <c r="G66" s="1"/>
  <c r="D64"/>
  <c r="E64" s="1"/>
  <c r="F64" s="1"/>
  <c r="G64" s="1"/>
  <c r="J14"/>
  <c r="W14" s="1"/>
  <c r="C53"/>
  <c r="J9" s="1"/>
  <c r="P39"/>
  <c r="P38"/>
  <c r="V37"/>
  <c r="T37"/>
  <c r="R37"/>
  <c r="P37"/>
  <c r="Q36"/>
  <c r="Z36" s="1"/>
  <c r="Q35"/>
  <c r="Z35" s="1"/>
  <c r="Q34"/>
  <c r="Z34" s="1"/>
  <c r="J34"/>
  <c r="H34"/>
  <c r="Q33"/>
  <c r="Z33" s="1"/>
  <c r="Q32"/>
  <c r="Z32" s="1"/>
  <c r="H32"/>
  <c r="AB32" s="1"/>
  <c r="F32"/>
  <c r="AA32" s="1"/>
  <c r="Q31"/>
  <c r="Z31" s="1"/>
  <c r="AC31"/>
  <c r="AA31"/>
  <c r="Q30"/>
  <c r="Z30" s="1"/>
  <c r="Q29"/>
  <c r="Z29"/>
  <c r="Q28"/>
  <c r="Z28" s="1"/>
  <c r="J28"/>
  <c r="W28" s="1"/>
  <c r="AC28"/>
  <c r="H28"/>
  <c r="AB28" s="1"/>
  <c r="F28"/>
  <c r="AA28" s="1"/>
  <c r="Q27"/>
  <c r="Z27" s="1"/>
  <c r="Q26"/>
  <c r="Z26" s="1"/>
  <c r="Q25"/>
  <c r="Z25" s="1"/>
  <c r="Q24"/>
  <c r="Z24"/>
  <c r="Q23"/>
  <c r="Z23" s="1"/>
  <c r="Q22"/>
  <c r="Z22"/>
  <c r="Q20"/>
  <c r="Z20" s="1"/>
  <c r="Q16"/>
  <c r="Z16" s="1"/>
  <c r="Q14"/>
  <c r="Z14" s="1"/>
  <c r="Q13"/>
  <c r="Z13" s="1"/>
  <c r="Q12"/>
  <c r="Z12" s="1"/>
  <c r="J12"/>
  <c r="W12" s="1"/>
  <c r="H12"/>
  <c r="F12"/>
  <c r="S12" s="1"/>
  <c r="Q11"/>
  <c r="Z11" s="1"/>
  <c r="Q10"/>
  <c r="Z10" s="1"/>
  <c r="Q9"/>
  <c r="Z9" s="1"/>
  <c r="J8"/>
  <c r="W8" s="1"/>
  <c r="H8"/>
  <c r="AB8" s="1"/>
  <c r="F8"/>
  <c r="AA8" s="1"/>
  <c r="D120" i="34"/>
  <c r="E120" s="1"/>
  <c r="F120" s="1"/>
  <c r="G120" s="1"/>
  <c r="H120" s="1"/>
  <c r="I120" s="1"/>
  <c r="J120" s="1"/>
  <c r="K120" s="1"/>
  <c r="L120" s="1"/>
  <c r="M120" s="1"/>
  <c r="D90"/>
  <c r="E90"/>
  <c r="F90" s="1"/>
  <c r="G90" s="1"/>
  <c r="H90" s="1"/>
  <c r="I90"/>
  <c r="J90" s="1"/>
  <c r="K90" s="1"/>
  <c r="L90" s="1"/>
  <c r="M90" s="1"/>
  <c r="C15"/>
  <c r="D126"/>
  <c r="E126" s="1"/>
  <c r="F126" s="1"/>
  <c r="G126" s="1"/>
  <c r="D124"/>
  <c r="E124" s="1"/>
  <c r="F124" s="1"/>
  <c r="G124" s="1"/>
  <c r="H124" s="1"/>
  <c r="I124" s="1"/>
  <c r="J124" s="1"/>
  <c r="K124" s="1"/>
  <c r="L124" s="1"/>
  <c r="M124" s="1"/>
  <c r="H43"/>
  <c r="AB43" s="1"/>
  <c r="D118"/>
  <c r="E118" s="1"/>
  <c r="F118" s="1"/>
  <c r="G118" s="1"/>
  <c r="D116"/>
  <c r="E116" s="1"/>
  <c r="F116" s="1"/>
  <c r="G116" s="1"/>
  <c r="H116"/>
  <c r="I116" s="1"/>
  <c r="J116" s="1"/>
  <c r="K116" s="1"/>
  <c r="L116" s="1"/>
  <c r="M116" s="1"/>
  <c r="F110"/>
  <c r="E110"/>
  <c r="D110"/>
  <c r="C110"/>
  <c r="D109"/>
  <c r="E109" s="1"/>
  <c r="F109" s="1"/>
  <c r="G109" s="1"/>
  <c r="H109" s="1"/>
  <c r="I109" s="1"/>
  <c r="J109" s="1"/>
  <c r="K109" s="1"/>
  <c r="L109" s="1"/>
  <c r="M109" s="1"/>
  <c r="D107"/>
  <c r="E107" s="1"/>
  <c r="F107" s="1"/>
  <c r="G107" s="1"/>
  <c r="H107"/>
  <c r="I107" s="1"/>
  <c r="J107" s="1"/>
  <c r="K107" s="1"/>
  <c r="L107" s="1"/>
  <c r="M107" s="1"/>
  <c r="F35"/>
  <c r="AA35" s="1"/>
  <c r="M103"/>
  <c r="L103"/>
  <c r="K103"/>
  <c r="J103"/>
  <c r="I103"/>
  <c r="H103"/>
  <c r="G103"/>
  <c r="F103"/>
  <c r="E103"/>
  <c r="D103"/>
  <c r="C103"/>
  <c r="D102"/>
  <c r="E102"/>
  <c r="F102" s="1"/>
  <c r="G102" s="1"/>
  <c r="H102" s="1"/>
  <c r="I102" s="1"/>
  <c r="J102" s="1"/>
  <c r="K102" s="1"/>
  <c r="L102" s="1"/>
  <c r="M102" s="1"/>
  <c r="D92"/>
  <c r="E92" s="1"/>
  <c r="F92" s="1"/>
  <c r="G92" s="1"/>
  <c r="H92" s="1"/>
  <c r="I92"/>
  <c r="J92" s="1"/>
  <c r="K92" s="1"/>
  <c r="L92" s="1"/>
  <c r="M92" s="1"/>
  <c r="B91"/>
  <c r="F28" s="1"/>
  <c r="B89"/>
  <c r="D88"/>
  <c r="E88" s="1"/>
  <c r="F88"/>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c r="Q32"/>
  <c r="Z32" s="1"/>
  <c r="Q31"/>
  <c r="Z31"/>
  <c r="Q30"/>
  <c r="Z30" s="1"/>
  <c r="Q29"/>
  <c r="Z29"/>
  <c r="Q28"/>
  <c r="Z28" s="1"/>
  <c r="Q27"/>
  <c r="Z27"/>
  <c r="Q25"/>
  <c r="Z25" s="1"/>
  <c r="Q23"/>
  <c r="Z23"/>
  <c r="C23"/>
  <c r="Q19"/>
  <c r="Z19" s="1"/>
  <c r="C19"/>
  <c r="Q17"/>
  <c r="Z17" s="1"/>
  <c r="C17"/>
  <c r="Q15"/>
  <c r="Z15" s="1"/>
  <c r="Q14"/>
  <c r="Z14" s="1"/>
  <c r="Q13"/>
  <c r="Z13" s="1"/>
  <c r="Q12"/>
  <c r="Z12" s="1"/>
  <c r="H12"/>
  <c r="F12"/>
  <c r="S12" s="1"/>
  <c r="Q11"/>
  <c r="Z11" s="1"/>
  <c r="Q10"/>
  <c r="Z10"/>
  <c r="F10"/>
  <c r="AA10" s="1"/>
  <c r="Q9"/>
  <c r="Z9" s="1"/>
  <c r="J9"/>
  <c r="H9"/>
  <c r="F9"/>
  <c r="AA9" s="1"/>
  <c r="J8"/>
  <c r="AC8" s="1"/>
  <c r="H8"/>
  <c r="U8" s="1"/>
  <c r="F8"/>
  <c r="D121" i="33"/>
  <c r="E121" s="1"/>
  <c r="F109"/>
  <c r="E109"/>
  <c r="D109"/>
  <c r="C109"/>
  <c r="D91"/>
  <c r="E91" s="1"/>
  <c r="B88"/>
  <c r="C23"/>
  <c r="C19"/>
  <c r="C17"/>
  <c r="C15"/>
  <c r="C15" i="21"/>
  <c r="D125" i="33"/>
  <c r="D123"/>
  <c r="D117"/>
  <c r="E117"/>
  <c r="F117" s="1"/>
  <c r="G117"/>
  <c r="D115"/>
  <c r="E115"/>
  <c r="F115" s="1"/>
  <c r="G115" s="1"/>
  <c r="H115" s="1"/>
  <c r="I115"/>
  <c r="J115" s="1"/>
  <c r="K115" s="1"/>
  <c r="L115" s="1"/>
  <c r="M115" s="1"/>
  <c r="D108"/>
  <c r="E108" s="1"/>
  <c r="F108" s="1"/>
  <c r="D106"/>
  <c r="E106" s="1"/>
  <c r="M102"/>
  <c r="L102"/>
  <c r="K102"/>
  <c r="J102"/>
  <c r="I102"/>
  <c r="H102"/>
  <c r="G102"/>
  <c r="F102"/>
  <c r="E102"/>
  <c r="D102"/>
  <c r="C102"/>
  <c r="D101"/>
  <c r="E101" s="1"/>
  <c r="B92"/>
  <c r="B90"/>
  <c r="D87"/>
  <c r="E87" s="1"/>
  <c r="D85"/>
  <c r="E85" s="1"/>
  <c r="D81"/>
  <c r="E81" s="1"/>
  <c r="D79"/>
  <c r="E79" s="1"/>
  <c r="D77"/>
  <c r="E77"/>
  <c r="F77" s="1"/>
  <c r="G77" s="1"/>
  <c r="D69"/>
  <c r="E69" s="1"/>
  <c r="F69" s="1"/>
  <c r="G69" s="1"/>
  <c r="H69" s="1"/>
  <c r="I69" s="1"/>
  <c r="J69" s="1"/>
  <c r="K69" s="1"/>
  <c r="L69" s="1"/>
  <c r="M69" s="1"/>
  <c r="M67"/>
  <c r="L67"/>
  <c r="K67"/>
  <c r="J67"/>
  <c r="I67"/>
  <c r="H67"/>
  <c r="G67"/>
  <c r="F67"/>
  <c r="E67"/>
  <c r="D67"/>
  <c r="C67"/>
  <c r="C63"/>
  <c r="H9" s="1"/>
  <c r="AB9" s="1"/>
  <c r="F54"/>
  <c r="P49"/>
  <c r="P48"/>
  <c r="V47"/>
  <c r="T47"/>
  <c r="R47"/>
  <c r="P47"/>
  <c r="Q46"/>
  <c r="Z46"/>
  <c r="Q45"/>
  <c r="Z45" s="1"/>
  <c r="Q44"/>
  <c r="Z44" s="1"/>
  <c r="Q43"/>
  <c r="Z43" s="1"/>
  <c r="Q42"/>
  <c r="Z42" s="1"/>
  <c r="J42"/>
  <c r="AC42" s="1"/>
  <c r="AC41"/>
  <c r="W41"/>
  <c r="Q41"/>
  <c r="Z41" s="1"/>
  <c r="Q40"/>
  <c r="Z40"/>
  <c r="J40"/>
  <c r="AC40" s="1"/>
  <c r="H40"/>
  <c r="AB40" s="1"/>
  <c r="Q39"/>
  <c r="Z39" s="1"/>
  <c r="J39"/>
  <c r="Q38"/>
  <c r="Z38" s="1"/>
  <c r="J38"/>
  <c r="AC38" s="1"/>
  <c r="H38"/>
  <c r="AB38" s="1"/>
  <c r="F38"/>
  <c r="Q37"/>
  <c r="Z37" s="1"/>
  <c r="Q36"/>
  <c r="Z36" s="1"/>
  <c r="Q35"/>
  <c r="Z35" s="1"/>
  <c r="H35"/>
  <c r="Q34"/>
  <c r="Z34" s="1"/>
  <c r="Q33"/>
  <c r="Z33" s="1"/>
  <c r="J33"/>
  <c r="H33"/>
  <c r="AB33" s="1"/>
  <c r="F33"/>
  <c r="AA33" s="1"/>
  <c r="Q32"/>
  <c r="Z32"/>
  <c r="Q31"/>
  <c r="Z31"/>
  <c r="Q30"/>
  <c r="Z30"/>
  <c r="Q29"/>
  <c r="Z29"/>
  <c r="Q28"/>
  <c r="Z28"/>
  <c r="Q27"/>
  <c r="Z27"/>
  <c r="Q26"/>
  <c r="Z26"/>
  <c r="Q25"/>
  <c r="Z25"/>
  <c r="Q23"/>
  <c r="Z23"/>
  <c r="Q19"/>
  <c r="Z19"/>
  <c r="Q17"/>
  <c r="Z17"/>
  <c r="Q15"/>
  <c r="Z15"/>
  <c r="F15"/>
  <c r="AA15" s="1"/>
  <c r="Q14"/>
  <c r="Z14"/>
  <c r="Q13"/>
  <c r="Z13" s="1"/>
  <c r="Q12"/>
  <c r="Z12"/>
  <c r="Q11"/>
  <c r="Z11" s="1"/>
  <c r="Q10"/>
  <c r="Z10" s="1"/>
  <c r="Q9"/>
  <c r="Z9" s="1"/>
  <c r="J9"/>
  <c r="AC9" s="1"/>
  <c r="F9"/>
  <c r="AA9" s="1"/>
  <c r="J8"/>
  <c r="AC8" s="1"/>
  <c r="H8"/>
  <c r="AB8" s="1"/>
  <c r="F8"/>
  <c r="AA8" s="1"/>
  <c r="M102" i="21"/>
  <c r="D102"/>
  <c r="E102"/>
  <c r="F102"/>
  <c r="G102"/>
  <c r="H102"/>
  <c r="I102"/>
  <c r="J102"/>
  <c r="K102"/>
  <c r="L102"/>
  <c r="C102"/>
  <c r="C63"/>
  <c r="F9"/>
  <c r="S9" s="1"/>
  <c r="G18" i="20"/>
  <c r="B90" i="43" s="1"/>
  <c r="G19" i="20"/>
  <c r="B87" i="43" s="1"/>
  <c r="G16" i="20"/>
  <c r="B84" i="43" s="1"/>
  <c r="G15" i="20"/>
  <c r="B83" i="43"/>
  <c r="C24" i="20"/>
  <c r="C21"/>
  <c r="B99" i="43" s="1"/>
  <c r="C20" i="20"/>
  <c r="B101" i="43" s="1"/>
  <c r="C18" i="20"/>
  <c r="B94" i="43" s="1"/>
  <c r="C17" i="20"/>
  <c r="B61" i="43"/>
  <c r="C16" i="20"/>
  <c r="C17" i="39"/>
  <c r="C15" i="20"/>
  <c r="B72" i="43" s="1"/>
  <c r="E54" i="21"/>
  <c r="F54" s="1"/>
  <c r="I54"/>
  <c r="J54" s="1"/>
  <c r="G54"/>
  <c r="H54" s="1"/>
  <c r="D125"/>
  <c r="E125" s="1"/>
  <c r="F125" s="1"/>
  <c r="G125" s="1"/>
  <c r="D123"/>
  <c r="E123" s="1"/>
  <c r="F123" s="1"/>
  <c r="D119"/>
  <c r="F40"/>
  <c r="AA40" s="1"/>
  <c r="D117"/>
  <c r="E117" s="1"/>
  <c r="F117" s="1"/>
  <c r="G117" s="1"/>
  <c r="D115"/>
  <c r="D113"/>
  <c r="E113" s="1"/>
  <c r="F113" s="1"/>
  <c r="G113" s="1"/>
  <c r="H113" s="1"/>
  <c r="D110"/>
  <c r="E110"/>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D67"/>
  <c r="E67"/>
  <c r="F67"/>
  <c r="G67"/>
  <c r="H67"/>
  <c r="I67"/>
  <c r="J67"/>
  <c r="K67"/>
  <c r="L67"/>
  <c r="M67"/>
  <c r="C67"/>
  <c r="D69"/>
  <c r="E69"/>
  <c r="F69" s="1"/>
  <c r="G69" s="1"/>
  <c r="H69" s="1"/>
  <c r="I69" s="1"/>
  <c r="J69" s="1"/>
  <c r="K69" s="1"/>
  <c r="L69" s="1"/>
  <c r="M69" s="1"/>
  <c r="D111"/>
  <c r="E111"/>
  <c r="F111"/>
  <c r="C111"/>
  <c r="D79"/>
  <c r="E79" s="1"/>
  <c r="F79" s="1"/>
  <c r="G79" s="1"/>
  <c r="D85"/>
  <c r="F19"/>
  <c r="AA19" s="1"/>
  <c r="E81"/>
  <c r="F81" s="1"/>
  <c r="G81" s="1"/>
  <c r="D77"/>
  <c r="E77"/>
  <c r="B130"/>
  <c r="B128"/>
  <c r="J45" s="1"/>
  <c r="W45" s="1"/>
  <c r="B126"/>
  <c r="H44" s="1"/>
  <c r="U44" s="1"/>
  <c r="B98"/>
  <c r="H31" s="1"/>
  <c r="B96"/>
  <c r="B94"/>
  <c r="J29"/>
  <c r="AC29" s="1"/>
  <c r="B92"/>
  <c r="F28" s="1"/>
  <c r="AA28" s="1"/>
  <c r="B90"/>
  <c r="B74"/>
  <c r="B72"/>
  <c r="H13" s="1"/>
  <c r="B70"/>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s="1"/>
  <c r="H587"/>
  <c r="G587"/>
  <c r="F5"/>
  <c r="G27" i="6"/>
  <c r="F34" i="21"/>
  <c r="H34"/>
  <c r="AB34" s="1"/>
  <c r="F43"/>
  <c r="S43" s="1"/>
  <c r="H43"/>
  <c r="AB43" s="1"/>
  <c r="F38"/>
  <c r="S38" s="1"/>
  <c r="F36"/>
  <c r="S36" s="1"/>
  <c r="F39"/>
  <c r="AA39" s="1"/>
  <c r="J40"/>
  <c r="W40" s="1"/>
  <c r="H35"/>
  <c r="AB35" s="1"/>
  <c r="J8"/>
  <c r="AC8" s="1"/>
  <c r="H8"/>
  <c r="U8" s="1"/>
  <c r="H10"/>
  <c r="AB10" s="1"/>
  <c r="H39"/>
  <c r="U39" s="1"/>
  <c r="J34"/>
  <c r="W34" s="1"/>
  <c r="H36"/>
  <c r="U36" s="1"/>
  <c r="J10"/>
  <c r="AC10" s="1"/>
  <c r="AB19"/>
  <c r="J19"/>
  <c r="W19" s="1"/>
  <c r="S41"/>
  <c r="AA41"/>
  <c r="F45" i="39"/>
  <c r="S45" s="1"/>
  <c r="J45"/>
  <c r="W45"/>
  <c r="J35"/>
  <c r="AC35" s="1"/>
  <c r="F35"/>
  <c r="AA35"/>
  <c r="U9"/>
  <c r="G103" i="37"/>
  <c r="H103" s="1"/>
  <c r="I103" s="1"/>
  <c r="J103" s="1"/>
  <c r="K103" s="1"/>
  <c r="L103" s="1"/>
  <c r="M103" s="1"/>
  <c r="F39"/>
  <c r="S39"/>
  <c r="F29" i="36"/>
  <c r="AA29" s="1"/>
  <c r="F16"/>
  <c r="AA16" s="1"/>
  <c r="W28"/>
  <c r="J33"/>
  <c r="AC33" s="1"/>
  <c r="H22" i="35"/>
  <c r="AB22" s="1"/>
  <c r="AC27"/>
  <c r="W22"/>
  <c r="F36" i="34"/>
  <c r="J35"/>
  <c r="U34"/>
  <c r="H39" i="33"/>
  <c r="AB39" s="1"/>
  <c r="F26"/>
  <c r="U33"/>
  <c r="S40"/>
  <c r="H39" i="37"/>
  <c r="AB39"/>
  <c r="S27" i="35"/>
  <c r="F11" i="40"/>
  <c r="AA11" s="1"/>
  <c r="H11"/>
  <c r="AB11" s="1"/>
  <c r="W8"/>
  <c r="AC40"/>
  <c r="AA9"/>
  <c r="U9"/>
  <c r="S34"/>
  <c r="U34"/>
  <c r="F42" i="39"/>
  <c r="AA42" s="1"/>
  <c r="F41"/>
  <c r="S41" s="1"/>
  <c r="H40"/>
  <c r="AB40" s="1"/>
  <c r="H39"/>
  <c r="U39" s="1"/>
  <c r="S38"/>
  <c r="S34"/>
  <c r="H34"/>
  <c r="U34" s="1"/>
  <c r="E108"/>
  <c r="F108" s="1"/>
  <c r="G108" s="1"/>
  <c r="H108" s="1"/>
  <c r="I108" s="1"/>
  <c r="J108" s="1"/>
  <c r="K108" s="1"/>
  <c r="L108" s="1"/>
  <c r="M108" s="1"/>
  <c r="E100"/>
  <c r="H19"/>
  <c r="AB19" s="1"/>
  <c r="F19"/>
  <c r="AA19" s="1"/>
  <c r="H17"/>
  <c r="AB17" s="1"/>
  <c r="F17"/>
  <c r="AA17" s="1"/>
  <c r="J23" i="40"/>
  <c r="AC23" s="1"/>
  <c r="F21"/>
  <c r="AA21" s="1"/>
  <c r="J21"/>
  <c r="W21" s="1"/>
  <c r="H42" i="39"/>
  <c r="AB42" s="1"/>
  <c r="J34"/>
  <c r="AC34" s="1"/>
  <c r="F100"/>
  <c r="H27"/>
  <c r="U27" s="1"/>
  <c r="J19"/>
  <c r="AC19" s="1"/>
  <c r="J17"/>
  <c r="J27"/>
  <c r="AC27" s="1"/>
  <c r="F27"/>
  <c r="F11" i="21"/>
  <c r="S11" s="1"/>
  <c r="C25" i="39"/>
  <c r="C21"/>
  <c r="H11"/>
  <c r="S40"/>
  <c r="H32" i="33"/>
  <c r="AB32" s="1"/>
  <c r="H11" i="21"/>
  <c r="U11" s="1"/>
  <c r="J11"/>
  <c r="W11" s="1"/>
  <c r="H37" i="40"/>
  <c r="U37" s="1"/>
  <c r="H36"/>
  <c r="AB36" s="1"/>
  <c r="F35"/>
  <c r="AA35"/>
  <c r="H23"/>
  <c r="AB23" s="1"/>
  <c r="H17"/>
  <c r="U17"/>
  <c r="J15"/>
  <c r="W15" s="1"/>
  <c r="J11"/>
  <c r="W11" s="1"/>
  <c r="AA12" i="34"/>
  <c r="J34" i="36"/>
  <c r="W34" s="1"/>
  <c r="U30"/>
  <c r="J30" i="35"/>
  <c r="W30" s="1"/>
  <c r="H30"/>
  <c r="AB30" s="1"/>
  <c r="F22"/>
  <c r="AA22" s="1"/>
  <c r="H10"/>
  <c r="U10" s="1"/>
  <c r="AC16" i="36"/>
  <c r="F33"/>
  <c r="AA33" s="1"/>
  <c r="H16"/>
  <c r="AB16" s="1"/>
  <c r="E85"/>
  <c r="F85" s="1"/>
  <c r="G85" s="1"/>
  <c r="H85" s="1"/>
  <c r="I85" s="1"/>
  <c r="J85" s="1"/>
  <c r="K85" s="1"/>
  <c r="L85" s="1"/>
  <c r="M85" s="1"/>
  <c r="J29"/>
  <c r="AC29" s="1"/>
  <c r="F34"/>
  <c r="S34"/>
  <c r="F14" i="35"/>
  <c r="AA14"/>
  <c r="J32"/>
  <c r="AC32" s="1"/>
  <c r="J16"/>
  <c r="AC16" s="1"/>
  <c r="H16"/>
  <c r="U16" s="1"/>
  <c r="F16"/>
  <c r="S16" s="1"/>
  <c r="H14"/>
  <c r="AB14" s="1"/>
  <c r="J29"/>
  <c r="H33"/>
  <c r="AB33"/>
  <c r="J20"/>
  <c r="W20"/>
  <c r="F35" i="37"/>
  <c r="S35"/>
  <c r="E101"/>
  <c r="F101"/>
  <c r="G101" s="1"/>
  <c r="H101" s="1"/>
  <c r="I101" s="1"/>
  <c r="J101" s="1"/>
  <c r="K101" s="1"/>
  <c r="L101" s="1"/>
  <c r="M101" s="1"/>
  <c r="J34"/>
  <c r="W34" s="1"/>
  <c r="AA39"/>
  <c r="J33"/>
  <c r="AC33" s="1"/>
  <c r="U42" i="34"/>
  <c r="H40"/>
  <c r="U40" s="1"/>
  <c r="E114"/>
  <c r="F114" s="1"/>
  <c r="G114" s="1"/>
  <c r="H114" s="1"/>
  <c r="H36"/>
  <c r="U36"/>
  <c r="F37"/>
  <c r="AA37" s="1"/>
  <c r="S35"/>
  <c r="AA28"/>
  <c r="F25"/>
  <c r="S25"/>
  <c r="H23"/>
  <c r="U23"/>
  <c r="J23"/>
  <c r="F19"/>
  <c r="H17"/>
  <c r="U17"/>
  <c r="F15"/>
  <c r="S15" s="1"/>
  <c r="J15"/>
  <c r="H15"/>
  <c r="AB15"/>
  <c r="W8"/>
  <c r="J28"/>
  <c r="W28" s="1"/>
  <c r="F41" i="33"/>
  <c r="AA41" s="1"/>
  <c r="F32"/>
  <c r="AA32" s="1"/>
  <c r="J19"/>
  <c r="AC19" s="1"/>
  <c r="J15"/>
  <c r="AC15" s="1"/>
  <c r="F11"/>
  <c r="AA11" s="1"/>
  <c r="U40"/>
  <c r="W40"/>
  <c r="F37" i="40"/>
  <c r="AA37" s="1"/>
  <c r="F36"/>
  <c r="AA36" s="1"/>
  <c r="H28"/>
  <c r="U28" s="1"/>
  <c r="F23"/>
  <c r="AA23" s="1"/>
  <c r="F17"/>
  <c r="AA17" s="1"/>
  <c r="J17"/>
  <c r="W17" s="1"/>
  <c r="F15"/>
  <c r="S15" s="1"/>
  <c r="H15"/>
  <c r="AB15" s="1"/>
  <c r="AC11"/>
  <c r="U33" i="35"/>
  <c r="F29"/>
  <c r="S29" s="1"/>
  <c r="H29"/>
  <c r="AB29" s="1"/>
  <c r="H33" i="37"/>
  <c r="AB33" s="1"/>
  <c r="F33"/>
  <c r="AA33" s="1"/>
  <c r="S34"/>
  <c r="J43" i="34"/>
  <c r="AB42"/>
  <c r="J40"/>
  <c r="I114"/>
  <c r="J114" s="1"/>
  <c r="K114" s="1"/>
  <c r="L114" s="1"/>
  <c r="M114" s="1"/>
  <c r="H38"/>
  <c r="AB38" s="1"/>
  <c r="J36"/>
  <c r="W36"/>
  <c r="H37"/>
  <c r="U37" s="1"/>
  <c r="H25"/>
  <c r="AB25" s="1"/>
  <c r="J25"/>
  <c r="AC25" s="1"/>
  <c r="AB23"/>
  <c r="F23"/>
  <c r="AA23" s="1"/>
  <c r="J19"/>
  <c r="AC19"/>
  <c r="F17"/>
  <c r="AA17" s="1"/>
  <c r="J17"/>
  <c r="W17"/>
  <c r="AB17"/>
  <c r="AA15"/>
  <c r="S41" i="33"/>
  <c r="I113"/>
  <c r="J113" s="1"/>
  <c r="K113" s="1"/>
  <c r="L113" s="1"/>
  <c r="M113" s="1"/>
  <c r="H37"/>
  <c r="AB37" s="1"/>
  <c r="H15"/>
  <c r="AB15" s="1"/>
  <c r="H11"/>
  <c r="AB11" s="1"/>
  <c r="F28" i="40"/>
  <c r="AA28"/>
  <c r="AA42" i="34"/>
  <c r="AC38"/>
  <c r="J37"/>
  <c r="AC37" s="1"/>
  <c r="J11" i="33"/>
  <c r="W11" s="1"/>
  <c r="S28" i="34"/>
  <c r="U23" i="40"/>
  <c r="G123" i="21"/>
  <c r="H123" s="1"/>
  <c r="I123" s="1"/>
  <c r="J123" s="1"/>
  <c r="K123" s="1"/>
  <c r="L123" s="1"/>
  <c r="M123" s="1"/>
  <c r="J42"/>
  <c r="AC42" s="1"/>
  <c r="H42"/>
  <c r="U42" s="1"/>
  <c r="J44" i="34"/>
  <c r="F44"/>
  <c r="AA44" s="1"/>
  <c r="J10" i="35"/>
  <c r="AC10" s="1"/>
  <c r="J14" i="21"/>
  <c r="W14" s="1"/>
  <c r="F14"/>
  <c r="S14" s="1"/>
  <c r="H14"/>
  <c r="U14" s="1"/>
  <c r="H28"/>
  <c r="AB28" s="1"/>
  <c r="H30"/>
  <c r="U30" s="1"/>
  <c r="F30"/>
  <c r="S30" s="1"/>
  <c r="J30"/>
  <c r="AC30" s="1"/>
  <c r="J44"/>
  <c r="AC44" s="1"/>
  <c r="F44"/>
  <c r="AA44" s="1"/>
  <c r="H46"/>
  <c r="U46" s="1"/>
  <c r="J46"/>
  <c r="W46" s="1"/>
  <c r="F46"/>
  <c r="AA46" s="1"/>
  <c r="E119"/>
  <c r="F119" s="1"/>
  <c r="G119" s="1"/>
  <c r="H119" s="1"/>
  <c r="I119" s="1"/>
  <c r="J119" s="1"/>
  <c r="K119" s="1"/>
  <c r="L119" s="1"/>
  <c r="M119" s="1"/>
  <c r="H28" i="33"/>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9"/>
  <c r="U29"/>
  <c r="J31"/>
  <c r="AC31" s="1"/>
  <c r="F31"/>
  <c r="S31"/>
  <c r="F45"/>
  <c r="AA45" s="1"/>
  <c r="F27" i="33"/>
  <c r="AA27"/>
  <c r="J13"/>
  <c r="H13"/>
  <c r="U13" s="1"/>
  <c r="F13"/>
  <c r="S13"/>
  <c r="J29"/>
  <c r="AC29" s="1"/>
  <c r="H29"/>
  <c r="U29"/>
  <c r="F29"/>
  <c r="S29" s="1"/>
  <c r="J31"/>
  <c r="W31"/>
  <c r="H31"/>
  <c r="U31" s="1"/>
  <c r="F31"/>
  <c r="H45"/>
  <c r="U45"/>
  <c r="J45"/>
  <c r="W45" s="1"/>
  <c r="F45"/>
  <c r="AA45"/>
  <c r="J14" i="34"/>
  <c r="W14" s="1"/>
  <c r="F14"/>
  <c r="S14"/>
  <c r="H14"/>
  <c r="H30"/>
  <c r="F30"/>
  <c r="S30"/>
  <c r="J30"/>
  <c r="W30" s="1"/>
  <c r="H32"/>
  <c r="F32"/>
  <c r="J32"/>
  <c r="W32" s="1"/>
  <c r="H46"/>
  <c r="U46"/>
  <c r="F46"/>
  <c r="J46"/>
  <c r="H11" i="35"/>
  <c r="AB11" s="1"/>
  <c r="J11"/>
  <c r="W11" s="1"/>
  <c r="F11"/>
  <c r="S11" s="1"/>
  <c r="J26" i="36"/>
  <c r="W26" s="1"/>
  <c r="H28"/>
  <c r="U28" s="1"/>
  <c r="H32"/>
  <c r="AB32" s="1"/>
  <c r="J32"/>
  <c r="W32" s="1"/>
  <c r="J11"/>
  <c r="AC11" s="1"/>
  <c r="H11"/>
  <c r="U11" s="1"/>
  <c r="F11"/>
  <c r="AA11" s="1"/>
  <c r="H13"/>
  <c r="AB13" s="1"/>
  <c r="J13"/>
  <c r="W13" s="1"/>
  <c r="F13"/>
  <c r="S13" s="1"/>
  <c r="E89" i="37"/>
  <c r="F89" s="1"/>
  <c r="G89" s="1"/>
  <c r="H89" s="1"/>
  <c r="I89" s="1"/>
  <c r="J89" s="1"/>
  <c r="K89" s="1"/>
  <c r="L89" s="1"/>
  <c r="M89" s="1"/>
  <c r="J29"/>
  <c r="W29"/>
  <c r="F29"/>
  <c r="S29" s="1"/>
  <c r="F105"/>
  <c r="H36"/>
  <c r="AB36" s="1"/>
  <c r="F107"/>
  <c r="J37"/>
  <c r="AC37" s="1"/>
  <c r="H37"/>
  <c r="U37"/>
  <c r="H40"/>
  <c r="U40" s="1"/>
  <c r="J40"/>
  <c r="AC40"/>
  <c r="F40"/>
  <c r="AA40" s="1"/>
  <c r="AC12" i="40"/>
  <c r="W12"/>
  <c r="H14" i="33"/>
  <c r="U14" s="1"/>
  <c r="F14"/>
  <c r="AA14" s="1"/>
  <c r="S14"/>
  <c r="J14"/>
  <c r="H30"/>
  <c r="AB30" s="1"/>
  <c r="F30"/>
  <c r="J30"/>
  <c r="H44"/>
  <c r="J44"/>
  <c r="AC44"/>
  <c r="F44"/>
  <c r="S44" s="1"/>
  <c r="J46"/>
  <c r="AC46"/>
  <c r="F46"/>
  <c r="AA46" s="1"/>
  <c r="H46"/>
  <c r="AB46"/>
  <c r="H13" i="34"/>
  <c r="U13" s="1"/>
  <c r="J13"/>
  <c r="W13"/>
  <c r="F13"/>
  <c r="AA13" s="1"/>
  <c r="J29"/>
  <c r="F29"/>
  <c r="S29"/>
  <c r="H29"/>
  <c r="AB29" s="1"/>
  <c r="J31"/>
  <c r="AC31"/>
  <c r="H31"/>
  <c r="AB31" s="1"/>
  <c r="F31"/>
  <c r="S31"/>
  <c r="H45"/>
  <c r="U45" s="1"/>
  <c r="J45"/>
  <c r="W45"/>
  <c r="F45"/>
  <c r="S45" s="1"/>
  <c r="H47"/>
  <c r="U47"/>
  <c r="F47"/>
  <c r="S47" s="1"/>
  <c r="J47"/>
  <c r="AC47"/>
  <c r="F13" i="35"/>
  <c r="S13" s="1"/>
  <c r="J13"/>
  <c r="AC13"/>
  <c r="H13"/>
  <c r="U13" s="1"/>
  <c r="J25"/>
  <c r="W25"/>
  <c r="F25"/>
  <c r="S25" s="1"/>
  <c r="H25"/>
  <c r="AB25"/>
  <c r="J35"/>
  <c r="AC35" s="1"/>
  <c r="F35"/>
  <c r="AA35"/>
  <c r="H35"/>
  <c r="AB35" s="1"/>
  <c r="J25" i="36"/>
  <c r="W25"/>
  <c r="F25"/>
  <c r="S25" s="1"/>
  <c r="H25"/>
  <c r="AB25"/>
  <c r="H13" i="37"/>
  <c r="AB13" s="1"/>
  <c r="F13"/>
  <c r="S13" s="1"/>
  <c r="J13"/>
  <c r="W13" s="1"/>
  <c r="F28"/>
  <c r="AA28"/>
  <c r="J28"/>
  <c r="AC28" s="1"/>
  <c r="H28"/>
  <c r="U28"/>
  <c r="H38"/>
  <c r="AB38" s="1"/>
  <c r="J38"/>
  <c r="AC38"/>
  <c r="F38"/>
  <c r="S38" s="1"/>
  <c r="F43" i="39"/>
  <c r="AA43"/>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c r="F14"/>
  <c r="AA14" s="1"/>
  <c r="J14" i="37"/>
  <c r="AC14"/>
  <c r="J27"/>
  <c r="AC27" s="1"/>
  <c r="AA13" i="35"/>
  <c r="U31" i="34"/>
  <c r="U46" i="33"/>
  <c r="J36" i="37"/>
  <c r="AC36" s="1"/>
  <c r="G105"/>
  <c r="J10" i="36"/>
  <c r="AC10" s="1"/>
  <c r="AA14" i="37"/>
  <c r="W31" i="34"/>
  <c r="AC13" i="36"/>
  <c r="S11"/>
  <c r="AB46" i="34"/>
  <c r="AC30"/>
  <c r="AA14"/>
  <c r="S45" i="33"/>
  <c r="AB45"/>
  <c r="AB31"/>
  <c r="W29"/>
  <c r="S44" i="34"/>
  <c r="BA586" i="3"/>
  <c r="BA585"/>
  <c r="F17" i="21"/>
  <c r="AA17" s="1"/>
  <c r="H17"/>
  <c r="AB17" s="1"/>
  <c r="F15"/>
  <c r="S15" s="1"/>
  <c r="J41" i="39"/>
  <c r="W41" s="1"/>
  <c r="AC45"/>
  <c r="W35"/>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BA580"/>
  <c r="AZ580" s="1"/>
  <c r="BA578"/>
  <c r="AZ578" s="1"/>
  <c r="BA576"/>
  <c r="AZ576" s="1"/>
  <c r="BA574"/>
  <c r="BA572"/>
  <c r="AZ572" s="1"/>
  <c r="BA570"/>
  <c r="AZ570" s="1"/>
  <c r="BA568"/>
  <c r="BA566"/>
  <c r="BA564"/>
  <c r="AZ564" s="1"/>
  <c r="BA562"/>
  <c r="AZ562" s="1"/>
  <c r="BA560"/>
  <c r="BA558"/>
  <c r="BA556"/>
  <c r="AZ556" s="1"/>
  <c r="BA554"/>
  <c r="AZ554" s="1"/>
  <c r="BA552"/>
  <c r="AZ552" s="1"/>
  <c r="BA548"/>
  <c r="BA546"/>
  <c r="BA544"/>
  <c r="AZ544" s="1"/>
  <c r="BA542"/>
  <c r="AZ542" s="1"/>
  <c r="BA540"/>
  <c r="AZ540" s="1"/>
  <c r="BA538"/>
  <c r="AZ538" s="1"/>
  <c r="BA536"/>
  <c r="AZ536" s="1"/>
  <c r="BA534"/>
  <c r="AZ534" s="1"/>
  <c r="BA532"/>
  <c r="AZ532" s="1"/>
  <c r="BA530"/>
  <c r="BA528"/>
  <c r="BA526"/>
  <c r="AZ526" s="1"/>
  <c r="BA524"/>
  <c r="AZ524" s="1"/>
  <c r="BA522"/>
  <c r="BA520"/>
  <c r="BA518"/>
  <c r="AZ518" s="1"/>
  <c r="BA516"/>
  <c r="BA514"/>
  <c r="BA512"/>
  <c r="AZ512"/>
  <c r="BA510"/>
  <c r="AZ510" s="1"/>
  <c r="BA508"/>
  <c r="BA506"/>
  <c r="BA504"/>
  <c r="AZ504" s="1"/>
  <c r="BA502"/>
  <c r="BA500"/>
  <c r="BA498"/>
  <c r="AZ498" s="1"/>
  <c r="BA496"/>
  <c r="BA494"/>
  <c r="BA587"/>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AZ558" s="1"/>
  <c r="BA557"/>
  <c r="AC557"/>
  <c r="G557" s="1"/>
  <c r="BQ557"/>
  <c r="BL557" s="1"/>
  <c r="BQ583"/>
  <c r="BL583" s="1"/>
  <c r="AZ583" s="1"/>
  <c r="BQ581"/>
  <c r="BL581" s="1"/>
  <c r="BQ579"/>
  <c r="BL579" s="1"/>
  <c r="BQ577"/>
  <c r="BL577" s="1"/>
  <c r="BQ575"/>
  <c r="BL575"/>
  <c r="BQ573"/>
  <c r="BL573" s="1"/>
  <c r="AZ573" s="1"/>
  <c r="BQ571"/>
  <c r="BL571" s="1"/>
  <c r="BQ569"/>
  <c r="BL569" s="1"/>
  <c r="AZ569" s="1"/>
  <c r="BQ567"/>
  <c r="BL567" s="1"/>
  <c r="BQ565"/>
  <c r="BL565" s="1"/>
  <c r="AZ565" s="1"/>
  <c r="BQ563"/>
  <c r="BL563" s="1"/>
  <c r="BQ561"/>
  <c r="BL561" s="1"/>
  <c r="AZ561" s="1"/>
  <c r="BQ559"/>
  <c r="BL559" s="1"/>
  <c r="AZ559" s="1"/>
  <c r="G559"/>
  <c r="G555"/>
  <c r="G553"/>
  <c r="G549"/>
  <c r="G547"/>
  <c r="G545"/>
  <c r="G543"/>
  <c r="G541"/>
  <c r="G539"/>
  <c r="G537"/>
  <c r="BQ555"/>
  <c r="BL555"/>
  <c r="AZ555" s="1"/>
  <c r="BQ553"/>
  <c r="BL553" s="1"/>
  <c r="BQ551"/>
  <c r="BL551" s="1"/>
  <c r="BQ549"/>
  <c r="BQ547"/>
  <c r="BL547" s="1"/>
  <c r="AZ547" s="1"/>
  <c r="BQ545"/>
  <c r="BL545" s="1"/>
  <c r="AZ545" s="1"/>
  <c r="BQ543"/>
  <c r="BL543" s="1"/>
  <c r="AZ543" s="1"/>
  <c r="BQ541"/>
  <c r="BL541" s="1"/>
  <c r="AZ541" s="1"/>
  <c r="BQ539"/>
  <c r="BL539" s="1"/>
  <c r="BQ537"/>
  <c r="BL537" s="1"/>
  <c r="AZ537" s="1"/>
  <c r="BQ535"/>
  <c r="BL535" s="1"/>
  <c r="BQ533"/>
  <c r="BL533"/>
  <c r="AZ533" s="1"/>
  <c r="BQ531"/>
  <c r="BL531" s="1"/>
  <c r="AZ531" s="1"/>
  <c r="BQ529"/>
  <c r="BL529" s="1"/>
  <c r="AZ529" s="1"/>
  <c r="BQ527"/>
  <c r="BL527" s="1"/>
  <c r="AZ527" s="1"/>
  <c r="BQ525"/>
  <c r="BL525" s="1"/>
  <c r="AZ525" s="1"/>
  <c r="BQ523"/>
  <c r="BL523" s="1"/>
  <c r="BA521"/>
  <c r="AC521"/>
  <c r="G521" s="1"/>
  <c r="BQ521"/>
  <c r="BL521"/>
  <c r="AZ521" s="1"/>
  <c r="BL520"/>
  <c r="AZ520" s="1"/>
  <c r="G519"/>
  <c r="G517"/>
  <c r="G515"/>
  <c r="G513"/>
  <c r="G511"/>
  <c r="BQ519"/>
  <c r="BL519" s="1"/>
  <c r="AZ519" s="1"/>
  <c r="BQ517"/>
  <c r="BL517" s="1"/>
  <c r="AZ517" s="1"/>
  <c r="BQ515"/>
  <c r="BL515" s="1"/>
  <c r="BQ513"/>
  <c r="BL513" s="1"/>
  <c r="AZ513" s="1"/>
  <c r="BQ511"/>
  <c r="BL511" s="1"/>
  <c r="AZ511" s="1"/>
  <c r="BA509"/>
  <c r="AC509"/>
  <c r="BQ509"/>
  <c r="BL509" s="1"/>
  <c r="BL508"/>
  <c r="AZ508"/>
  <c r="G507"/>
  <c r="G505"/>
  <c r="G503"/>
  <c r="G501"/>
  <c r="G499"/>
  <c r="G497"/>
  <c r="G495"/>
  <c r="BQ507"/>
  <c r="BL507" s="1"/>
  <c r="AZ507" s="1"/>
  <c r="BQ505"/>
  <c r="BL505" s="1"/>
  <c r="AZ505" s="1"/>
  <c r="BQ503"/>
  <c r="BL503" s="1"/>
  <c r="BQ501"/>
  <c r="BL501" s="1"/>
  <c r="BQ499"/>
  <c r="BL499" s="1"/>
  <c r="BQ497"/>
  <c r="BL497" s="1"/>
  <c r="AZ497" s="1"/>
  <c r="BQ495"/>
  <c r="BL495" s="1"/>
  <c r="AZ495" s="1"/>
  <c r="BQ493"/>
  <c r="AZ584"/>
  <c r="S505" i="31"/>
  <c r="S503"/>
  <c r="S501"/>
  <c r="S499"/>
  <c r="O27"/>
  <c r="O28"/>
  <c r="O26"/>
  <c r="M27"/>
  <c r="M28"/>
  <c r="M26"/>
  <c r="I26"/>
  <c r="I25"/>
  <c r="S25"/>
  <c r="Q26"/>
  <c r="K26"/>
  <c r="I27"/>
  <c r="Q27"/>
  <c r="K27"/>
  <c r="I28"/>
  <c r="Q28"/>
  <c r="K28"/>
  <c r="AC28" i="34"/>
  <c r="S21" i="40"/>
  <c r="H25" i="21"/>
  <c r="U25" s="1"/>
  <c r="F25"/>
  <c r="S25" s="1"/>
  <c r="J25"/>
  <c r="AC25" s="1"/>
  <c r="E125" i="33"/>
  <c r="F125" s="1"/>
  <c r="G125" s="1"/>
  <c r="H43"/>
  <c r="AB43" s="1"/>
  <c r="H17" i="37"/>
  <c r="U17" s="1"/>
  <c r="AB27"/>
  <c r="U32" i="33"/>
  <c r="F39"/>
  <c r="AA39" s="1"/>
  <c r="E123"/>
  <c r="F42"/>
  <c r="AA42" s="1"/>
  <c r="H28" i="34"/>
  <c r="AB28" s="1"/>
  <c r="F14" i="36"/>
  <c r="AA14" s="1"/>
  <c r="F22"/>
  <c r="S22" s="1"/>
  <c r="F26"/>
  <c r="S26" s="1"/>
  <c r="H27" i="34"/>
  <c r="AB27" s="1"/>
  <c r="H35"/>
  <c r="U35" s="1"/>
  <c r="F41"/>
  <c r="S41" s="1"/>
  <c r="H41"/>
  <c r="U41" s="1"/>
  <c r="J41"/>
  <c r="AC41" s="1"/>
  <c r="F10" i="35"/>
  <c r="S10" s="1"/>
  <c r="F24"/>
  <c r="AA24"/>
  <c r="H24"/>
  <c r="AB24"/>
  <c r="H23" i="37"/>
  <c r="AB23"/>
  <c r="J32"/>
  <c r="AC32"/>
  <c r="F36"/>
  <c r="AA36"/>
  <c r="F37"/>
  <c r="AA37" s="1"/>
  <c r="F31" i="40"/>
  <c r="AA31"/>
  <c r="H31"/>
  <c r="U31" s="1"/>
  <c r="F32"/>
  <c r="S32"/>
  <c r="H32"/>
  <c r="AB32" s="1"/>
  <c r="J36"/>
  <c r="W36"/>
  <c r="H19" i="37"/>
  <c r="AB19" s="1"/>
  <c r="F123" i="33"/>
  <c r="G123" s="1"/>
  <c r="H123" s="1"/>
  <c r="I123" s="1"/>
  <c r="J123" s="1"/>
  <c r="K123" s="1"/>
  <c r="L123" s="1"/>
  <c r="M123" s="1"/>
  <c r="H42"/>
  <c r="AB42" s="1"/>
  <c r="J43"/>
  <c r="AC43"/>
  <c r="U43"/>
  <c r="S28" i="31"/>
  <c r="S27"/>
  <c r="S26"/>
  <c r="U14" i="40"/>
  <c r="U35" i="35"/>
  <c r="AA12"/>
  <c r="W14" i="37"/>
  <c r="AB28"/>
  <c r="U33"/>
  <c r="U39"/>
  <c r="W47" i="34"/>
  <c r="AB13"/>
  <c r="AC36"/>
  <c r="AA13" i="33"/>
  <c r="AC31"/>
  <c r="AC45"/>
  <c r="W44"/>
  <c r="U11"/>
  <c r="U19" i="21"/>
  <c r="AC46"/>
  <c r="F43" i="33"/>
  <c r="AA43"/>
  <c r="W15" i="34"/>
  <c r="AC15"/>
  <c r="W16" i="35"/>
  <c r="W40" i="37"/>
  <c r="G107"/>
  <c r="H107" s="1"/>
  <c r="I107" s="1"/>
  <c r="J107" s="1"/>
  <c r="K107" s="1"/>
  <c r="L107" s="1"/>
  <c r="M107" s="1"/>
  <c r="H19" i="34"/>
  <c r="AB19" s="1"/>
  <c r="F36" i="35"/>
  <c r="S36" s="1"/>
  <c r="J9" i="37"/>
  <c r="W9" s="1"/>
  <c r="H9"/>
  <c r="U9" s="1"/>
  <c r="F9"/>
  <c r="S9" s="1"/>
  <c r="J12"/>
  <c r="W12" s="1"/>
  <c r="H12"/>
  <c r="AB12" s="1"/>
  <c r="F12"/>
  <c r="S12" s="1"/>
  <c r="E71"/>
  <c r="F71" s="1"/>
  <c r="G71" s="1"/>
  <c r="F15"/>
  <c r="AA15"/>
  <c r="E94"/>
  <c r="F31"/>
  <c r="S31" s="1"/>
  <c r="F12" i="39"/>
  <c r="S12" s="1"/>
  <c r="J42"/>
  <c r="AC42" s="1"/>
  <c r="H21" i="40"/>
  <c r="AB21" s="1"/>
  <c r="AC12" i="37"/>
  <c r="F94"/>
  <c r="G94"/>
  <c r="H94" s="1"/>
  <c r="I94" s="1"/>
  <c r="J94" s="1"/>
  <c r="K94" s="1"/>
  <c r="L94" s="1"/>
  <c r="M94" s="1"/>
  <c r="H31"/>
  <c r="U31" s="1"/>
  <c r="J15"/>
  <c r="W15" s="1"/>
  <c r="AT6" i="3"/>
  <c r="H5"/>
  <c r="H19" i="40"/>
  <c r="U19" s="1"/>
  <c r="F88"/>
  <c r="G88" s="1"/>
  <c r="F19"/>
  <c r="S19" s="1"/>
  <c r="S14"/>
  <c r="AC13"/>
  <c r="AB33"/>
  <c r="W23" i="39"/>
  <c r="AC43"/>
  <c r="W43"/>
  <c r="U45"/>
  <c r="AB45"/>
  <c r="G100"/>
  <c r="H37"/>
  <c r="AB37" s="1"/>
  <c r="AC37"/>
  <c r="W37"/>
  <c r="H25"/>
  <c r="AB25" s="1"/>
  <c r="J25"/>
  <c r="F25"/>
  <c r="AA25" s="1"/>
  <c r="F15"/>
  <c r="AA15" s="1"/>
  <c r="H15"/>
  <c r="U15" s="1"/>
  <c r="J15"/>
  <c r="W15" s="1"/>
  <c r="H41"/>
  <c r="AB41" s="1"/>
  <c r="W27"/>
  <c r="AB34"/>
  <c r="U40"/>
  <c r="S42"/>
  <c r="AA41"/>
  <c r="W9"/>
  <c r="W8"/>
  <c r="J19" i="40"/>
  <c r="AC19" s="1"/>
  <c r="J50"/>
  <c r="H103" i="9"/>
  <c r="D8" i="53" s="1"/>
  <c r="B16"/>
  <c r="B33" i="72" s="1"/>
  <c r="C7" i="34"/>
  <c r="W35" i="40"/>
  <c r="A118" i="9"/>
  <c r="A4" i="52"/>
  <c r="B41" i="72" s="1"/>
  <c r="J11" i="39"/>
  <c r="W11"/>
  <c r="F11"/>
  <c r="S11" s="1"/>
  <c r="AA11"/>
  <c r="G4" i="4"/>
  <c r="I4"/>
  <c r="A2" i="9"/>
  <c r="F61" i="43"/>
  <c r="H64" s="1"/>
  <c r="AZ24" i="3"/>
  <c r="BL549"/>
  <c r="AZ494"/>
  <c r="AZ502"/>
  <c r="AZ514"/>
  <c r="AZ522"/>
  <c r="AZ530"/>
  <c r="AZ546"/>
  <c r="G546"/>
  <c r="G524"/>
  <c r="G303"/>
  <c r="BL304"/>
  <c r="G305"/>
  <c r="BL306"/>
  <c r="BA308"/>
  <c r="AZ308" s="1"/>
  <c r="BA309"/>
  <c r="BL309"/>
  <c r="G310"/>
  <c r="BA311"/>
  <c r="G319"/>
  <c r="BL320"/>
  <c r="G321"/>
  <c r="BL322"/>
  <c r="BA324"/>
  <c r="BA325"/>
  <c r="BL325"/>
  <c r="G326"/>
  <c r="BA327"/>
  <c r="G335"/>
  <c r="BL336"/>
  <c r="G337"/>
  <c r="BL338"/>
  <c r="BA340"/>
  <c r="AZ340" s="1"/>
  <c r="BA341"/>
  <c r="AZ341" s="1"/>
  <c r="BL341"/>
  <c r="BA343"/>
  <c r="BA345"/>
  <c r="BL355"/>
  <c r="G356"/>
  <c r="BL357"/>
  <c r="BA359"/>
  <c r="BA360"/>
  <c r="BL360"/>
  <c r="G361"/>
  <c r="BA362"/>
  <c r="G370"/>
  <c r="BL371"/>
  <c r="G372"/>
  <c r="BL373"/>
  <c r="BA375"/>
  <c r="AZ375" s="1"/>
  <c r="BA376"/>
  <c r="BL376"/>
  <c r="G377"/>
  <c r="BA378"/>
  <c r="AZ378" s="1"/>
  <c r="BL378"/>
  <c r="G379"/>
  <c r="BA380"/>
  <c r="AZ380" s="1"/>
  <c r="G388"/>
  <c r="BL389"/>
  <c r="G390"/>
  <c r="BL391"/>
  <c r="BA393"/>
  <c r="BA394"/>
  <c r="BL394"/>
  <c r="G113"/>
  <c r="BA115"/>
  <c r="AZ115"/>
  <c r="BL116"/>
  <c r="G117"/>
  <c r="BA119"/>
  <c r="AZ119" s="1"/>
  <c r="BL120"/>
  <c r="G121"/>
  <c r="BA123"/>
  <c r="BL124"/>
  <c r="AZ124" s="1"/>
  <c r="G125"/>
  <c r="BA127"/>
  <c r="AZ127" s="1"/>
  <c r="BL128"/>
  <c r="G129"/>
  <c r="BA131"/>
  <c r="AZ131" s="1"/>
  <c r="BL132"/>
  <c r="G133"/>
  <c r="BA135"/>
  <c r="AZ135" s="1"/>
  <c r="BL136"/>
  <c r="G137"/>
  <c r="BA139"/>
  <c r="BL140"/>
  <c r="AZ140" s="1"/>
  <c r="G141"/>
  <c r="BA143"/>
  <c r="AZ143" s="1"/>
  <c r="BL144"/>
  <c r="G145"/>
  <c r="BA147"/>
  <c r="AZ147" s="1"/>
  <c r="BL148"/>
  <c r="G149"/>
  <c r="BA151"/>
  <c r="BL152"/>
  <c r="G153"/>
  <c r="BA155"/>
  <c r="BL156"/>
  <c r="AZ156" s="1"/>
  <c r="G157"/>
  <c r="BA159"/>
  <c r="AZ159" s="1"/>
  <c r="BL160"/>
  <c r="G161"/>
  <c r="BA163"/>
  <c r="AZ163" s="1"/>
  <c r="BL164"/>
  <c r="AZ164" s="1"/>
  <c r="G165"/>
  <c r="BA167"/>
  <c r="BL168"/>
  <c r="G169"/>
  <c r="BA171"/>
  <c r="AZ171" s="1"/>
  <c r="BL172"/>
  <c r="G173"/>
  <c r="BA175"/>
  <c r="BL176"/>
  <c r="AZ176" s="1"/>
  <c r="G177"/>
  <c r="BA179"/>
  <c r="AZ179"/>
  <c r="BL180"/>
  <c r="G181"/>
  <c r="BA183"/>
  <c r="BL184"/>
  <c r="AZ184" s="1"/>
  <c r="G185"/>
  <c r="BA187"/>
  <c r="BL188"/>
  <c r="AZ188" s="1"/>
  <c r="G189"/>
  <c r="BA191"/>
  <c r="AZ191" s="1"/>
  <c r="BL192"/>
  <c r="G193"/>
  <c r="BA195"/>
  <c r="AZ195" s="1"/>
  <c r="BL196"/>
  <c r="G197"/>
  <c r="BA199"/>
  <c r="AZ199" s="1"/>
  <c r="BL200"/>
  <c r="G201"/>
  <c r="BA203"/>
  <c r="AZ203" s="1"/>
  <c r="BL204"/>
  <c r="AZ152"/>
  <c r="AZ105"/>
  <c r="G534"/>
  <c r="G530"/>
  <c r="G522"/>
  <c r="G516"/>
  <c r="G512"/>
  <c r="G506"/>
  <c r="G498"/>
  <c r="G494"/>
  <c r="G16"/>
  <c r="G15"/>
  <c r="BA304"/>
  <c r="AZ304" s="1"/>
  <c r="BA305"/>
  <c r="BL305"/>
  <c r="G306"/>
  <c r="G309"/>
  <c r="BL310"/>
  <c r="BA312"/>
  <c r="AZ312" s="1"/>
  <c r="BA313"/>
  <c r="BL313"/>
  <c r="AZ313"/>
  <c r="G314"/>
  <c r="G317"/>
  <c r="BL318"/>
  <c r="BA320"/>
  <c r="AZ320" s="1"/>
  <c r="BA321"/>
  <c r="AZ321" s="1"/>
  <c r="BL321"/>
  <c r="G322"/>
  <c r="G325"/>
  <c r="BL326"/>
  <c r="BA328"/>
  <c r="BA329"/>
  <c r="BL329"/>
  <c r="AZ329"/>
  <c r="G330"/>
  <c r="G333"/>
  <c r="BL334"/>
  <c r="BA336"/>
  <c r="AZ336" s="1"/>
  <c r="BA337"/>
  <c r="BL337"/>
  <c r="G338"/>
  <c r="G341"/>
  <c r="BA342"/>
  <c r="BL342"/>
  <c r="AZ342" s="1"/>
  <c r="BA344"/>
  <c r="BL344"/>
  <c r="BA346"/>
  <c r="AZ346" s="1"/>
  <c r="BA347"/>
  <c r="BL347"/>
  <c r="G350"/>
  <c r="BA351"/>
  <c r="BL351"/>
  <c r="G352"/>
  <c r="G354"/>
  <c r="BA355"/>
  <c r="BA356"/>
  <c r="BL356"/>
  <c r="G357"/>
  <c r="G360"/>
  <c r="BL361"/>
  <c r="BA363"/>
  <c r="BA364"/>
  <c r="BL364"/>
  <c r="G365"/>
  <c r="G368"/>
  <c r="BL369"/>
  <c r="BA371"/>
  <c r="AZ371" s="1"/>
  <c r="BA372"/>
  <c r="AZ372" s="1"/>
  <c r="BL372"/>
  <c r="G373"/>
  <c r="G376"/>
  <c r="BL377"/>
  <c r="BL379"/>
  <c r="BA381"/>
  <c r="BA382"/>
  <c r="BL382"/>
  <c r="G383"/>
  <c r="G386"/>
  <c r="BL387"/>
  <c r="BA389"/>
  <c r="AZ389" s="1"/>
  <c r="BA390"/>
  <c r="BL390"/>
  <c r="G391"/>
  <c r="G394"/>
  <c r="AZ146"/>
  <c r="AZ182"/>
  <c r="AZ186"/>
  <c r="AZ190"/>
  <c r="AZ500"/>
  <c r="BA16"/>
  <c r="BL303"/>
  <c r="G304"/>
  <c r="BA306"/>
  <c r="AZ306" s="1"/>
  <c r="BL307"/>
  <c r="AZ307" s="1"/>
  <c r="G308"/>
  <c r="BA310"/>
  <c r="BL311"/>
  <c r="AZ311" s="1"/>
  <c r="G312"/>
  <c r="BA314"/>
  <c r="BL315"/>
  <c r="AZ315" s="1"/>
  <c r="G316"/>
  <c r="BA318"/>
  <c r="BL319"/>
  <c r="AZ319" s="1"/>
  <c r="G320"/>
  <c r="BA322"/>
  <c r="BL323"/>
  <c r="AZ323" s="1"/>
  <c r="G324"/>
  <c r="BA326"/>
  <c r="AZ326" s="1"/>
  <c r="BL327"/>
  <c r="AZ327"/>
  <c r="G328"/>
  <c r="BA330"/>
  <c r="AZ330" s="1"/>
  <c r="BL331"/>
  <c r="AZ331" s="1"/>
  <c r="G332"/>
  <c r="BA334"/>
  <c r="AZ334" s="1"/>
  <c r="BL335"/>
  <c r="G336"/>
  <c r="BA338"/>
  <c r="AZ338" s="1"/>
  <c r="BL339"/>
  <c r="G340"/>
  <c r="BL343"/>
  <c r="G344"/>
  <c r="G348"/>
  <c r="G355"/>
  <c r="AZ209"/>
  <c r="G342"/>
  <c r="BL345"/>
  <c r="AZ345" s="1"/>
  <c r="G346"/>
  <c r="BL349"/>
  <c r="AZ349" s="1"/>
  <c r="BL352"/>
  <c r="G353"/>
  <c r="BA357"/>
  <c r="AZ357" s="1"/>
  <c r="BL358"/>
  <c r="G359"/>
  <c r="BA361"/>
  <c r="AZ361" s="1"/>
  <c r="BL362"/>
  <c r="G363"/>
  <c r="BA365"/>
  <c r="BL366"/>
  <c r="AZ366"/>
  <c r="G367"/>
  <c r="BA369"/>
  <c r="AZ369" s="1"/>
  <c r="BL370"/>
  <c r="AZ370" s="1"/>
  <c r="G371"/>
  <c r="BA373"/>
  <c r="BL374"/>
  <c r="AZ374" s="1"/>
  <c r="G375"/>
  <c r="BA377"/>
  <c r="AZ377" s="1"/>
  <c r="AZ233"/>
  <c r="AZ237"/>
  <c r="AZ273"/>
  <c r="BA379"/>
  <c r="AZ379" s="1"/>
  <c r="BL380"/>
  <c r="G381"/>
  <c r="BA383"/>
  <c r="BL384"/>
  <c r="AZ384" s="1"/>
  <c r="G385"/>
  <c r="BA387"/>
  <c r="BL388"/>
  <c r="G389"/>
  <c r="BA391"/>
  <c r="BL392"/>
  <c r="AZ392" s="1"/>
  <c r="G393"/>
  <c r="AZ287"/>
  <c r="BO5"/>
  <c r="BM5"/>
  <c r="BJ5"/>
  <c r="BH5"/>
  <c r="BF5"/>
  <c r="BD5"/>
  <c r="AZ309"/>
  <c r="AZ325"/>
  <c r="BQ5"/>
  <c r="AC5"/>
  <c r="AZ549"/>
  <c r="AZ506"/>
  <c r="AZ496"/>
  <c r="G548"/>
  <c r="G538"/>
  <c r="G520"/>
  <c r="G502"/>
  <c r="BS5"/>
  <c r="BP5"/>
  <c r="BN5"/>
  <c r="BK5"/>
  <c r="BI5"/>
  <c r="BG5"/>
  <c r="BE5"/>
  <c r="BC5"/>
  <c r="G17"/>
  <c r="BA17"/>
  <c r="BT5"/>
  <c r="AZ350"/>
  <c r="AZ356"/>
  <c r="AZ364"/>
  <c r="BA15"/>
  <c r="BB5"/>
  <c r="E5" i="6" s="1"/>
  <c r="BR5" i="3"/>
  <c r="AZ388"/>
  <c r="AZ499"/>
  <c r="AZ509"/>
  <c r="G509"/>
  <c r="BL493"/>
  <c r="AZ493" s="1"/>
  <c r="AZ491"/>
  <c r="AZ390"/>
  <c r="U36" i="40"/>
  <c r="F83" i="43"/>
  <c r="H85" s="1"/>
  <c r="F50"/>
  <c r="H54" s="1"/>
  <c r="F72"/>
  <c r="H75" s="1"/>
  <c r="U17" i="39"/>
  <c r="S14" i="35"/>
  <c r="G10" i="1"/>
  <c r="AC11" i="39"/>
  <c r="AZ563" i="3"/>
  <c r="AZ501"/>
  <c r="W37" i="37"/>
  <c r="W44" i="34"/>
  <c r="AC44"/>
  <c r="S15" i="37"/>
  <c r="U13"/>
  <c r="U12" i="40"/>
  <c r="AA12"/>
  <c r="J37" i="33"/>
  <c r="W37" s="1"/>
  <c r="AC17" i="34"/>
  <c r="F106" i="33"/>
  <c r="G106" s="1"/>
  <c r="H106" s="1"/>
  <c r="I106" s="1"/>
  <c r="J106" s="1"/>
  <c r="K106" s="1"/>
  <c r="L106" s="1"/>
  <c r="M106" s="1"/>
  <c r="J34"/>
  <c r="W34" s="1"/>
  <c r="F33" i="34"/>
  <c r="S33" s="1"/>
  <c r="H20" i="36"/>
  <c r="U20" s="1"/>
  <c r="J20"/>
  <c r="W20" s="1"/>
  <c r="J27"/>
  <c r="W27" s="1"/>
  <c r="AC33" i="40"/>
  <c r="F111"/>
  <c r="G111" s="1"/>
  <c r="H111" s="1"/>
  <c r="I111" s="1"/>
  <c r="J111" s="1"/>
  <c r="K111" s="1"/>
  <c r="L111" s="1"/>
  <c r="M111" s="1"/>
  <c r="H35"/>
  <c r="AB35" s="1"/>
  <c r="AC29" i="35"/>
  <c r="W29"/>
  <c r="H35" i="37"/>
  <c r="U35" s="1"/>
  <c r="AC14" i="35"/>
  <c r="H20"/>
  <c r="U20" s="1"/>
  <c r="F20"/>
  <c r="AA20" s="1"/>
  <c r="AB29" i="36"/>
  <c r="U29"/>
  <c r="H32" i="37"/>
  <c r="AB32"/>
  <c r="F96"/>
  <c r="H27" i="40"/>
  <c r="U27" s="1"/>
  <c r="J27"/>
  <c r="AC27" s="1"/>
  <c r="F27"/>
  <c r="S27" s="1"/>
  <c r="J30"/>
  <c r="AC30" s="1"/>
  <c r="F30"/>
  <c r="AA30" s="1"/>
  <c r="AC21"/>
  <c r="S11"/>
  <c r="E98"/>
  <c r="F98"/>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6"/>
  <c r="F96" s="1"/>
  <c r="G96" s="1"/>
  <c r="AZ232" i="3"/>
  <c r="AZ235"/>
  <c r="AZ271"/>
  <c r="AZ280"/>
  <c r="AZ288"/>
  <c r="AZ117"/>
  <c r="AZ61"/>
  <c r="AZ74"/>
  <c r="AZ77"/>
  <c r="AZ110"/>
  <c r="F23" i="39"/>
  <c r="AA23" s="1"/>
  <c r="H27" i="36"/>
  <c r="U27" s="1"/>
  <c r="F27"/>
  <c r="AA27" s="1"/>
  <c r="H33" i="34"/>
  <c r="U33" s="1"/>
  <c r="F32" i="37"/>
  <c r="AA32" s="1"/>
  <c r="G96"/>
  <c r="H96" s="1"/>
  <c r="I96" s="1"/>
  <c r="J96" s="1"/>
  <c r="K96" s="1"/>
  <c r="L96" s="1"/>
  <c r="M96" s="1"/>
  <c r="F20" i="36"/>
  <c r="S20" s="1"/>
  <c r="J33" i="34"/>
  <c r="AC33" s="1"/>
  <c r="H23" i="39"/>
  <c r="U23" s="1"/>
  <c r="D48" i="9"/>
  <c r="M52" s="1"/>
  <c r="K9" i="1"/>
  <c r="M9" s="1"/>
  <c r="G29" i="6"/>
  <c r="AB34" i="36"/>
  <c r="U34"/>
  <c r="AB33"/>
  <c r="U33"/>
  <c r="AC12" i="39"/>
  <c r="W12"/>
  <c r="AZ401" i="3"/>
  <c r="AZ412"/>
  <c r="AZ433"/>
  <c r="AA32" i="36"/>
  <c r="S32"/>
  <c r="AZ441" i="3"/>
  <c r="AA39" i="34"/>
  <c r="F28" i="6"/>
  <c r="BL14" i="3"/>
  <c r="U30" i="33"/>
  <c r="AC13" i="34"/>
  <c r="AA47"/>
  <c r="W28" i="37"/>
  <c r="S19" i="39"/>
  <c r="F12" i="33"/>
  <c r="H12" i="39"/>
  <c r="AB12" s="1"/>
  <c r="F39" i="40"/>
  <c r="BA14" i="3"/>
  <c r="AZ14" s="1"/>
  <c r="AZ234"/>
  <c r="AZ286"/>
  <c r="AZ297"/>
  <c r="AZ157"/>
  <c r="AZ181"/>
  <c r="B12" i="1"/>
  <c r="E12" s="1"/>
  <c r="B10"/>
  <c r="E10" s="1"/>
  <c r="K12"/>
  <c r="M12" s="1"/>
  <c r="S13"/>
  <c r="AR13" s="1"/>
  <c r="R13"/>
  <c r="J51" i="67"/>
  <c r="AC34" i="33"/>
  <c r="AB37" i="40"/>
  <c r="S35"/>
  <c r="U35"/>
  <c r="AC36"/>
  <c r="AA32"/>
  <c r="S17"/>
  <c r="S23"/>
  <c r="AC17"/>
  <c r="AC15"/>
  <c r="AB27"/>
  <c r="S30"/>
  <c r="AA19"/>
  <c r="S28"/>
  <c r="U21"/>
  <c r="AB19"/>
  <c r="U37" i="39"/>
  <c r="S43"/>
  <c r="U35"/>
  <c r="F32"/>
  <c r="S32" s="1"/>
  <c r="F106"/>
  <c r="G106" s="1"/>
  <c r="H106" s="1"/>
  <c r="I106" s="1"/>
  <c r="J106" s="1"/>
  <c r="K106" s="1"/>
  <c r="L106" s="1"/>
  <c r="M106" s="1"/>
  <c r="U25"/>
  <c r="AB27"/>
  <c r="J21"/>
  <c r="W21" s="1"/>
  <c r="F21"/>
  <c r="G94"/>
  <c r="H21"/>
  <c r="W19"/>
  <c r="U19"/>
  <c r="S17"/>
  <c r="S15"/>
  <c r="AA12"/>
  <c r="S9"/>
  <c r="U14"/>
  <c r="AC13"/>
  <c r="U12"/>
  <c r="S23" i="36"/>
  <c r="U13"/>
  <c r="U26"/>
  <c r="S33"/>
  <c r="AA26"/>
  <c r="AA34"/>
  <c r="AC26"/>
  <c r="AA22"/>
  <c r="W14"/>
  <c r="AB14"/>
  <c r="U22"/>
  <c r="S16"/>
  <c r="AA25"/>
  <c r="U23"/>
  <c r="AB20"/>
  <c r="U16"/>
  <c r="S14"/>
  <c r="AA25" i="35"/>
  <c r="W24"/>
  <c r="AB13"/>
  <c r="U29"/>
  <c r="U28"/>
  <c r="AB27"/>
  <c r="U36"/>
  <c r="U32"/>
  <c r="AA33"/>
  <c r="AC30"/>
  <c r="S32"/>
  <c r="AA36"/>
  <c r="S28"/>
  <c r="AB16"/>
  <c r="U22"/>
  <c r="S20"/>
  <c r="AC20"/>
  <c r="S22"/>
  <c r="U14"/>
  <c r="AA11"/>
  <c r="AC9"/>
  <c r="W9"/>
  <c r="AC12"/>
  <c r="W13"/>
  <c r="F9"/>
  <c r="S9" s="1"/>
  <c r="H9"/>
  <c r="U9" s="1"/>
  <c r="AB40" i="37"/>
  <c r="W27"/>
  <c r="AC29"/>
  <c r="U29"/>
  <c r="S32"/>
  <c r="AB31"/>
  <c r="W30"/>
  <c r="S36"/>
  <c r="AA38"/>
  <c r="U32"/>
  <c r="W38"/>
  <c r="AC35"/>
  <c r="W39"/>
  <c r="S30"/>
  <c r="S37"/>
  <c r="AC15"/>
  <c r="J17"/>
  <c r="W17" s="1"/>
  <c r="G73"/>
  <c r="F17"/>
  <c r="AA17" s="1"/>
  <c r="AB17"/>
  <c r="F75"/>
  <c r="F19"/>
  <c r="AA19" s="1"/>
  <c r="F79"/>
  <c r="F23"/>
  <c r="S23" s="1"/>
  <c r="U23"/>
  <c r="U15"/>
  <c r="AC13"/>
  <c r="AA13"/>
  <c r="H10"/>
  <c r="AB10" s="1"/>
  <c r="F63"/>
  <c r="F11"/>
  <c r="S11" s="1"/>
  <c r="W25" i="34"/>
  <c r="AB8"/>
  <c r="AA33"/>
  <c r="U44"/>
  <c r="U43"/>
  <c r="AC39"/>
  <c r="W41"/>
  <c r="AC42"/>
  <c r="AB35"/>
  <c r="U39"/>
  <c r="AB41"/>
  <c r="AA45"/>
  <c r="AA25"/>
  <c r="U28"/>
  <c r="S17"/>
  <c r="AA29"/>
  <c r="U27"/>
  <c r="S23"/>
  <c r="U15"/>
  <c r="S13"/>
  <c r="H10"/>
  <c r="AB10" s="1"/>
  <c r="F11"/>
  <c r="S11" s="1"/>
  <c r="F70"/>
  <c r="W42" i="33"/>
  <c r="AA35"/>
  <c r="S27"/>
  <c r="S32"/>
  <c r="AA29"/>
  <c r="AB29"/>
  <c r="W38"/>
  <c r="H41"/>
  <c r="AB41" s="1"/>
  <c r="F121"/>
  <c r="G121"/>
  <c r="H121" s="1"/>
  <c r="I121" s="1"/>
  <c r="J121" s="1"/>
  <c r="K121" s="1"/>
  <c r="L121" s="1"/>
  <c r="M121" s="1"/>
  <c r="U42"/>
  <c r="S42"/>
  <c r="F36"/>
  <c r="AA36" s="1"/>
  <c r="G111"/>
  <c r="H111" s="1"/>
  <c r="I111" s="1"/>
  <c r="J111" s="1"/>
  <c r="K111" s="1"/>
  <c r="L111" s="1"/>
  <c r="M111" s="1"/>
  <c r="G108"/>
  <c r="H108"/>
  <c r="I108" s="1"/>
  <c r="J108" s="1"/>
  <c r="K108" s="1"/>
  <c r="L108" s="1"/>
  <c r="M108" s="1"/>
  <c r="J35"/>
  <c r="S37"/>
  <c r="AA37"/>
  <c r="S39"/>
  <c r="F101"/>
  <c r="G101" s="1"/>
  <c r="H101" s="1"/>
  <c r="I101" s="1"/>
  <c r="J101" s="1"/>
  <c r="K101" s="1"/>
  <c r="L101" s="1"/>
  <c r="M101" s="1"/>
  <c r="J32"/>
  <c r="W32" s="1"/>
  <c r="S46"/>
  <c r="W43"/>
  <c r="S43"/>
  <c r="F91"/>
  <c r="H27"/>
  <c r="F87"/>
  <c r="H25"/>
  <c r="F25"/>
  <c r="AA25" s="1"/>
  <c r="J23"/>
  <c r="F85"/>
  <c r="G85" s="1"/>
  <c r="H23"/>
  <c r="F81"/>
  <c r="F19"/>
  <c r="S19" s="1"/>
  <c r="W19"/>
  <c r="J17"/>
  <c r="F79"/>
  <c r="G79" s="1"/>
  <c r="S15"/>
  <c r="W15"/>
  <c r="U9"/>
  <c r="J10"/>
  <c r="W10" s="1"/>
  <c r="H10"/>
  <c r="U10" s="1"/>
  <c r="AC11"/>
  <c r="AB14"/>
  <c r="J15" i="21"/>
  <c r="W15" s="1"/>
  <c r="F77"/>
  <c r="G77" s="1"/>
  <c r="F23"/>
  <c r="S23" s="1"/>
  <c r="E85"/>
  <c r="AA14"/>
  <c r="D120" i="9"/>
  <c r="D121" s="1"/>
  <c r="D7" i="52" s="1"/>
  <c r="C18" i="9"/>
  <c r="D18" s="1"/>
  <c r="G13" i="3"/>
  <c r="BL17"/>
  <c r="AZ17" s="1"/>
  <c r="BL13"/>
  <c r="J56" i="9"/>
  <c r="J57" s="1"/>
  <c r="J59" s="1"/>
  <c r="J61" s="1"/>
  <c r="A24" i="51"/>
  <c r="B18" i="72" s="1"/>
  <c r="U29" i="34"/>
  <c r="E32" i="6"/>
  <c r="G1" i="68"/>
  <c r="K1" i="12"/>
  <c r="E19" i="69"/>
  <c r="E19" i="68"/>
  <c r="E19" i="11"/>
  <c r="C6" i="43"/>
  <c r="B19" i="53"/>
  <c r="B37" i="72" s="1"/>
  <c r="C7" i="35"/>
  <c r="C48" s="1"/>
  <c r="D48" s="1"/>
  <c r="C7" i="21"/>
  <c r="M47" i="9"/>
  <c r="A4" i="51"/>
  <c r="B6" i="72" s="1"/>
  <c r="L20" i="6"/>
  <c r="B6" i="1"/>
  <c r="E6" s="1"/>
  <c r="K11"/>
  <c r="M11" s="1"/>
  <c r="O11" s="1"/>
  <c r="B9"/>
  <c r="E9" s="1"/>
  <c r="K7"/>
  <c r="M7" s="1"/>
  <c r="O7" s="1"/>
  <c r="P7" s="1"/>
  <c r="G1" i="15"/>
  <c r="G1" i="69"/>
  <c r="G1" i="67"/>
  <c r="W23" i="40"/>
  <c r="U32"/>
  <c r="AB31"/>
  <c r="S37"/>
  <c r="AB28"/>
  <c r="W28"/>
  <c r="W34"/>
  <c r="W19"/>
  <c r="W27"/>
  <c r="S36"/>
  <c r="W37"/>
  <c r="AC14"/>
  <c r="S13"/>
  <c r="S33"/>
  <c r="AA15"/>
  <c r="U11"/>
  <c r="S31"/>
  <c r="AB13"/>
  <c r="U15"/>
  <c r="AB17"/>
  <c r="U8"/>
  <c r="S8"/>
  <c r="AA39" i="39"/>
  <c r="AC41"/>
  <c r="U42"/>
  <c r="U41"/>
  <c r="W25"/>
  <c r="AC25"/>
  <c r="U13"/>
  <c r="AB13"/>
  <c r="AA13"/>
  <c r="S13"/>
  <c r="S14"/>
  <c r="AA14"/>
  <c r="U43"/>
  <c r="AB43"/>
  <c r="AB11"/>
  <c r="U11"/>
  <c r="AA27"/>
  <c r="S27"/>
  <c r="W17"/>
  <c r="AC17"/>
  <c r="S23"/>
  <c r="AA45"/>
  <c r="AB39"/>
  <c r="W34"/>
  <c r="U38"/>
  <c r="S8"/>
  <c r="AC25" i="36"/>
  <c r="U32"/>
  <c r="W29"/>
  <c r="AC20"/>
  <c r="U25"/>
  <c r="AB28"/>
  <c r="AA13"/>
  <c r="W9"/>
  <c r="W22"/>
  <c r="W23"/>
  <c r="S9"/>
  <c r="AB20" i="35"/>
  <c r="AC25"/>
  <c r="U25"/>
  <c r="S24"/>
  <c r="U24"/>
  <c r="S35"/>
  <c r="W35"/>
  <c r="AA16"/>
  <c r="AA35" i="37"/>
  <c r="W36"/>
  <c r="S27"/>
  <c r="S28"/>
  <c r="W32"/>
  <c r="U36"/>
  <c r="S40"/>
  <c r="U38"/>
  <c r="AB37"/>
  <c r="AC34"/>
  <c r="AB35"/>
  <c r="AA31"/>
  <c r="U19"/>
  <c r="AA29"/>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W23"/>
  <c r="AC23"/>
  <c r="AC35"/>
  <c r="W35"/>
  <c r="U12"/>
  <c r="AB12"/>
  <c r="AB28" i="33"/>
  <c r="AC37"/>
  <c r="W46"/>
  <c r="U39"/>
  <c r="U38"/>
  <c r="S33"/>
  <c r="AB34"/>
  <c r="U44"/>
  <c r="AB44"/>
  <c r="S30"/>
  <c r="AA30"/>
  <c r="AC14"/>
  <c r="W14"/>
  <c r="AC30"/>
  <c r="W30"/>
  <c r="S31"/>
  <c r="AA31"/>
  <c r="W13"/>
  <c r="AC13"/>
  <c r="U15"/>
  <c r="S11"/>
  <c r="U37"/>
  <c r="AC28"/>
  <c r="S28"/>
  <c r="W9"/>
  <c r="W8"/>
  <c r="S45" i="21"/>
  <c r="AA33"/>
  <c r="AC33"/>
  <c r="AB33"/>
  <c r="AB14"/>
  <c r="AB46"/>
  <c r="AB31"/>
  <c r="U31"/>
  <c r="H15"/>
  <c r="U15" s="1"/>
  <c r="J17"/>
  <c r="AC17" s="1"/>
  <c r="AC14"/>
  <c r="W30"/>
  <c r="S46"/>
  <c r="H45"/>
  <c r="U45" s="1"/>
  <c r="F29"/>
  <c r="S29" s="1"/>
  <c r="F13"/>
  <c r="AA13" s="1"/>
  <c r="H9"/>
  <c r="U9" s="1"/>
  <c r="J9"/>
  <c r="AC9" s="1"/>
  <c r="J32"/>
  <c r="W32" s="1"/>
  <c r="AA31"/>
  <c r="W29"/>
  <c r="AA9"/>
  <c r="K141"/>
  <c r="K144"/>
  <c r="K143"/>
  <c r="AA30"/>
  <c r="W13"/>
  <c r="AC45"/>
  <c r="F10"/>
  <c r="AA10" s="1"/>
  <c r="K145"/>
  <c r="AA29"/>
  <c r="W31"/>
  <c r="S17"/>
  <c r="AB29"/>
  <c r="AB36"/>
  <c r="W30" i="40"/>
  <c r="C19" i="39"/>
  <c r="C15" i="40"/>
  <c r="C17"/>
  <c r="C23"/>
  <c r="C21"/>
  <c r="U30"/>
  <c r="B54" i="43"/>
  <c r="B58"/>
  <c r="B62"/>
  <c r="B65"/>
  <c r="B69"/>
  <c r="E4" i="4"/>
  <c r="B5" i="62" s="1"/>
  <c r="B73" i="72" s="1"/>
  <c r="C4" i="4"/>
  <c r="AA39" i="40"/>
  <c r="S39"/>
  <c r="S12" i="33"/>
  <c r="AA12"/>
  <c r="J32" i="39"/>
  <c r="W32" s="1"/>
  <c r="H32"/>
  <c r="AB32" s="1"/>
  <c r="AA32"/>
  <c r="AB21"/>
  <c r="U21"/>
  <c r="AA21"/>
  <c r="S21"/>
  <c r="AC17" i="37"/>
  <c r="J19"/>
  <c r="AC19" s="1"/>
  <c r="G75"/>
  <c r="S19"/>
  <c r="AA23"/>
  <c r="J23"/>
  <c r="G79"/>
  <c r="J10"/>
  <c r="W10" s="1"/>
  <c r="G63"/>
  <c r="H11"/>
  <c r="AB11" s="1"/>
  <c r="G70" i="34"/>
  <c r="H70" s="1"/>
  <c r="I70" s="1"/>
  <c r="J70" s="1"/>
  <c r="K70" s="1"/>
  <c r="L70" s="1"/>
  <c r="M70" s="1"/>
  <c r="H11"/>
  <c r="U11" s="1"/>
  <c r="J10"/>
  <c r="AC10" s="1"/>
  <c r="U41" i="33"/>
  <c r="W35"/>
  <c r="AC35"/>
  <c r="J36"/>
  <c r="W36" s="1"/>
  <c r="H36"/>
  <c r="U36" s="1"/>
  <c r="S36"/>
  <c r="AC32"/>
  <c r="U27"/>
  <c r="AB27"/>
  <c r="G91"/>
  <c r="H91" s="1"/>
  <c r="I91" s="1"/>
  <c r="J91" s="1"/>
  <c r="K91" s="1"/>
  <c r="L91" s="1"/>
  <c r="M91" s="1"/>
  <c r="J27"/>
  <c r="U25"/>
  <c r="AB25"/>
  <c r="S25"/>
  <c r="G87"/>
  <c r="H87" s="1"/>
  <c r="I87" s="1"/>
  <c r="J87" s="1"/>
  <c r="K87" s="1"/>
  <c r="L87" s="1"/>
  <c r="M87" s="1"/>
  <c r="J25"/>
  <c r="AB23"/>
  <c r="U23"/>
  <c r="F23"/>
  <c r="AA23" s="1"/>
  <c r="AC23"/>
  <c r="W23"/>
  <c r="AA19"/>
  <c r="H19"/>
  <c r="G81"/>
  <c r="H17"/>
  <c r="U17" s="1"/>
  <c r="F17"/>
  <c r="S17" s="1"/>
  <c r="W17"/>
  <c r="AC17"/>
  <c r="AB15" i="21"/>
  <c r="J23"/>
  <c r="W23" s="1"/>
  <c r="F85"/>
  <c r="G85" s="1"/>
  <c r="H23"/>
  <c r="U23" s="1"/>
  <c r="D6" i="52"/>
  <c r="AP7" i="1"/>
  <c r="W9" i="21"/>
  <c r="A18" i="62"/>
  <c r="B64" i="72" s="1"/>
  <c r="U32" i="39"/>
  <c r="AC32"/>
  <c r="W23" i="37"/>
  <c r="AC23"/>
  <c r="H63"/>
  <c r="I63" s="1"/>
  <c r="J63" s="1"/>
  <c r="K63" s="1"/>
  <c r="L63" s="1"/>
  <c r="M63" s="1"/>
  <c r="J11"/>
  <c r="AC11" s="1"/>
  <c r="J11" i="34"/>
  <c r="W11" s="1"/>
  <c r="W27" i="33"/>
  <c r="AC27"/>
  <c r="W25"/>
  <c r="AC25"/>
  <c r="AB19"/>
  <c r="U19"/>
  <c r="AA17"/>
  <c r="H109" i="9"/>
  <c r="M49" s="1"/>
  <c r="H112"/>
  <c r="D21" i="53" s="1"/>
  <c r="B39" i="72" s="1"/>
  <c r="H111" i="9"/>
  <c r="D126" s="1"/>
  <c r="AD3" i="71"/>
  <c r="J1" i="73"/>
  <c r="H69" i="43"/>
  <c r="C22" i="71"/>
  <c r="D22" s="1"/>
  <c r="D23"/>
  <c r="D24"/>
  <c r="U24"/>
  <c r="S24"/>
  <c r="T24"/>
  <c r="AB22"/>
  <c r="X20"/>
  <c r="X19"/>
  <c r="AA20"/>
  <c r="AA19"/>
  <c r="X23"/>
  <c r="Y19"/>
  <c r="Z19" s="1"/>
  <c r="AB20"/>
  <c r="AB19"/>
  <c r="F21"/>
  <c r="F20" s="1"/>
  <c r="F19" s="1"/>
  <c r="F18" s="1"/>
  <c r="F17" s="1"/>
  <c r="Y20"/>
  <c r="Z20" s="1"/>
  <c r="X3"/>
  <c r="J15" i="67"/>
  <c r="F8"/>
  <c r="E2" i="68"/>
  <c r="F37" i="15"/>
  <c r="E11" i="76"/>
  <c r="M26" i="67"/>
  <c r="M23" i="15"/>
  <c r="F16" i="67"/>
  <c r="M29"/>
  <c r="F26" i="15"/>
  <c r="M28" i="67"/>
  <c r="M22" i="15"/>
  <c r="E8" i="76"/>
  <c r="F20" i="31"/>
  <c r="M6" i="15"/>
  <c r="F37" i="67"/>
  <c r="L47" i="15"/>
  <c r="F8"/>
  <c r="F6" i="73"/>
  <c r="M9" i="67"/>
  <c r="F5" i="73"/>
  <c r="F40" i="15"/>
  <c r="D34" i="9"/>
  <c r="M8" i="67"/>
  <c r="AO13" i="1"/>
  <c r="B11" i="76"/>
  <c r="M6" i="67"/>
  <c r="M24"/>
  <c r="L48"/>
  <c r="F7" i="73"/>
  <c r="B12" i="76"/>
  <c r="M23" i="67"/>
  <c r="F13"/>
  <c r="B7" i="76"/>
  <c r="M22" i="67"/>
  <c r="F4" i="73"/>
  <c r="F6" i="67"/>
  <c r="E9" i="76"/>
  <c r="F9" i="15"/>
  <c r="F36" i="67"/>
  <c r="F38"/>
  <c r="E2" i="69"/>
  <c r="B9" i="76"/>
  <c r="F43" i="15"/>
  <c r="F26" i="67"/>
  <c r="F36" i="15"/>
  <c r="C76" i="67"/>
  <c r="F3" i="73"/>
  <c r="M26" i="15"/>
  <c r="M28"/>
  <c r="D35" i="9"/>
  <c r="F9" i="67"/>
  <c r="B8" i="76"/>
  <c r="E7"/>
  <c r="B10"/>
  <c r="C76" i="15"/>
  <c r="E13" i="76"/>
  <c r="B13"/>
  <c r="F40" i="67"/>
  <c r="F38" i="15"/>
  <c r="M9"/>
  <c r="E12" i="76"/>
  <c r="E10"/>
  <c r="W37" i="21" l="1"/>
  <c r="AA37"/>
  <c r="J28"/>
  <c r="W28" s="1"/>
  <c r="AA23"/>
  <c r="U17"/>
  <c r="S23" i="33"/>
  <c r="AB45" i="21"/>
  <c r="S17" i="37"/>
  <c r="AA27" i="40"/>
  <c r="AA20" i="36"/>
  <c r="AZ391" i="3"/>
  <c r="AZ373"/>
  <c r="AZ382"/>
  <c r="AB36" i="33"/>
  <c r="AZ362" i="3"/>
  <c r="AA34" i="35"/>
  <c r="S34"/>
  <c r="AB17" i="33"/>
  <c r="W19" i="37"/>
  <c r="S43" i="34"/>
  <c r="AA34" i="33"/>
  <c r="AZ15" i="3"/>
  <c r="AZ347"/>
  <c r="AZ344"/>
  <c r="AZ305"/>
  <c r="AZ387"/>
  <c r="AZ352"/>
  <c r="AZ322"/>
  <c r="AZ351"/>
  <c r="AZ394"/>
  <c r="AZ571"/>
  <c r="AZ579"/>
  <c r="F12" i="21"/>
  <c r="J12"/>
  <c r="AB30" i="37"/>
  <c r="U30"/>
  <c r="AZ438" i="3"/>
  <c r="AZ318"/>
  <c r="AZ310"/>
  <c r="AZ355"/>
  <c r="AZ337"/>
  <c r="AZ376"/>
  <c r="AZ360"/>
  <c r="AZ343"/>
  <c r="AZ503"/>
  <c r="AZ515"/>
  <c r="AZ523"/>
  <c r="AZ539"/>
  <c r="AZ581"/>
  <c r="AZ528"/>
  <c r="AZ566"/>
  <c r="AZ574"/>
  <c r="AZ582"/>
  <c r="AB30" i="21"/>
  <c r="AA44" i="33"/>
  <c r="E115" i="21"/>
  <c r="F115" s="1"/>
  <c r="G115" s="1"/>
  <c r="H115" s="1"/>
  <c r="I115" s="1"/>
  <c r="J115" s="1"/>
  <c r="K115" s="1"/>
  <c r="L115" s="1"/>
  <c r="M115" s="1"/>
  <c r="H38"/>
  <c r="U38" s="1"/>
  <c r="F42"/>
  <c r="AA42" s="1"/>
  <c r="AZ475" i="3"/>
  <c r="AZ535"/>
  <c r="AZ577"/>
  <c r="AZ567"/>
  <c r="AZ575"/>
  <c r="AZ568"/>
  <c r="AA29" i="35"/>
  <c r="AA34" i="21"/>
  <c r="S34"/>
  <c r="AZ553" i="3"/>
  <c r="AZ516"/>
  <c r="B97" i="43"/>
  <c r="B75"/>
  <c r="J36" i="35"/>
  <c r="H40" i="40"/>
  <c r="G556" i="3"/>
  <c r="BA550"/>
  <c r="G526"/>
  <c r="BA13"/>
  <c r="G400"/>
  <c r="BL400"/>
  <c r="BA403"/>
  <c r="BA404"/>
  <c r="AZ404" s="1"/>
  <c r="BA409"/>
  <c r="AZ409" s="1"/>
  <c r="G412"/>
  <c r="G413"/>
  <c r="BL413"/>
  <c r="G422"/>
  <c r="G424"/>
  <c r="BL424"/>
  <c r="BA430"/>
  <c r="AZ430" s="1"/>
  <c r="G433"/>
  <c r="G434"/>
  <c r="G439"/>
  <c r="BL439"/>
  <c r="AZ439" s="1"/>
  <c r="BL442"/>
  <c r="AZ442" s="1"/>
  <c r="BA445"/>
  <c r="AZ445" s="1"/>
  <c r="BA446"/>
  <c r="AZ446" s="1"/>
  <c r="BA447"/>
  <c r="AZ447" s="1"/>
  <c r="G450"/>
  <c r="BL459"/>
  <c r="BA464"/>
  <c r="AZ464" s="1"/>
  <c r="BA465"/>
  <c r="AZ465" s="1"/>
  <c r="BL469"/>
  <c r="G470"/>
  <c r="BL470"/>
  <c r="G478"/>
  <c r="AZ481"/>
  <c r="G323"/>
  <c r="BL368"/>
  <c r="AZ368" s="1"/>
  <c r="AZ385"/>
  <c r="AZ399"/>
  <c r="AZ400"/>
  <c r="AZ406"/>
  <c r="AZ411"/>
  <c r="AZ413"/>
  <c r="AZ421"/>
  <c r="AZ423"/>
  <c r="AZ424"/>
  <c r="AZ432"/>
  <c r="G436"/>
  <c r="BL436"/>
  <c r="G441"/>
  <c r="G442"/>
  <c r="BA449"/>
  <c r="AZ449" s="1"/>
  <c r="BA450"/>
  <c r="AZ450" s="1"/>
  <c r="G452"/>
  <c r="BL452"/>
  <c r="BL454"/>
  <c r="AZ458"/>
  <c r="AZ469"/>
  <c r="BL472"/>
  <c r="AZ478"/>
  <c r="AZ480"/>
  <c r="BA358"/>
  <c r="AZ358" s="1"/>
  <c r="G366"/>
  <c r="AZ231"/>
  <c r="BA276"/>
  <c r="BL139"/>
  <c r="AZ139" s="1"/>
  <c r="F37" i="39"/>
  <c r="F40" i="40"/>
  <c r="G570" i="3"/>
  <c r="BL15"/>
  <c r="BL16"/>
  <c r="AZ16" s="1"/>
  <c r="BL403"/>
  <c r="BL408"/>
  <c r="AZ408" s="1"/>
  <c r="BA414"/>
  <c r="AZ414" s="1"/>
  <c r="BA425"/>
  <c r="AZ425" s="1"/>
  <c r="BL429"/>
  <c r="AZ429" s="1"/>
  <c r="BL437"/>
  <c r="AZ437" s="1"/>
  <c r="AZ440"/>
  <c r="AZ443"/>
  <c r="BL444"/>
  <c r="AZ444" s="1"/>
  <c r="BL446"/>
  <c r="BL456"/>
  <c r="AZ456" s="1"/>
  <c r="BA459"/>
  <c r="AZ459" s="1"/>
  <c r="BA460"/>
  <c r="AZ460" s="1"/>
  <c r="BL463"/>
  <c r="AZ471"/>
  <c r="AZ472"/>
  <c r="BA477"/>
  <c r="BA352"/>
  <c r="BA211"/>
  <c r="AZ216"/>
  <c r="BL218"/>
  <c r="AZ218" s="1"/>
  <c r="BA222"/>
  <c r="BA252"/>
  <c r="BA259"/>
  <c r="G263"/>
  <c r="G270"/>
  <c r="G279"/>
  <c r="G398"/>
  <c r="BL398"/>
  <c r="G403"/>
  <c r="G405"/>
  <c r="BL405"/>
  <c r="G410"/>
  <c r="BL410"/>
  <c r="BA416"/>
  <c r="AZ416" s="1"/>
  <c r="BA417"/>
  <c r="AZ417" s="1"/>
  <c r="BA418"/>
  <c r="AZ418" s="1"/>
  <c r="G420"/>
  <c r="BL420"/>
  <c r="BL422"/>
  <c r="AZ422" s="1"/>
  <c r="BA427"/>
  <c r="AZ427" s="1"/>
  <c r="BA428"/>
  <c r="AZ428" s="1"/>
  <c r="G431"/>
  <c r="BL431"/>
  <c r="BL434"/>
  <c r="AZ434" s="1"/>
  <c r="G446"/>
  <c r="G448"/>
  <c r="BL448"/>
  <c r="BL450"/>
  <c r="BA453"/>
  <c r="AZ453" s="1"/>
  <c r="BA454"/>
  <c r="AZ454" s="1"/>
  <c r="BA455"/>
  <c r="AZ455" s="1"/>
  <c r="BL457"/>
  <c r="AZ457" s="1"/>
  <c r="G465"/>
  <c r="G466"/>
  <c r="BL466"/>
  <c r="AZ466" s="1"/>
  <c r="BL468"/>
  <c r="BA473"/>
  <c r="AZ473" s="1"/>
  <c r="BA474"/>
  <c r="AZ474" s="1"/>
  <c r="BA476"/>
  <c r="AZ476" s="1"/>
  <c r="BL478"/>
  <c r="G479"/>
  <c r="BL479"/>
  <c r="BL480"/>
  <c r="G481"/>
  <c r="BA482"/>
  <c r="AZ482" s="1"/>
  <c r="BA485"/>
  <c r="BA489"/>
  <c r="BA303"/>
  <c r="AZ303" s="1"/>
  <c r="BL314"/>
  <c r="AZ314" s="1"/>
  <c r="BA316"/>
  <c r="AZ316" s="1"/>
  <c r="BL324"/>
  <c r="AZ324" s="1"/>
  <c r="BL328"/>
  <c r="AZ328" s="1"/>
  <c r="G329"/>
  <c r="BA335"/>
  <c r="AZ335" s="1"/>
  <c r="BL353"/>
  <c r="AZ353" s="1"/>
  <c r="G384"/>
  <c r="BA396"/>
  <c r="AZ396" s="1"/>
  <c r="BL217"/>
  <c r="AZ217" s="1"/>
  <c r="AZ270"/>
  <c r="BA281"/>
  <c r="G285"/>
  <c r="AZ113"/>
  <c r="BL393"/>
  <c r="AZ393" s="1"/>
  <c r="BL396"/>
  <c r="BL211"/>
  <c r="BA220"/>
  <c r="AZ220" s="1"/>
  <c r="BL222"/>
  <c r="BA225"/>
  <c r="AZ225" s="1"/>
  <c r="BL227"/>
  <c r="AZ227" s="1"/>
  <c r="BL238"/>
  <c r="AZ238" s="1"/>
  <c r="BA244"/>
  <c r="AZ244" s="1"/>
  <c r="BA245"/>
  <c r="AZ245" s="1"/>
  <c r="BL252"/>
  <c r="BA255"/>
  <c r="AZ255" s="1"/>
  <c r="BA256"/>
  <c r="AZ256" s="1"/>
  <c r="BA257"/>
  <c r="AZ257" s="1"/>
  <c r="BL259"/>
  <c r="BA264"/>
  <c r="AZ264" s="1"/>
  <c r="BA265"/>
  <c r="AZ265" s="1"/>
  <c r="BA266"/>
  <c r="AZ266" s="1"/>
  <c r="BL268"/>
  <c r="AZ268" s="1"/>
  <c r="BL276"/>
  <c r="BL281"/>
  <c r="BA290"/>
  <c r="AZ290" s="1"/>
  <c r="BA291"/>
  <c r="AZ291" s="1"/>
  <c r="BL294"/>
  <c r="BL300"/>
  <c r="BA116"/>
  <c r="AZ116" s="1"/>
  <c r="BA120"/>
  <c r="AZ120" s="1"/>
  <c r="BA122"/>
  <c r="AZ122" s="1"/>
  <c r="BA125"/>
  <c r="AZ125" s="1"/>
  <c r="BL130"/>
  <c r="AZ130" s="1"/>
  <c r="BL134"/>
  <c r="BL137"/>
  <c r="BA144"/>
  <c r="AZ144" s="1"/>
  <c r="BA149"/>
  <c r="AZ149" s="1"/>
  <c r="BA150"/>
  <c r="AZ150" s="1"/>
  <c r="BA153"/>
  <c r="AZ153" s="1"/>
  <c r="BA154"/>
  <c r="AZ154" s="1"/>
  <c r="BL158"/>
  <c r="AZ158" s="1"/>
  <c r="BL161"/>
  <c r="BL167"/>
  <c r="AZ167" s="1"/>
  <c r="AB35" i="71"/>
  <c r="AB33"/>
  <c r="AB32"/>
  <c r="AB29"/>
  <c r="C38"/>
  <c r="Y37"/>
  <c r="Z37" s="1"/>
  <c r="Y35"/>
  <c r="Z35" s="1"/>
  <c r="D50"/>
  <c r="C51"/>
  <c r="BA467" i="3"/>
  <c r="AZ467" s="1"/>
  <c r="G475"/>
  <c r="BL475"/>
  <c r="BL477"/>
  <c r="BA484"/>
  <c r="AZ484" s="1"/>
  <c r="G487"/>
  <c r="G489"/>
  <c r="BL489"/>
  <c r="BA492"/>
  <c r="AZ492" s="1"/>
  <c r="BL316"/>
  <c r="G318"/>
  <c r="BL332"/>
  <c r="AZ332" s="1"/>
  <c r="G334"/>
  <c r="G339"/>
  <c r="BL359"/>
  <c r="AZ359" s="1"/>
  <c r="BL365"/>
  <c r="AZ365" s="1"/>
  <c r="G378"/>
  <c r="BL383"/>
  <c r="AZ383" s="1"/>
  <c r="BA210"/>
  <c r="AZ210" s="1"/>
  <c r="G213"/>
  <c r="G214"/>
  <c r="G215"/>
  <c r="G216"/>
  <c r="BL216"/>
  <c r="BL223"/>
  <c r="AZ223" s="1"/>
  <c r="G229"/>
  <c r="G230"/>
  <c r="BL230"/>
  <c r="AZ230" s="1"/>
  <c r="BL242"/>
  <c r="AZ242" s="1"/>
  <c r="BA247"/>
  <c r="AZ247" s="1"/>
  <c r="BA248"/>
  <c r="AZ248" s="1"/>
  <c r="BA249"/>
  <c r="AZ249" s="1"/>
  <c r="BA250"/>
  <c r="AZ250" s="1"/>
  <c r="BA251"/>
  <c r="AZ251" s="1"/>
  <c r="BL253"/>
  <c r="AZ253" s="1"/>
  <c r="G261"/>
  <c r="G262"/>
  <c r="BL262"/>
  <c r="AZ262" s="1"/>
  <c r="BL269"/>
  <c r="AZ269" s="1"/>
  <c r="BA274"/>
  <c r="AZ274" s="1"/>
  <c r="BA275"/>
  <c r="AZ275" s="1"/>
  <c r="G278"/>
  <c r="BL278"/>
  <c r="AZ278" s="1"/>
  <c r="G283"/>
  <c r="G284"/>
  <c r="BL284"/>
  <c r="AZ284" s="1"/>
  <c r="BA293"/>
  <c r="AZ293" s="1"/>
  <c r="BL295"/>
  <c r="AZ295" s="1"/>
  <c r="BA298"/>
  <c r="AZ298" s="1"/>
  <c r="BA299"/>
  <c r="AZ299" s="1"/>
  <c r="BL302"/>
  <c r="AZ302" s="1"/>
  <c r="BL113"/>
  <c r="BA128"/>
  <c r="AZ128" s="1"/>
  <c r="BA133"/>
  <c r="AZ133" s="1"/>
  <c r="G136"/>
  <c r="BL138"/>
  <c r="AZ138" s="1"/>
  <c r="BL141"/>
  <c r="AZ141" s="1"/>
  <c r="BA148"/>
  <c r="AZ148" s="1"/>
  <c r="BL162"/>
  <c r="AZ162" s="1"/>
  <c r="BA172"/>
  <c r="AZ172" s="1"/>
  <c r="BA204"/>
  <c r="AZ204" s="1"/>
  <c r="G207"/>
  <c r="BA20"/>
  <c r="AZ20" s="1"/>
  <c r="BA34"/>
  <c r="BA57"/>
  <c r="AZ57" s="1"/>
  <c r="G60"/>
  <c r="BA63"/>
  <c r="AZ63" s="1"/>
  <c r="G67"/>
  <c r="BA70"/>
  <c r="AZ70" s="1"/>
  <c r="G73"/>
  <c r="BA85"/>
  <c r="AZ85" s="1"/>
  <c r="G89"/>
  <c r="W21" i="37"/>
  <c r="AC21"/>
  <c r="AB25" i="71"/>
  <c r="D63"/>
  <c r="C64"/>
  <c r="B28"/>
  <c r="X28"/>
  <c r="X25"/>
  <c r="X26"/>
  <c r="C30"/>
  <c r="Y29"/>
  <c r="Z29" s="1"/>
  <c r="Y27"/>
  <c r="Z27" s="1"/>
  <c r="Y30"/>
  <c r="Z30" s="1"/>
  <c r="BL481" i="3"/>
  <c r="BA486"/>
  <c r="AZ486" s="1"/>
  <c r="BA487"/>
  <c r="AZ487" s="1"/>
  <c r="BA488"/>
  <c r="AZ488" s="1"/>
  <c r="BL490"/>
  <c r="AZ490" s="1"/>
  <c r="G315"/>
  <c r="BA317"/>
  <c r="AZ317" s="1"/>
  <c r="G331"/>
  <c r="BA333"/>
  <c r="AZ333" s="1"/>
  <c r="BA339"/>
  <c r="AZ339" s="1"/>
  <c r="BL348"/>
  <c r="AZ348" s="1"/>
  <c r="BL354"/>
  <c r="AZ354" s="1"/>
  <c r="BL363"/>
  <c r="AZ363" s="1"/>
  <c r="BL367"/>
  <c r="AZ367" s="1"/>
  <c r="G369"/>
  <c r="BL381"/>
  <c r="AZ381" s="1"/>
  <c r="BL386"/>
  <c r="AZ386" s="1"/>
  <c r="G392"/>
  <c r="G208"/>
  <c r="BL208"/>
  <c r="BA212"/>
  <c r="AZ212" s="1"/>
  <c r="BA213"/>
  <c r="AZ213" s="1"/>
  <c r="BA214"/>
  <c r="AZ214" s="1"/>
  <c r="BA215"/>
  <c r="AZ215" s="1"/>
  <c r="G218"/>
  <c r="G219"/>
  <c r="BL219"/>
  <c r="BL224"/>
  <c r="AZ224" s="1"/>
  <c r="BA228"/>
  <c r="AZ228" s="1"/>
  <c r="BA229"/>
  <c r="AZ229" s="1"/>
  <c r="G232"/>
  <c r="G233"/>
  <c r="G234"/>
  <c r="G235"/>
  <c r="G236"/>
  <c r="BL236"/>
  <c r="BA239"/>
  <c r="AZ239" s="1"/>
  <c r="BA240"/>
  <c r="AZ240" s="1"/>
  <c r="BA241"/>
  <c r="AZ241" s="1"/>
  <c r="BL243"/>
  <c r="AZ243" s="1"/>
  <c r="BL254"/>
  <c r="AZ254" s="1"/>
  <c r="BA260"/>
  <c r="AZ260" s="1"/>
  <c r="BA261"/>
  <c r="AZ261" s="1"/>
  <c r="BL263"/>
  <c r="AZ263" s="1"/>
  <c r="G271"/>
  <c r="G272"/>
  <c r="BL272"/>
  <c r="BA277"/>
  <c r="AZ277" s="1"/>
  <c r="BL279"/>
  <c r="AZ279" s="1"/>
  <c r="BA282"/>
  <c r="AZ282" s="1"/>
  <c r="BA283"/>
  <c r="AZ283" s="1"/>
  <c r="G286"/>
  <c r="G287"/>
  <c r="G288"/>
  <c r="G289"/>
  <c r="BL289"/>
  <c r="BL296"/>
  <c r="AZ296" s="1"/>
  <c r="BA301"/>
  <c r="AZ301" s="1"/>
  <c r="BL114"/>
  <c r="AZ114" s="1"/>
  <c r="G118"/>
  <c r="BL118"/>
  <c r="BL121"/>
  <c r="BL123"/>
  <c r="AZ123" s="1"/>
  <c r="BA132"/>
  <c r="AZ132" s="1"/>
  <c r="BA136"/>
  <c r="AZ136" s="1"/>
  <c r="G140"/>
  <c r="BL142"/>
  <c r="AZ142" s="1"/>
  <c r="BL145"/>
  <c r="BL151"/>
  <c r="AZ151" s="1"/>
  <c r="BL155"/>
  <c r="AZ155" s="1"/>
  <c r="BA160"/>
  <c r="AZ160" s="1"/>
  <c r="G164"/>
  <c r="BA165"/>
  <c r="AZ165" s="1"/>
  <c r="BA166"/>
  <c r="AZ166" s="1"/>
  <c r="BA168"/>
  <c r="AZ168" s="1"/>
  <c r="BL173"/>
  <c r="AZ173" s="1"/>
  <c r="BL175"/>
  <c r="AZ175" s="1"/>
  <c r="G176"/>
  <c r="BA177"/>
  <c r="BL185"/>
  <c r="AZ185" s="1"/>
  <c r="BA200"/>
  <c r="AZ200" s="1"/>
  <c r="AZ207"/>
  <c r="BA19"/>
  <c r="AZ19" s="1"/>
  <c r="G22"/>
  <c r="BA27"/>
  <c r="BL36"/>
  <c r="AZ48"/>
  <c r="BA50"/>
  <c r="AZ50" s="1"/>
  <c r="BL53"/>
  <c r="AZ54"/>
  <c r="AZ60"/>
  <c r="AZ73"/>
  <c r="BL75"/>
  <c r="AZ75" s="1"/>
  <c r="BA84"/>
  <c r="AZ84" s="1"/>
  <c r="J78" i="43"/>
  <c r="D78"/>
  <c r="BA180" i="3"/>
  <c r="AZ180" s="1"/>
  <c r="BL194"/>
  <c r="AZ194" s="1"/>
  <c r="BL205"/>
  <c r="AZ205" s="1"/>
  <c r="BL20"/>
  <c r="BL27"/>
  <c r="BA30"/>
  <c r="AZ30" s="1"/>
  <c r="BA31"/>
  <c r="AZ31" s="1"/>
  <c r="BA32"/>
  <c r="AZ32" s="1"/>
  <c r="BA33"/>
  <c r="AZ33" s="1"/>
  <c r="BL35"/>
  <c r="AZ35" s="1"/>
  <c r="BA40"/>
  <c r="AZ40" s="1"/>
  <c r="BA41"/>
  <c r="AZ41" s="1"/>
  <c r="BA42"/>
  <c r="AZ42" s="1"/>
  <c r="BA43"/>
  <c r="BL46"/>
  <c r="BL51"/>
  <c r="AZ51" s="1"/>
  <c r="BA56"/>
  <c r="AZ56" s="1"/>
  <c r="BL58"/>
  <c r="AZ58" s="1"/>
  <c r="BL65"/>
  <c r="BA68"/>
  <c r="AZ68" s="1"/>
  <c r="BA69"/>
  <c r="AZ69" s="1"/>
  <c r="BL71"/>
  <c r="AZ71" s="1"/>
  <c r="BL81"/>
  <c r="BL85"/>
  <c r="BL87"/>
  <c r="BL91"/>
  <c r="BA96"/>
  <c r="BL101"/>
  <c r="P27" i="6"/>
  <c r="Y28" i="71"/>
  <c r="Z28" s="1"/>
  <c r="X35"/>
  <c r="X33"/>
  <c r="X34"/>
  <c r="S68"/>
  <c r="N68"/>
  <c r="B67"/>
  <c r="S76"/>
  <c r="B75"/>
  <c r="B74" s="1"/>
  <c r="AB26"/>
  <c r="AA3"/>
  <c r="BA169" i="3"/>
  <c r="AZ169" s="1"/>
  <c r="BA170"/>
  <c r="AZ170" s="1"/>
  <c r="BL174"/>
  <c r="AZ174" s="1"/>
  <c r="BL177"/>
  <c r="BL183"/>
  <c r="AZ183" s="1"/>
  <c r="BL187"/>
  <c r="AZ187" s="1"/>
  <c r="BA192"/>
  <c r="AZ192" s="1"/>
  <c r="G196"/>
  <c r="BA197"/>
  <c r="AZ197" s="1"/>
  <c r="BA198"/>
  <c r="AZ198" s="1"/>
  <c r="BA201"/>
  <c r="AZ201" s="1"/>
  <c r="BA202"/>
  <c r="AZ202" s="1"/>
  <c r="BL206"/>
  <c r="AZ206" s="1"/>
  <c r="BL21"/>
  <c r="AZ21" s="1"/>
  <c r="BA25"/>
  <c r="AZ25" s="1"/>
  <c r="BA26"/>
  <c r="AZ26" s="1"/>
  <c r="BL28"/>
  <c r="AZ28" s="1"/>
  <c r="G37"/>
  <c r="G38"/>
  <c r="BL38"/>
  <c r="BA44"/>
  <c r="AZ44" s="1"/>
  <c r="BA45"/>
  <c r="AZ45" s="1"/>
  <c r="BL47"/>
  <c r="AZ47" s="1"/>
  <c r="G53"/>
  <c r="G54"/>
  <c r="BL54"/>
  <c r="BL59"/>
  <c r="AZ59" s="1"/>
  <c r="BA64"/>
  <c r="AZ64" s="1"/>
  <c r="BL66"/>
  <c r="AZ66" s="1"/>
  <c r="BL72"/>
  <c r="AZ72" s="1"/>
  <c r="BA78"/>
  <c r="AZ78" s="1"/>
  <c r="BA79"/>
  <c r="AZ79" s="1"/>
  <c r="BA80"/>
  <c r="AZ80" s="1"/>
  <c r="BL82"/>
  <c r="AZ82" s="1"/>
  <c r="BA86"/>
  <c r="AZ86" s="1"/>
  <c r="BL88"/>
  <c r="AZ88" s="1"/>
  <c r="BA90"/>
  <c r="AZ90" s="1"/>
  <c r="BL95"/>
  <c r="BL97"/>
  <c r="AZ97" s="1"/>
  <c r="G98"/>
  <c r="G99"/>
  <c r="BA103"/>
  <c r="AZ103" s="1"/>
  <c r="BA108"/>
  <c r="BA111"/>
  <c r="AZ111" s="1"/>
  <c r="B100" i="43"/>
  <c r="B77"/>
  <c r="C29" i="39"/>
  <c r="B57" i="43"/>
  <c r="B68"/>
  <c r="O66" i="71"/>
  <c r="D66"/>
  <c r="AB30"/>
  <c r="AB31"/>
  <c r="AB27"/>
  <c r="AB28"/>
  <c r="Y33"/>
  <c r="Z33" s="1"/>
  <c r="Y31"/>
  <c r="Z31" s="1"/>
  <c r="C34"/>
  <c r="Y34"/>
  <c r="Z34" s="1"/>
  <c r="AB38"/>
  <c r="E23"/>
  <c r="E22" s="1"/>
  <c r="E21" s="1"/>
  <c r="E20" s="1"/>
  <c r="V24"/>
  <c r="BL178" i="3"/>
  <c r="AZ178" s="1"/>
  <c r="G182"/>
  <c r="G183"/>
  <c r="G186"/>
  <c r="G187"/>
  <c r="BL189"/>
  <c r="AZ189" s="1"/>
  <c r="BA196"/>
  <c r="AZ196" s="1"/>
  <c r="G18"/>
  <c r="BL18"/>
  <c r="AZ18" s="1"/>
  <c r="G23"/>
  <c r="BL23"/>
  <c r="AZ23" s="1"/>
  <c r="BL29"/>
  <c r="AZ29" s="1"/>
  <c r="BA36"/>
  <c r="BA37"/>
  <c r="AZ37" s="1"/>
  <c r="BL39"/>
  <c r="AZ39" s="1"/>
  <c r="BL43"/>
  <c r="G49"/>
  <c r="BL49"/>
  <c r="BA52"/>
  <c r="AZ52" s="1"/>
  <c r="BA53"/>
  <c r="AZ53" s="1"/>
  <c r="BL55"/>
  <c r="AZ55" s="1"/>
  <c r="G61"/>
  <c r="G62"/>
  <c r="BL62"/>
  <c r="BL67"/>
  <c r="AZ67" s="1"/>
  <c r="G74"/>
  <c r="G75"/>
  <c r="G76"/>
  <c r="BL76"/>
  <c r="BL83"/>
  <c r="AZ83" s="1"/>
  <c r="BL89"/>
  <c r="AZ89" s="1"/>
  <c r="BL96"/>
  <c r="G97"/>
  <c r="BA101"/>
  <c r="AZ101" s="1"/>
  <c r="BA102"/>
  <c r="AZ102" s="1"/>
  <c r="AC21" i="33"/>
  <c r="W29" i="39"/>
  <c r="AB21" i="34"/>
  <c r="U21"/>
  <c r="P65" i="71"/>
  <c r="P66"/>
  <c r="D75"/>
  <c r="C74"/>
  <c r="D74" s="1"/>
  <c r="C27"/>
  <c r="D28"/>
  <c r="U28" s="1"/>
  <c r="X29"/>
  <c r="X30"/>
  <c r="X31"/>
  <c r="X32"/>
  <c r="AB39"/>
  <c r="AB37"/>
  <c r="C59"/>
  <c r="D58"/>
  <c r="T72"/>
  <c r="C71"/>
  <c r="D72"/>
  <c r="T80"/>
  <c r="D80"/>
  <c r="C79"/>
  <c r="Y26"/>
  <c r="Z26" s="1"/>
  <c r="BA92" i="3"/>
  <c r="AZ92" s="1"/>
  <c r="BA93"/>
  <c r="AZ93" s="1"/>
  <c r="BA94"/>
  <c r="AZ94" s="1"/>
  <c r="BL102"/>
  <c r="G107"/>
  <c r="G108"/>
  <c r="BL108"/>
  <c r="F3" i="35"/>
  <c r="AB21" i="33"/>
  <c r="U25" i="40"/>
  <c r="F26" i="71"/>
  <c r="BL98" i="3"/>
  <c r="G104"/>
  <c r="BL104"/>
  <c r="AZ104" s="1"/>
  <c r="BA106"/>
  <c r="AZ106" s="1"/>
  <c r="BA107"/>
  <c r="AZ107" s="1"/>
  <c r="BL109"/>
  <c r="AZ109" s="1"/>
  <c r="BA112"/>
  <c r="AZ112" s="1"/>
  <c r="W18" i="36"/>
  <c r="C86" i="71"/>
  <c r="D86" s="1"/>
  <c r="O67"/>
  <c r="AA28"/>
  <c r="D76"/>
  <c r="D68"/>
  <c r="AA35"/>
  <c r="AA32"/>
  <c r="B36"/>
  <c r="S36" s="1"/>
  <c r="B32"/>
  <c r="S32" s="1"/>
  <c r="F32"/>
  <c r="V32" s="1"/>
  <c r="Y32"/>
  <c r="Z32" s="1"/>
  <c r="F35"/>
  <c r="F36" s="1"/>
  <c r="V36" s="1"/>
  <c r="Y36"/>
  <c r="Z36" s="1"/>
  <c r="F39"/>
  <c r="F40" s="1"/>
  <c r="V40" s="1"/>
  <c r="K56" i="9"/>
  <c r="B21" i="71"/>
  <c r="B20" s="1"/>
  <c r="B43"/>
  <c r="B44" s="1"/>
  <c r="S44" s="1"/>
  <c r="N56" i="9"/>
  <c r="F35" i="21"/>
  <c r="W44"/>
  <c r="AC34"/>
  <c r="S44"/>
  <c r="B79" i="43"/>
  <c r="B56"/>
  <c r="C27" i="39"/>
  <c r="D22" i="15"/>
  <c r="E1" i="73"/>
  <c r="H89" i="21"/>
  <c r="I89" s="1"/>
  <c r="J89" s="1"/>
  <c r="K89" s="1"/>
  <c r="L89" s="1"/>
  <c r="M89" s="1"/>
  <c r="F26"/>
  <c r="AB44"/>
  <c r="U28"/>
  <c r="F32"/>
  <c r="AA32" s="1"/>
  <c r="H32"/>
  <c r="AB32" s="1"/>
  <c r="W25"/>
  <c r="AB25"/>
  <c r="AA25"/>
  <c r="J26"/>
  <c r="W26" s="1"/>
  <c r="H26"/>
  <c r="B67" i="43"/>
  <c r="B76"/>
  <c r="B51"/>
  <c r="B73"/>
  <c r="C15" i="39"/>
  <c r="AB9" i="21"/>
  <c r="M20" i="67"/>
  <c r="F34" i="15"/>
  <c r="F62" s="1"/>
  <c r="F34" i="67"/>
  <c r="F62" s="1"/>
  <c r="G22" i="11"/>
  <c r="D23" i="15"/>
  <c r="G22" i="68"/>
  <c r="D19" i="53"/>
  <c r="B38" i="72" s="1"/>
  <c r="D16" i="53"/>
  <c r="B34" i="72" s="1"/>
  <c r="G23" i="43"/>
  <c r="C7" i="40"/>
  <c r="C63" s="1"/>
  <c r="C7" i="33"/>
  <c r="C7" i="39"/>
  <c r="C67" s="1"/>
  <c r="C42" i="1"/>
  <c r="C24" i="12" s="1"/>
  <c r="C7" i="36"/>
  <c r="C46" s="1"/>
  <c r="D46" s="1"/>
  <c r="E46" s="1"/>
  <c r="F46" s="1"/>
  <c r="G46" s="1"/>
  <c r="H46" s="1"/>
  <c r="I46" s="1"/>
  <c r="B13" i="53"/>
  <c r="B29" i="72" s="1"/>
  <c r="C40" i="68"/>
  <c r="C21"/>
  <c r="C40" i="69"/>
  <c r="AB39" i="21"/>
  <c r="W41"/>
  <c r="AP6" i="1"/>
  <c r="AC35" i="21"/>
  <c r="U35"/>
  <c r="S37"/>
  <c r="AA36"/>
  <c r="S40"/>
  <c r="U40"/>
  <c r="AC40"/>
  <c r="S39"/>
  <c r="AC38"/>
  <c r="AB38"/>
  <c r="U34"/>
  <c r="W39"/>
  <c r="AA38"/>
  <c r="W36"/>
  <c r="AC23"/>
  <c r="AA15"/>
  <c r="AB23"/>
  <c r="AC19"/>
  <c r="S19"/>
  <c r="AC15"/>
  <c r="U13"/>
  <c r="AB13"/>
  <c r="S12"/>
  <c r="AA12"/>
  <c r="S13"/>
  <c r="H12"/>
  <c r="G6" i="1"/>
  <c r="G16" s="1"/>
  <c r="F10" i="39" s="1"/>
  <c r="I24" i="43"/>
  <c r="C24" s="1"/>
  <c r="U43" i="21"/>
  <c r="AA43"/>
  <c r="W43"/>
  <c r="W42"/>
  <c r="AB42"/>
  <c r="S42"/>
  <c r="S28"/>
  <c r="H50" i="43"/>
  <c r="H67"/>
  <c r="B41" i="1"/>
  <c r="F53" i="9" s="1"/>
  <c r="D93"/>
  <c r="C40" i="11"/>
  <c r="G26" i="12"/>
  <c r="G22" i="69"/>
  <c r="AZ557" i="3"/>
  <c r="E19" i="71"/>
  <c r="E18" s="1"/>
  <c r="E17" s="1"/>
  <c r="E16" s="1"/>
  <c r="M23" i="43" s="1"/>
  <c r="V20" i="71"/>
  <c r="C21"/>
  <c r="G5" i="3"/>
  <c r="B3" s="1"/>
  <c r="E77" s="1"/>
  <c r="AC11" i="35"/>
  <c r="AA26" i="33"/>
  <c r="S26"/>
  <c r="BL587" i="3"/>
  <c r="AZ587" s="1"/>
  <c r="J26" i="33"/>
  <c r="H26"/>
  <c r="AC9" i="34"/>
  <c r="W9"/>
  <c r="J27"/>
  <c r="F27"/>
  <c r="AC31" i="37"/>
  <c r="W31"/>
  <c r="AB14"/>
  <c r="U14"/>
  <c r="F38" i="40"/>
  <c r="J38"/>
  <c r="H38"/>
  <c r="U41" i="21"/>
  <c r="AB41"/>
  <c r="W17"/>
  <c r="G28" i="6"/>
  <c r="F29"/>
  <c r="AA41" i="34"/>
  <c r="BL585" i="3"/>
  <c r="AZ585" s="1"/>
  <c r="AB35" i="33"/>
  <c r="U35"/>
  <c r="AA38"/>
  <c r="S38"/>
  <c r="AC39"/>
  <c r="W39"/>
  <c r="AB34" i="35"/>
  <c r="U34"/>
  <c r="H23"/>
  <c r="J23"/>
  <c r="F23"/>
  <c r="AB9" i="36"/>
  <c r="U9"/>
  <c r="J12"/>
  <c r="H12"/>
  <c r="F12"/>
  <c r="J24"/>
  <c r="F24"/>
  <c r="H24"/>
  <c r="AB31"/>
  <c r="U31"/>
  <c r="H25" i="37"/>
  <c r="J25"/>
  <c r="F25"/>
  <c r="U8" i="39"/>
  <c r="AB8"/>
  <c r="AC40"/>
  <c r="W40"/>
  <c r="H31"/>
  <c r="F31"/>
  <c r="J31"/>
  <c r="W32" i="40"/>
  <c r="AC32"/>
  <c r="S38" i="34"/>
  <c r="AA38"/>
  <c r="AB31" i="35"/>
  <c r="U31"/>
  <c r="F36" i="39"/>
  <c r="H36"/>
  <c r="J36"/>
  <c r="BL550" i="3"/>
  <c r="AZ550" s="1"/>
  <c r="BL548"/>
  <c r="BL586"/>
  <c r="AZ586" s="1"/>
  <c r="AC33" i="33"/>
  <c r="W33"/>
  <c r="W12" i="34"/>
  <c r="AC12"/>
  <c r="U12" i="35"/>
  <c r="AB12"/>
  <c r="AC34"/>
  <c r="W34"/>
  <c r="J12" i="33"/>
  <c r="H12"/>
  <c r="J26" i="37"/>
  <c r="H26"/>
  <c r="F26"/>
  <c r="H44" i="39"/>
  <c r="F44"/>
  <c r="J44"/>
  <c r="AC31" i="40"/>
  <c r="W31"/>
  <c r="J39"/>
  <c r="H39"/>
  <c r="AB34" i="37"/>
  <c r="U34"/>
  <c r="BA551" i="3"/>
  <c r="AZ551" s="1"/>
  <c r="AZ398"/>
  <c r="AZ405"/>
  <c r="AZ407"/>
  <c r="AZ410"/>
  <c r="AZ415"/>
  <c r="AZ420"/>
  <c r="AZ426"/>
  <c r="AZ431"/>
  <c r="AZ436"/>
  <c r="AZ448"/>
  <c r="AZ452"/>
  <c r="AZ461"/>
  <c r="AZ463"/>
  <c r="AZ468"/>
  <c r="AZ470"/>
  <c r="AZ479"/>
  <c r="AZ485"/>
  <c r="AZ208"/>
  <c r="AZ211"/>
  <c r="AZ219"/>
  <c r="AZ236"/>
  <c r="AZ252"/>
  <c r="AZ272"/>
  <c r="AZ276"/>
  <c r="AZ289"/>
  <c r="AZ294"/>
  <c r="AZ300"/>
  <c r="AZ118"/>
  <c r="AZ121"/>
  <c r="AZ134"/>
  <c r="AZ137"/>
  <c r="AZ145"/>
  <c r="AZ161"/>
  <c r="AZ177"/>
  <c r="AZ193"/>
  <c r="AZ34"/>
  <c r="AZ38"/>
  <c r="AZ46"/>
  <c r="AZ49"/>
  <c r="AZ62"/>
  <c r="AZ65"/>
  <c r="AZ76"/>
  <c r="AZ81"/>
  <c r="AZ108"/>
  <c r="C43" i="71"/>
  <c r="D42"/>
  <c r="C47"/>
  <c r="D47" s="1"/>
  <c r="D46"/>
  <c r="D54"/>
  <c r="C55"/>
  <c r="AZ87" i="3"/>
  <c r="AZ91"/>
  <c r="AZ95"/>
  <c r="AZ98"/>
  <c r="U18" i="36"/>
  <c r="Y9" i="71"/>
  <c r="Z9" s="1"/>
  <c r="Y10"/>
  <c r="Z10" s="1"/>
  <c r="AA9"/>
  <c r="AA10"/>
  <c r="AB24"/>
  <c r="Y21"/>
  <c r="Z21" s="1"/>
  <c r="AB23"/>
  <c r="AB21"/>
  <c r="X21"/>
  <c r="Y18"/>
  <c r="Z18" s="1"/>
  <c r="X17"/>
  <c r="Y17"/>
  <c r="Z17" s="1"/>
  <c r="AB18"/>
  <c r="Y14"/>
  <c r="Z14" s="1"/>
  <c r="AA17"/>
  <c r="X9"/>
  <c r="X10"/>
  <c r="Y39"/>
  <c r="Z39" s="1"/>
  <c r="AA39"/>
  <c r="AB9"/>
  <c r="AB10"/>
  <c r="X22"/>
  <c r="AA24"/>
  <c r="AA22"/>
  <c r="AA21"/>
  <c r="X18"/>
  <c r="AA18"/>
  <c r="X14"/>
  <c r="AA13"/>
  <c r="AB17"/>
  <c r="F67"/>
  <c r="X24"/>
  <c r="Y24"/>
  <c r="Z24" s="1"/>
  <c r="AB15"/>
  <c r="AB12"/>
  <c r="AB14"/>
  <c r="AA12"/>
  <c r="X11"/>
  <c r="Y13"/>
  <c r="Z13" s="1"/>
  <c r="Y12"/>
  <c r="Z12" s="1"/>
  <c r="Y23"/>
  <c r="Z23" s="1"/>
  <c r="Y22"/>
  <c r="Z22" s="1"/>
  <c r="AA23"/>
  <c r="X15"/>
  <c r="AA15"/>
  <c r="AB11"/>
  <c r="AB13"/>
  <c r="AA11"/>
  <c r="AA14"/>
  <c r="X13"/>
  <c r="X12"/>
  <c r="Y11"/>
  <c r="Z11" s="1"/>
  <c r="H83" i="43"/>
  <c r="S22" i="31"/>
  <c r="R22" s="1"/>
  <c r="D74" i="43"/>
  <c r="E50"/>
  <c r="B48" s="1"/>
  <c r="H78"/>
  <c r="AC32" i="36"/>
  <c r="W31"/>
  <c r="W33"/>
  <c r="AC34"/>
  <c r="AA31"/>
  <c r="S28"/>
  <c r="S30"/>
  <c r="S29"/>
  <c r="W8"/>
  <c r="AB8"/>
  <c r="W11"/>
  <c r="S8"/>
  <c r="AB11"/>
  <c r="AB10" i="35"/>
  <c r="U30"/>
  <c r="AA30"/>
  <c r="W32"/>
  <c r="W33"/>
  <c r="AA9"/>
  <c r="S8"/>
  <c r="AB9"/>
  <c r="U11"/>
  <c r="AC37" i="21"/>
  <c r="S33"/>
  <c r="AC36" i="33"/>
  <c r="S33" i="37"/>
  <c r="AC9"/>
  <c r="W11"/>
  <c r="AA8"/>
  <c r="AA9"/>
  <c r="AA12"/>
  <c r="AB9"/>
  <c r="U11"/>
  <c r="U12"/>
  <c r="AC8"/>
  <c r="AB37" i="34"/>
  <c r="S9"/>
  <c r="AC11"/>
  <c r="U33" i="21"/>
  <c r="AB13" i="33"/>
  <c r="S9"/>
  <c r="S8"/>
  <c r="U8"/>
  <c r="W8" i="21"/>
  <c r="S8"/>
  <c r="AA11"/>
  <c r="AC11"/>
  <c r="AB11"/>
  <c r="C5" i="11"/>
  <c r="C4" i="12"/>
  <c r="E306" i="3"/>
  <c r="E532"/>
  <c r="E288"/>
  <c r="E475"/>
  <c r="E150"/>
  <c r="E351"/>
  <c r="E31"/>
  <c r="E549"/>
  <c r="E271"/>
  <c r="E585"/>
  <c r="E478"/>
  <c r="E477"/>
  <c r="E547"/>
  <c r="E403"/>
  <c r="E546"/>
  <c r="E71"/>
  <c r="E92"/>
  <c r="E126"/>
  <c r="E272"/>
  <c r="E291"/>
  <c r="E317"/>
  <c r="AM6"/>
  <c r="E29"/>
  <c r="E14" i="6"/>
  <c r="E63" i="39" s="1"/>
  <c r="I4" i="6"/>
  <c r="G3" i="43" s="1"/>
  <c r="F26" s="1"/>
  <c r="E29" i="6"/>
  <c r="K15" i="1" s="1"/>
  <c r="F30" i="6"/>
  <c r="G30"/>
  <c r="G31" s="1"/>
  <c r="E28"/>
  <c r="L19"/>
  <c r="L27" s="1"/>
  <c r="M6" i="1"/>
  <c r="O6" s="1"/>
  <c r="T13"/>
  <c r="C58" i="21"/>
  <c r="C58" i="33"/>
  <c r="C59" i="34"/>
  <c r="D59" s="1"/>
  <c r="E59" s="1"/>
  <c r="F59" s="1"/>
  <c r="G59" s="1"/>
  <c r="H59" s="1"/>
  <c r="I59" s="1"/>
  <c r="J59" s="1"/>
  <c r="W10" i="36"/>
  <c r="U10"/>
  <c r="S10"/>
  <c r="AA10" i="35"/>
  <c r="W10"/>
  <c r="U10" i="37"/>
  <c r="S10"/>
  <c r="AC10"/>
  <c r="W10" i="34"/>
  <c r="U10"/>
  <c r="S10"/>
  <c r="AA10" i="33"/>
  <c r="AC10"/>
  <c r="AB10"/>
  <c r="U10" i="21"/>
  <c r="S10"/>
  <c r="W10"/>
  <c r="AB27" i="36"/>
  <c r="S27"/>
  <c r="AC27"/>
  <c r="AC8" i="35"/>
  <c r="U8"/>
  <c r="H26"/>
  <c r="F26"/>
  <c r="J26"/>
  <c r="W33" i="37"/>
  <c r="AA11"/>
  <c r="W34" i="34"/>
  <c r="W37"/>
  <c r="S34"/>
  <c r="AB11"/>
  <c r="AA11"/>
  <c r="AC32" i="21"/>
  <c r="W33"/>
  <c r="AB8"/>
  <c r="P74" i="67"/>
  <c r="H62" i="43"/>
  <c r="H58"/>
  <c r="H51"/>
  <c r="H56"/>
  <c r="H65"/>
  <c r="D72"/>
  <c r="D76"/>
  <c r="D80"/>
  <c r="D61"/>
  <c r="P61" i="15"/>
  <c r="C94" i="9"/>
  <c r="C92"/>
  <c r="C77"/>
  <c r="C74" s="1"/>
  <c r="C21" i="69"/>
  <c r="J84" i="43"/>
  <c r="J85"/>
  <c r="J86"/>
  <c r="J87"/>
  <c r="J88"/>
  <c r="J89"/>
  <c r="J90"/>
  <c r="D83"/>
  <c r="E83" s="1"/>
  <c r="B81" s="1"/>
  <c r="D66"/>
  <c r="D64"/>
  <c r="D62"/>
  <c r="D67"/>
  <c r="D65"/>
  <c r="D63"/>
  <c r="D69"/>
  <c r="D73"/>
  <c r="D75"/>
  <c r="D79"/>
  <c r="D22" i="67"/>
  <c r="AQ13" i="1"/>
  <c r="Q16"/>
  <c r="E8" i="6"/>
  <c r="F27" s="1"/>
  <c r="E12"/>
  <c r="E57" i="40" s="1"/>
  <c r="E53" i="3"/>
  <c r="E125"/>
  <c r="E175"/>
  <c r="E217"/>
  <c r="E319"/>
  <c r="E366"/>
  <c r="E530"/>
  <c r="E526"/>
  <c r="E501"/>
  <c r="E553"/>
  <c r="E343"/>
  <c r="E268"/>
  <c r="E153"/>
  <c r="E282"/>
  <c r="E305"/>
  <c r="E322"/>
  <c r="E426"/>
  <c r="N6"/>
  <c r="E508"/>
  <c r="AJ6"/>
  <c r="E328"/>
  <c r="E239"/>
  <c r="E388"/>
  <c r="E509"/>
  <c r="O6"/>
  <c r="E516"/>
  <c r="E555"/>
  <c r="E579"/>
  <c r="E574"/>
  <c r="E569"/>
  <c r="E410"/>
  <c r="E431"/>
  <c r="E359"/>
  <c r="E396"/>
  <c r="E337"/>
  <c r="E247"/>
  <c r="E285"/>
  <c r="E229"/>
  <c r="E143"/>
  <c r="E201"/>
  <c r="E97"/>
  <c r="E151"/>
  <c r="E270"/>
  <c r="E311"/>
  <c r="E390"/>
  <c r="E358"/>
  <c r="E533"/>
  <c r="E514"/>
  <c r="S6"/>
  <c r="E559"/>
  <c r="AR6"/>
  <c r="E570"/>
  <c r="E523"/>
  <c r="E551"/>
  <c r="E561"/>
  <c r="M6"/>
  <c r="E506"/>
  <c r="V6"/>
  <c r="E538"/>
  <c r="AB6"/>
  <c r="E418"/>
  <c r="E407"/>
  <c r="E439"/>
  <c r="E387"/>
  <c r="E338"/>
  <c r="E320"/>
  <c r="E380"/>
  <c r="E335"/>
  <c r="E321"/>
  <c r="E294"/>
  <c r="E231"/>
  <c r="E215"/>
  <c r="E298"/>
  <c r="E230"/>
  <c r="E216"/>
  <c r="E189"/>
  <c r="E169"/>
  <c r="E130"/>
  <c r="E185"/>
  <c r="E69"/>
  <c r="E237"/>
  <c r="E114"/>
  <c r="E261"/>
  <c r="E278"/>
  <c r="E304"/>
  <c r="E415"/>
  <c r="E528"/>
  <c r="E563"/>
  <c r="E565"/>
  <c r="E395"/>
  <c r="E183"/>
  <c r="E172"/>
  <c r="E213"/>
  <c r="E260"/>
  <c r="E361"/>
  <c r="E445"/>
  <c r="E17"/>
  <c r="E550"/>
  <c r="E503"/>
  <c r="E535"/>
  <c r="E302"/>
  <c r="E117"/>
  <c r="E180"/>
  <c r="E161"/>
  <c r="E221"/>
  <c r="E290"/>
  <c r="E91"/>
  <c r="E135"/>
  <c r="E254"/>
  <c r="E61"/>
  <c r="E134"/>
  <c r="E191"/>
  <c r="E159"/>
  <c r="E245"/>
  <c r="E301"/>
  <c r="E263"/>
  <c r="E303"/>
  <c r="E382"/>
  <c r="E350"/>
  <c r="E423"/>
  <c r="E402"/>
  <c r="E578"/>
  <c r="E586"/>
  <c r="AI6"/>
  <c r="AN6"/>
  <c r="E518"/>
  <c r="E495"/>
  <c r="E385"/>
  <c r="E353"/>
  <c r="E293"/>
  <c r="E124"/>
  <c r="E246"/>
  <c r="E280"/>
  <c r="E336"/>
  <c r="E399"/>
  <c r="X6"/>
  <c r="AA6"/>
  <c r="E583"/>
  <c r="E347"/>
  <c r="E15" i="6"/>
  <c r="E64" i="39" s="1"/>
  <c r="E11" i="6"/>
  <c r="E60" i="39" s="1"/>
  <c r="E10" i="6"/>
  <c r="E13"/>
  <c r="H16" i="1"/>
  <c r="P6"/>
  <c r="C13" i="12" s="1"/>
  <c r="P11" i="1"/>
  <c r="K14"/>
  <c r="K16" s="1"/>
  <c r="D9" i="11"/>
  <c r="C9" s="1"/>
  <c r="D19" i="12"/>
  <c r="C19" s="1"/>
  <c r="AZ13" i="3"/>
  <c r="O9" i="1"/>
  <c r="P9" s="1"/>
  <c r="O12"/>
  <c r="P12" s="1"/>
  <c r="O8"/>
  <c r="P8" s="1"/>
  <c r="H73" i="43"/>
  <c r="H90"/>
  <c r="C23"/>
  <c r="O23"/>
  <c r="I18"/>
  <c r="E17" s="1"/>
  <c r="C17" s="1"/>
  <c r="H26"/>
  <c r="J26"/>
  <c r="E26"/>
  <c r="A1" i="79"/>
  <c r="H55" i="43"/>
  <c r="H86"/>
  <c r="H87"/>
  <c r="N370" i="46"/>
  <c r="N94"/>
  <c r="H89" i="43"/>
  <c r="H88"/>
  <c r="H84"/>
  <c r="C69" i="39"/>
  <c r="D67"/>
  <c r="D69" s="1"/>
  <c r="T35" i="4"/>
  <c r="A19" i="51" s="1"/>
  <c r="B14" i="72" s="1"/>
  <c r="H110" i="9"/>
  <c r="D18" i="53" s="1"/>
  <c r="B35" i="72" s="1"/>
  <c r="H52" i="43"/>
  <c r="K5" i="4"/>
  <c r="B47" i="48" s="1"/>
  <c r="Y8" i="71"/>
  <c r="Z8" s="1"/>
  <c r="X8"/>
  <c r="AB8"/>
  <c r="AA8"/>
  <c r="L68" i="9"/>
  <c r="M68" s="1"/>
  <c r="L65"/>
  <c r="M65" s="1"/>
  <c r="L66"/>
  <c r="M66" s="1"/>
  <c r="L64"/>
  <c r="M64" s="1"/>
  <c r="L63"/>
  <c r="M63" s="1"/>
  <c r="M69" s="1"/>
  <c r="N69" s="1"/>
  <c r="L67"/>
  <c r="M67" s="1"/>
  <c r="B8" i="74"/>
  <c r="C8" s="1"/>
  <c r="D127" i="9"/>
  <c r="D13" i="52" s="1"/>
  <c r="D12"/>
  <c r="D20" i="53"/>
  <c r="B40" i="72" s="1"/>
  <c r="H76" i="43"/>
  <c r="H72"/>
  <c r="H63"/>
  <c r="H61"/>
  <c r="H53"/>
  <c r="H79"/>
  <c r="D17" i="53"/>
  <c r="B36" i="72" s="1"/>
  <c r="D124" i="9"/>
  <c r="H74" i="43"/>
  <c r="H57"/>
  <c r="H66"/>
  <c r="H68"/>
  <c r="H80"/>
  <c r="H77"/>
  <c r="E44"/>
  <c r="C44" s="1"/>
  <c r="AC21" i="39"/>
  <c r="AB23"/>
  <c r="AB15"/>
  <c r="AC15"/>
  <c r="S25"/>
  <c r="W39"/>
  <c r="W42"/>
  <c r="W14"/>
  <c r="S29"/>
  <c r="G21" i="43"/>
  <c r="C20" s="1"/>
  <c r="E11"/>
  <c r="E9"/>
  <c r="E10"/>
  <c r="E8"/>
  <c r="D23" i="67"/>
  <c r="G25" i="12"/>
  <c r="G41" i="11"/>
  <c r="G27" i="12"/>
  <c r="G41" i="68"/>
  <c r="K59" i="34"/>
  <c r="L59" s="1"/>
  <c r="M59" s="1"/>
  <c r="N59" s="1"/>
  <c r="O59" s="1"/>
  <c r="J46" i="36"/>
  <c r="K46" s="1"/>
  <c r="L46" s="1"/>
  <c r="M46" s="1"/>
  <c r="N46" s="1"/>
  <c r="O46" s="1"/>
  <c r="E52" i="37"/>
  <c r="F52" s="1"/>
  <c r="G52" s="1"/>
  <c r="H52" s="1"/>
  <c r="I52" s="1"/>
  <c r="J52" s="1"/>
  <c r="K52" s="1"/>
  <c r="L52" s="1"/>
  <c r="M52" s="1"/>
  <c r="N52" s="1"/>
  <c r="O52" s="1"/>
  <c r="D58" i="21"/>
  <c r="E48" i="35"/>
  <c r="D63" i="40"/>
  <c r="C65"/>
  <c r="D58" i="33"/>
  <c r="E58" s="1"/>
  <c r="F58" s="1"/>
  <c r="G58" s="1"/>
  <c r="H58" s="1"/>
  <c r="I58" s="1"/>
  <c r="J58" s="1"/>
  <c r="K58" s="1"/>
  <c r="L58" s="1"/>
  <c r="M58" s="1"/>
  <c r="N58" s="1"/>
  <c r="O58" s="1"/>
  <c r="K4" i="4"/>
  <c r="B46" i="48" s="1"/>
  <c r="B4" i="72" s="1"/>
  <c r="B4" i="62"/>
  <c r="B71" i="72" s="1"/>
  <c r="D9" i="53"/>
  <c r="B25" i="72" s="1"/>
  <c r="B24"/>
  <c r="K120" i="9"/>
  <c r="Y16" i="71"/>
  <c r="Z16" s="1"/>
  <c r="Y15"/>
  <c r="Z15" s="1"/>
  <c r="AA16"/>
  <c r="AB3"/>
  <c r="X16"/>
  <c r="AB16"/>
  <c r="Y3"/>
  <c r="Z3" s="1"/>
  <c r="F16"/>
  <c r="F15" s="1"/>
  <c r="F14" s="1"/>
  <c r="F13" s="1"/>
  <c r="F12" s="1"/>
  <c r="F11" s="1"/>
  <c r="F10" s="1"/>
  <c r="F9" s="1"/>
  <c r="F8" s="1"/>
  <c r="F7" s="1"/>
  <c r="F6" s="1"/>
  <c r="F5" s="1"/>
  <c r="AF3"/>
  <c r="P26" i="43" s="1"/>
  <c r="Q71" i="15"/>
  <c r="B20" i="31"/>
  <c r="B21" s="1"/>
  <c r="I1" i="73"/>
  <c r="B39" i="1" s="1"/>
  <c r="F51" i="67"/>
  <c r="F65"/>
  <c r="J53"/>
  <c r="J57"/>
  <c r="J55" s="1"/>
  <c r="J58" s="1"/>
  <c r="Q50" s="1"/>
  <c r="L56"/>
  <c r="I54"/>
  <c r="F51" i="15"/>
  <c r="F71"/>
  <c r="F66" i="67"/>
  <c r="L59" i="15"/>
  <c r="N59"/>
  <c r="M59"/>
  <c r="F66"/>
  <c r="Q71" i="67"/>
  <c r="F64" i="15"/>
  <c r="C27" i="67"/>
  <c r="C27" i="15"/>
  <c r="F65"/>
  <c r="B13" i="70"/>
  <c r="F68" i="67"/>
  <c r="F64"/>
  <c r="F68" i="15"/>
  <c r="C36" i="68"/>
  <c r="D9"/>
  <c r="D6" i="73"/>
  <c r="D9" i="69"/>
  <c r="D5" i="73"/>
  <c r="F7" i="15"/>
  <c r="F27" i="69"/>
  <c r="F13" i="15"/>
  <c r="D3" i="73"/>
  <c r="F7" i="67"/>
  <c r="F42"/>
  <c r="F42" i="15"/>
  <c r="D4" i="73"/>
  <c r="F16" i="15"/>
  <c r="L47" i="67"/>
  <c r="J15" i="15"/>
  <c r="M24"/>
  <c r="D7" i="73"/>
  <c r="L48" i="15"/>
  <c r="M8"/>
  <c r="C36" i="69"/>
  <c r="M29" i="15"/>
  <c r="F43" i="67"/>
  <c r="F6" i="15"/>
  <c r="AC28" i="21" l="1"/>
  <c r="AC26"/>
  <c r="E109" i="3"/>
  <c r="E572"/>
  <c r="E377"/>
  <c r="E273"/>
  <c r="E211"/>
  <c r="E182"/>
  <c r="E70"/>
  <c r="E28"/>
  <c r="E489"/>
  <c r="E531"/>
  <c r="E557"/>
  <c r="E432"/>
  <c r="E411"/>
  <c r="E379"/>
  <c r="E207"/>
  <c r="E397"/>
  <c r="E14"/>
  <c r="E257"/>
  <c r="E168"/>
  <c r="E471"/>
  <c r="E438"/>
  <c r="E313"/>
  <c r="E352"/>
  <c r="E441"/>
  <c r="E44"/>
  <c r="E384"/>
  <c r="E331"/>
  <c r="E210"/>
  <c r="E186"/>
  <c r="E162"/>
  <c r="E27"/>
  <c r="E447"/>
  <c r="E476"/>
  <c r="AS6"/>
  <c r="E505"/>
  <c r="E414"/>
  <c r="E515"/>
  <c r="E107"/>
  <c r="E269"/>
  <c r="E567"/>
  <c r="E318"/>
  <c r="E279"/>
  <c r="E111"/>
  <c r="E537"/>
  <c r="E474"/>
  <c r="E224"/>
  <c r="E136"/>
  <c r="E480"/>
  <c r="E30"/>
  <c r="E334"/>
  <c r="E316"/>
  <c r="E295"/>
  <c r="E166"/>
  <c r="E121"/>
  <c r="E88"/>
  <c r="E404"/>
  <c r="E444"/>
  <c r="E581"/>
  <c r="E367"/>
  <c r="E548"/>
  <c r="U6"/>
  <c r="E145"/>
  <c r="E196"/>
  <c r="E93"/>
  <c r="E357"/>
  <c r="E208"/>
  <c r="E54"/>
  <c r="W6"/>
  <c r="E529"/>
  <c r="E157"/>
  <c r="E461"/>
  <c r="J57" i="15"/>
  <c r="J55" s="1"/>
  <c r="J58" s="1"/>
  <c r="Q50" s="1"/>
  <c r="I54"/>
  <c r="J53"/>
  <c r="L56" s="1"/>
  <c r="L58"/>
  <c r="Q73" s="1"/>
  <c r="M7"/>
  <c r="J6" s="1"/>
  <c r="F50"/>
  <c r="F59" s="1"/>
  <c r="M7" i="67"/>
  <c r="J6" s="1"/>
  <c r="C6"/>
  <c r="F50"/>
  <c r="F59" s="1"/>
  <c r="F31"/>
  <c r="F31" i="15"/>
  <c r="C6"/>
  <c r="F71" i="67"/>
  <c r="L59"/>
  <c r="Q74" s="1"/>
  <c r="N59"/>
  <c r="L58"/>
  <c r="Q60" s="1"/>
  <c r="M59"/>
  <c r="N67" i="71"/>
  <c r="B66"/>
  <c r="AZ27" i="3"/>
  <c r="C52" i="71"/>
  <c r="D51"/>
  <c r="C39"/>
  <c r="D38"/>
  <c r="AA37" i="39"/>
  <c r="S37"/>
  <c r="AZ403" i="3"/>
  <c r="AZ36"/>
  <c r="C31" i="71"/>
  <c r="D30"/>
  <c r="B27"/>
  <c r="B26" s="1"/>
  <c r="S28"/>
  <c r="AZ281" i="3"/>
  <c r="AZ222"/>
  <c r="AC12" i="21"/>
  <c r="W12"/>
  <c r="C60" i="71"/>
  <c r="D59"/>
  <c r="C26"/>
  <c r="D26" s="1"/>
  <c r="D27"/>
  <c r="D34"/>
  <c r="C35"/>
  <c r="AZ96" i="3"/>
  <c r="D64" i="71"/>
  <c r="T64"/>
  <c r="AZ489" i="3"/>
  <c r="AZ259"/>
  <c r="AZ477"/>
  <c r="J7" i="36"/>
  <c r="W7" s="1"/>
  <c r="BL5" i="3"/>
  <c r="B19" i="71"/>
  <c r="B18" s="1"/>
  <c r="B17" s="1"/>
  <c r="B16" s="1"/>
  <c r="S20"/>
  <c r="C78"/>
  <c r="D78" s="1"/>
  <c r="D79"/>
  <c r="D71"/>
  <c r="C70"/>
  <c r="D70" s="1"/>
  <c r="AZ43" i="3"/>
  <c r="AZ5" s="1"/>
  <c r="AA40" i="40"/>
  <c r="S40"/>
  <c r="AB40"/>
  <c r="U40"/>
  <c r="AC36" i="35"/>
  <c r="W36"/>
  <c r="AA35" i="21"/>
  <c r="S35"/>
  <c r="S32"/>
  <c r="E558" i="3"/>
  <c r="E345"/>
  <c r="E443"/>
  <c r="E400"/>
  <c r="P6"/>
  <c r="E485"/>
  <c r="E448"/>
  <c r="AO6"/>
  <c r="AG6"/>
  <c r="Z6"/>
  <c r="E576"/>
  <c r="E327"/>
  <c r="E164"/>
  <c r="E204"/>
  <c r="E252"/>
  <c r="E89"/>
  <c r="E236"/>
  <c r="E368"/>
  <c r="I6"/>
  <c r="E227"/>
  <c r="E32"/>
  <c r="E74"/>
  <c r="E580"/>
  <c r="E362"/>
  <c r="E394"/>
  <c r="E315"/>
  <c r="E274"/>
  <c r="E214"/>
  <c r="E256"/>
  <c r="E171"/>
  <c r="E203"/>
  <c r="E146"/>
  <c r="E73"/>
  <c r="E72"/>
  <c r="E433"/>
  <c r="E450"/>
  <c r="E571"/>
  <c r="E562"/>
  <c r="E457"/>
  <c r="E527"/>
  <c r="E458"/>
  <c r="E573"/>
  <c r="E519"/>
  <c r="E193"/>
  <c r="E45"/>
  <c r="E99"/>
  <c r="E511"/>
  <c r="E314"/>
  <c r="E85"/>
  <c r="E122"/>
  <c r="S26" i="21"/>
  <c r="AA26"/>
  <c r="U32"/>
  <c r="AB26"/>
  <c r="U26"/>
  <c r="E106" i="3"/>
  <c r="E55"/>
  <c r="E454"/>
  <c r="E496"/>
  <c r="E468"/>
  <c r="E429"/>
  <c r="E577"/>
  <c r="AE6"/>
  <c r="E587"/>
  <c r="E344"/>
  <c r="E465"/>
  <c r="E424"/>
  <c r="E406"/>
  <c r="E481"/>
  <c r="E472"/>
  <c r="E437"/>
  <c r="E560"/>
  <c r="Q6"/>
  <c r="K6"/>
  <c r="E330"/>
  <c r="E133"/>
  <c r="E177"/>
  <c r="E277"/>
  <c r="E120"/>
  <c r="E228"/>
  <c r="E262"/>
  <c r="AK6"/>
  <c r="E128"/>
  <c r="E545"/>
  <c r="E434"/>
  <c r="E181"/>
  <c r="E238"/>
  <c r="E453"/>
  <c r="E253"/>
  <c r="E59" i="40"/>
  <c r="AB12" i="21"/>
  <c r="U12"/>
  <c r="F7" i="36"/>
  <c r="J7" i="37"/>
  <c r="AC7" s="1"/>
  <c r="V42" s="1"/>
  <c r="I42" s="1"/>
  <c r="H7" i="36"/>
  <c r="G26" i="43"/>
  <c r="F48" i="9"/>
  <c r="O52" s="1"/>
  <c r="F30" i="68"/>
  <c r="F28" i="67"/>
  <c r="C28" s="1"/>
  <c r="F52" i="9"/>
  <c r="F32" i="67"/>
  <c r="F60" s="1"/>
  <c r="F32" i="15"/>
  <c r="F60" s="1"/>
  <c r="F28"/>
  <c r="C28" s="1"/>
  <c r="F54" i="9"/>
  <c r="F30" i="11"/>
  <c r="F31" i="12"/>
  <c r="C31" s="1"/>
  <c r="M18" i="67"/>
  <c r="F30" i="69"/>
  <c r="M18" i="15"/>
  <c r="D68" i="9"/>
  <c r="E568" i="3"/>
  <c r="E156"/>
  <c r="K1" i="73"/>
  <c r="B15" i="71"/>
  <c r="B14" s="1"/>
  <c r="B13" s="1"/>
  <c r="B12" s="1"/>
  <c r="S16"/>
  <c r="D43"/>
  <c r="C44"/>
  <c r="AB39" i="40"/>
  <c r="U39"/>
  <c r="AC44" i="39"/>
  <c r="W44"/>
  <c r="U44"/>
  <c r="AB44"/>
  <c r="AB26" i="37"/>
  <c r="U26"/>
  <c r="U12" i="33"/>
  <c r="AB12"/>
  <c r="U36" i="39"/>
  <c r="AB36"/>
  <c r="W31"/>
  <c r="AC31"/>
  <c r="AB31"/>
  <c r="U31"/>
  <c r="W25" i="37"/>
  <c r="AC25"/>
  <c r="AB24" i="36"/>
  <c r="U24"/>
  <c r="AC24"/>
  <c r="W24"/>
  <c r="U12"/>
  <c r="AB12"/>
  <c r="AA23" i="35"/>
  <c r="S23"/>
  <c r="U23"/>
  <c r="AB23"/>
  <c r="AC38" i="40"/>
  <c r="W38"/>
  <c r="AA27" i="34"/>
  <c r="S27"/>
  <c r="AB26" i="33"/>
  <c r="U26"/>
  <c r="E510" i="3"/>
  <c r="E539"/>
  <c r="E165"/>
  <c r="E536"/>
  <c r="E244"/>
  <c r="E148"/>
  <c r="E149"/>
  <c r="E212"/>
  <c r="E167"/>
  <c r="E199"/>
  <c r="E141"/>
  <c r="E286"/>
  <c r="E312"/>
  <c r="E575"/>
  <c r="AD6"/>
  <c r="E499"/>
  <c r="E542"/>
  <c r="R6"/>
  <c r="E552"/>
  <c r="E502"/>
  <c r="E421"/>
  <c r="E442"/>
  <c r="E464"/>
  <c r="E466"/>
  <c r="E487"/>
  <c r="E541"/>
  <c r="E398"/>
  <c r="E430"/>
  <c r="E449"/>
  <c r="E459"/>
  <c r="E255"/>
  <c r="E374"/>
  <c r="I3" i="6"/>
  <c r="E566" i="3"/>
  <c r="AP6"/>
  <c r="E554"/>
  <c r="E582"/>
  <c r="E413"/>
  <c r="E460"/>
  <c r="E417"/>
  <c r="E39"/>
  <c r="E90"/>
  <c r="E57"/>
  <c r="E131"/>
  <c r="E187"/>
  <c r="E155"/>
  <c r="E240"/>
  <c r="E241"/>
  <c r="E259"/>
  <c r="E348"/>
  <c r="E378"/>
  <c r="E375"/>
  <c r="E504"/>
  <c r="E58"/>
  <c r="E110"/>
  <c r="E488"/>
  <c r="E462"/>
  <c r="E521"/>
  <c r="E467"/>
  <c r="E64"/>
  <c r="E46"/>
  <c r="E65"/>
  <c r="E160"/>
  <c r="E142"/>
  <c r="E200"/>
  <c r="E267"/>
  <c r="E249"/>
  <c r="E266"/>
  <c r="E371"/>
  <c r="E354"/>
  <c r="E584"/>
  <c r="E66"/>
  <c r="E24"/>
  <c r="E33"/>
  <c r="E144"/>
  <c r="E250"/>
  <c r="E284"/>
  <c r="E329"/>
  <c r="E205"/>
  <c r="E16"/>
  <c r="E296"/>
  <c r="E188"/>
  <c r="E140"/>
  <c r="E223"/>
  <c r="E197"/>
  <c r="E116"/>
  <c r="E173"/>
  <c r="E105"/>
  <c r="E369"/>
  <c r="E393"/>
  <c r="E525"/>
  <c r="E493"/>
  <c r="E534"/>
  <c r="E564"/>
  <c r="T6"/>
  <c r="E543"/>
  <c r="E405"/>
  <c r="E427"/>
  <c r="E456"/>
  <c r="E486"/>
  <c r="E469"/>
  <c r="E507"/>
  <c r="E512"/>
  <c r="E422"/>
  <c r="E408"/>
  <c r="E440"/>
  <c r="E451"/>
  <c r="E490"/>
  <c r="E360"/>
  <c r="E376"/>
  <c r="E556"/>
  <c r="AH6"/>
  <c r="E497"/>
  <c r="J6"/>
  <c r="E13"/>
  <c r="E498"/>
  <c r="E494"/>
  <c r="E419"/>
  <c r="E452"/>
  <c r="E483"/>
  <c r="E470"/>
  <c r="E401"/>
  <c r="E420"/>
  <c r="E463"/>
  <c r="E26"/>
  <c r="E40"/>
  <c r="E104"/>
  <c r="E25"/>
  <c r="E41"/>
  <c r="E108"/>
  <c r="E115"/>
  <c r="E178"/>
  <c r="E198"/>
  <c r="E119"/>
  <c r="E139"/>
  <c r="E202"/>
  <c r="E225"/>
  <c r="E242"/>
  <c r="E281"/>
  <c r="E226"/>
  <c r="E243"/>
  <c r="E276"/>
  <c r="E332"/>
  <c r="E346"/>
  <c r="E391"/>
  <c r="E333"/>
  <c r="E356"/>
  <c r="E372"/>
  <c r="AL6"/>
  <c r="L6"/>
  <c r="E42"/>
  <c r="E60"/>
  <c r="E94"/>
  <c r="E43"/>
  <c r="E75"/>
  <c r="E540"/>
  <c r="E428"/>
  <c r="E473"/>
  <c r="E482"/>
  <c r="E15"/>
  <c r="E412"/>
  <c r="E455"/>
  <c r="E18"/>
  <c r="E79"/>
  <c r="E96"/>
  <c r="E38"/>
  <c r="E78"/>
  <c r="E100"/>
  <c r="E129"/>
  <c r="E170"/>
  <c r="E190"/>
  <c r="E137"/>
  <c r="E174"/>
  <c r="E194"/>
  <c r="E220"/>
  <c r="E234"/>
  <c r="E275"/>
  <c r="E219"/>
  <c r="E235"/>
  <c r="E299"/>
  <c r="E324"/>
  <c r="E339"/>
  <c r="E383"/>
  <c r="E325"/>
  <c r="E342"/>
  <c r="E392"/>
  <c r="E522"/>
  <c r="AQ6"/>
  <c r="E35"/>
  <c r="E52"/>
  <c r="E86"/>
  <c r="E36"/>
  <c r="E34"/>
  <c r="E112"/>
  <c r="E49"/>
  <c r="E123"/>
  <c r="E206"/>
  <c r="E147"/>
  <c r="E232"/>
  <c r="E289"/>
  <c r="E251"/>
  <c r="E340"/>
  <c r="E370"/>
  <c r="E364"/>
  <c r="AF6"/>
  <c r="E50"/>
  <c r="E102"/>
  <c r="E20"/>
  <c r="E80"/>
  <c r="E62"/>
  <c r="E113"/>
  <c r="E176"/>
  <c r="E158"/>
  <c r="E218"/>
  <c r="E287"/>
  <c r="E265"/>
  <c r="E308"/>
  <c r="E365"/>
  <c r="E326"/>
  <c r="E524"/>
  <c r="E22"/>
  <c r="E101"/>
  <c r="E83"/>
  <c r="E416"/>
  <c r="E500"/>
  <c r="E517"/>
  <c r="E435"/>
  <c r="E491"/>
  <c r="E520"/>
  <c r="E436"/>
  <c r="E479"/>
  <c r="E56"/>
  <c r="E37"/>
  <c r="E95"/>
  <c r="E152"/>
  <c r="E132"/>
  <c r="E192"/>
  <c r="E258"/>
  <c r="E297"/>
  <c r="E292"/>
  <c r="E363"/>
  <c r="E349"/>
  <c r="E389"/>
  <c r="E544"/>
  <c r="E76"/>
  <c r="E59"/>
  <c r="E409"/>
  <c r="E484"/>
  <c r="E425"/>
  <c r="E446"/>
  <c r="E47"/>
  <c r="E98"/>
  <c r="E103"/>
  <c r="E138"/>
  <c r="E195"/>
  <c r="E163"/>
  <c r="E248"/>
  <c r="E209"/>
  <c r="E300"/>
  <c r="E307"/>
  <c r="E386"/>
  <c r="E310"/>
  <c r="E492"/>
  <c r="E23"/>
  <c r="E84"/>
  <c r="E67"/>
  <c r="E48"/>
  <c r="E87"/>
  <c r="E127"/>
  <c r="E184"/>
  <c r="E233"/>
  <c r="E355"/>
  <c r="E341"/>
  <c r="Y6"/>
  <c r="E51"/>
  <c r="E19"/>
  <c r="E154"/>
  <c r="E179"/>
  <c r="E222"/>
  <c r="E323"/>
  <c r="E373"/>
  <c r="E82"/>
  <c r="E68"/>
  <c r="E63"/>
  <c r="E118"/>
  <c r="E264"/>
  <c r="E309"/>
  <c r="E21"/>
  <c r="E381"/>
  <c r="E81"/>
  <c r="E283"/>
  <c r="E513"/>
  <c r="D21" i="71"/>
  <c r="C20"/>
  <c r="E15"/>
  <c r="E14" s="1"/>
  <c r="E13" s="1"/>
  <c r="E12" s="1"/>
  <c r="V16"/>
  <c r="F66"/>
  <c r="Q67"/>
  <c r="D55"/>
  <c r="C56"/>
  <c r="AC39" i="40"/>
  <c r="W39"/>
  <c r="AA44" i="39"/>
  <c r="S44"/>
  <c r="AA26" i="37"/>
  <c r="S26"/>
  <c r="AC26"/>
  <c r="W26"/>
  <c r="AC12" i="33"/>
  <c r="W12"/>
  <c r="AC36" i="39"/>
  <c r="W36"/>
  <c r="S36"/>
  <c r="AA36"/>
  <c r="AA31"/>
  <c r="S31"/>
  <c r="AA25" i="37"/>
  <c r="S25"/>
  <c r="U25"/>
  <c r="AB25"/>
  <c r="AA24" i="36"/>
  <c r="S24"/>
  <c r="S12"/>
  <c r="AA12"/>
  <c r="W12"/>
  <c r="AC12"/>
  <c r="AC23" i="35"/>
  <c r="W23"/>
  <c r="AZ548" i="3"/>
  <c r="BA5"/>
  <c r="E27" i="6" s="1"/>
  <c r="K26" s="1"/>
  <c r="M26" s="1"/>
  <c r="I26" s="1"/>
  <c r="S26" s="1"/>
  <c r="U38" i="40"/>
  <c r="AB38"/>
  <c r="S38"/>
  <c r="AA38"/>
  <c r="W27" i="34"/>
  <c r="AC27"/>
  <c r="AC26" i="33"/>
  <c r="W26"/>
  <c r="E61" i="43"/>
  <c r="B59" s="1"/>
  <c r="B116"/>
  <c r="Z7"/>
  <c r="E30" i="6"/>
  <c r="E56" i="39"/>
  <c r="H7" i="34"/>
  <c r="AB7" s="1"/>
  <c r="T49" s="1"/>
  <c r="G49" s="1"/>
  <c r="E67" i="39"/>
  <c r="E69" s="1"/>
  <c r="J7" i="34"/>
  <c r="W7" s="1"/>
  <c r="F7"/>
  <c r="S7" s="1"/>
  <c r="AA26" i="35"/>
  <c r="S26"/>
  <c r="AC26"/>
  <c r="W26"/>
  <c r="AB26"/>
  <c r="U26"/>
  <c r="E61" i="39"/>
  <c r="E56" i="40"/>
  <c r="C47" i="69"/>
  <c r="D45" s="1"/>
  <c r="C9"/>
  <c r="B29" i="1" s="1"/>
  <c r="C8" i="68" s="1"/>
  <c r="C5" s="1"/>
  <c r="C9"/>
  <c r="E72" i="43"/>
  <c r="B70" s="1"/>
  <c r="C29" i="69"/>
  <c r="D27" s="1"/>
  <c r="F45"/>
  <c r="F27" i="11"/>
  <c r="C29" s="1"/>
  <c r="D27" s="1"/>
  <c r="F28" i="12"/>
  <c r="C29" s="1"/>
  <c r="D28" s="1"/>
  <c r="E60" i="40"/>
  <c r="F31" i="6"/>
  <c r="E51" i="40"/>
  <c r="E16" i="6"/>
  <c r="E58" i="40"/>
  <c r="E62" i="39"/>
  <c r="M14" i="1"/>
  <c r="D5" i="43"/>
  <c r="J10" i="40"/>
  <c r="AC10" s="1"/>
  <c r="H10" i="39"/>
  <c r="U10" s="1"/>
  <c r="F10" i="40"/>
  <c r="S10" s="1"/>
  <c r="J10" i="39"/>
  <c r="W10" s="1"/>
  <c r="H10" i="40"/>
  <c r="AB10" s="1"/>
  <c r="D26" i="43"/>
  <c r="C25" s="1"/>
  <c r="C7"/>
  <c r="C5" s="1"/>
  <c r="D10" i="52"/>
  <c r="D125" i="9"/>
  <c r="D11" i="52" s="1"/>
  <c r="B7" i="74"/>
  <c r="C7" s="1"/>
  <c r="F67" i="39"/>
  <c r="H7" i="37"/>
  <c r="AB7" s="1"/>
  <c r="T42" s="1"/>
  <c r="G42" s="1"/>
  <c r="S10" i="39"/>
  <c r="AA10"/>
  <c r="H7" i="33"/>
  <c r="J7"/>
  <c r="D65" i="40"/>
  <c r="E63"/>
  <c r="F48" i="35"/>
  <c r="S7" i="36"/>
  <c r="AA7"/>
  <c r="R36" s="1"/>
  <c r="AB7"/>
  <c r="T36" s="1"/>
  <c r="G36" s="1"/>
  <c r="U7"/>
  <c r="F7" i="33"/>
  <c r="E58" i="21"/>
  <c r="AC7" i="36"/>
  <c r="V36" s="1"/>
  <c r="I36" s="1"/>
  <c r="F7" i="37"/>
  <c r="P28" i="43"/>
  <c r="B66" i="40" s="1"/>
  <c r="P25" i="43"/>
  <c r="P29"/>
  <c r="P27"/>
  <c r="B70" i="39" s="1"/>
  <c r="C32" i="67"/>
  <c r="M11"/>
  <c r="J10" s="1"/>
  <c r="F11" i="15"/>
  <c r="M11"/>
  <c r="J10" s="1"/>
  <c r="F11" i="67"/>
  <c r="C32" i="15"/>
  <c r="F1" i="67"/>
  <c r="Q52"/>
  <c r="Q74" i="15"/>
  <c r="Q61"/>
  <c r="AE11" i="1"/>
  <c r="AE9"/>
  <c r="F27" i="68"/>
  <c r="AE7" i="1"/>
  <c r="AE8"/>
  <c r="AE12"/>
  <c r="AE10"/>
  <c r="G1" i="73"/>
  <c r="AE6" i="1"/>
  <c r="C16" i="15"/>
  <c r="C16" i="67"/>
  <c r="J18" i="15" l="1"/>
  <c r="J18" i="67"/>
  <c r="C49"/>
  <c r="H6" i="3"/>
  <c r="E6" s="1"/>
  <c r="AC6"/>
  <c r="F1" i="15"/>
  <c r="J5" i="67"/>
  <c r="J24" s="1"/>
  <c r="J5" i="15"/>
  <c r="J24" s="1"/>
  <c r="Q52"/>
  <c r="M17"/>
  <c r="M17" i="67"/>
  <c r="Q61"/>
  <c r="C49" i="15"/>
  <c r="C31" i="67"/>
  <c r="Q73"/>
  <c r="Q60" i="15"/>
  <c r="AY6" i="3"/>
  <c r="E3" i="6"/>
  <c r="T60" i="71"/>
  <c r="D60"/>
  <c r="C32"/>
  <c r="D31"/>
  <c r="W7" i="37"/>
  <c r="T52" i="71"/>
  <c r="D52"/>
  <c r="C36"/>
  <c r="D35"/>
  <c r="C40"/>
  <c r="D39"/>
  <c r="N65"/>
  <c r="N66"/>
  <c r="C28" i="43"/>
  <c r="T15" s="1"/>
  <c r="V15" s="1"/>
  <c r="F48" i="69"/>
  <c r="F48" i="68"/>
  <c r="C30"/>
  <c r="C48"/>
  <c r="C48" i="11"/>
  <c r="C30"/>
  <c r="B40" i="1"/>
  <c r="L36" i="43" s="1"/>
  <c r="P36" s="1"/>
  <c r="E65" i="39"/>
  <c r="T56" i="71"/>
  <c r="D56"/>
  <c r="E11"/>
  <c r="E10" s="1"/>
  <c r="E9" s="1"/>
  <c r="E8" s="1"/>
  <c r="E7" s="1"/>
  <c r="E6" s="1"/>
  <c r="E5" s="1"/>
  <c r="V12"/>
  <c r="B11"/>
  <c r="B10" s="1"/>
  <c r="B9" s="1"/>
  <c r="B8" s="1"/>
  <c r="B7" s="1"/>
  <c r="B6" s="1"/>
  <c r="B5" s="1"/>
  <c r="S12"/>
  <c r="Q66"/>
  <c r="Q65"/>
  <c r="C19"/>
  <c r="T20"/>
  <c r="D20"/>
  <c r="U20" s="1"/>
  <c r="T44"/>
  <c r="D44"/>
  <c r="AC7" i="34"/>
  <c r="V49" s="1"/>
  <c r="I49" s="1"/>
  <c r="U7"/>
  <c r="AA7"/>
  <c r="R49" s="1"/>
  <c r="R50" s="1"/>
  <c r="I122" i="43"/>
  <c r="J122" s="1"/>
  <c r="K122" s="1"/>
  <c r="L122" s="1"/>
  <c r="M122" s="1"/>
  <c r="I121"/>
  <c r="J121" s="1"/>
  <c r="K121" s="1"/>
  <c r="L121" s="1"/>
  <c r="M121" s="1"/>
  <c r="D119"/>
  <c r="E119" s="1"/>
  <c r="F119" s="1"/>
  <c r="G119" s="1"/>
  <c r="H119" s="1"/>
  <c r="B119"/>
  <c r="C119" s="1"/>
  <c r="G121"/>
  <c r="H121" s="1"/>
  <c r="I120"/>
  <c r="J120" s="1"/>
  <c r="K120" s="1"/>
  <c r="L120" s="1"/>
  <c r="M120" s="1"/>
  <c r="D120"/>
  <c r="E120" s="1"/>
  <c r="F120" s="1"/>
  <c r="G120" s="1"/>
  <c r="H120" s="1"/>
  <c r="B120"/>
  <c r="C120" s="1"/>
  <c r="I119"/>
  <c r="J119" s="1"/>
  <c r="K119" s="1"/>
  <c r="L119" s="1"/>
  <c r="M119" s="1"/>
  <c r="I118"/>
  <c r="J118" s="1"/>
  <c r="K118" s="1"/>
  <c r="L118" s="1"/>
  <c r="M118" s="1"/>
  <c r="D121"/>
  <c r="E121" s="1"/>
  <c r="F121" s="1"/>
  <c r="B121"/>
  <c r="C121" s="1"/>
  <c r="D122"/>
  <c r="E122" s="1"/>
  <c r="F122" s="1"/>
  <c r="G122" s="1"/>
  <c r="H122" s="1"/>
  <c r="D118"/>
  <c r="E118" s="1"/>
  <c r="F118" s="1"/>
  <c r="G118" s="1"/>
  <c r="H118" s="1"/>
  <c r="B118"/>
  <c r="C118" s="1"/>
  <c r="B122"/>
  <c r="C122" s="1"/>
  <c r="AG11" i="1"/>
  <c r="AG9"/>
  <c r="AG10"/>
  <c r="AG8"/>
  <c r="AG12"/>
  <c r="AG7"/>
  <c r="AG6"/>
  <c r="C47" i="11"/>
  <c r="D45" s="1"/>
  <c r="K21" i="6"/>
  <c r="S8" i="1" s="1"/>
  <c r="E8" i="70" s="1"/>
  <c r="F45" i="68"/>
  <c r="C47"/>
  <c r="D45" s="1"/>
  <c r="C29"/>
  <c r="D27" s="1"/>
  <c r="K25" i="6"/>
  <c r="K20"/>
  <c r="K23"/>
  <c r="K22"/>
  <c r="E31"/>
  <c r="K24"/>
  <c r="K19"/>
  <c r="S6" i="1" s="1"/>
  <c r="O14"/>
  <c r="O16" s="1"/>
  <c r="M16"/>
  <c r="AY83" i="3"/>
  <c r="AY66"/>
  <c r="AY34"/>
  <c r="AY176"/>
  <c r="AY144"/>
  <c r="AY155"/>
  <c r="AY95"/>
  <c r="AY59"/>
  <c r="AY188"/>
  <c r="AY131"/>
  <c r="AY276"/>
  <c r="AY111"/>
  <c r="AY297"/>
  <c r="AY253"/>
  <c r="AY268"/>
  <c r="AY382"/>
  <c r="AY371"/>
  <c r="AY335"/>
  <c r="AY103"/>
  <c r="AY50"/>
  <c r="AY196"/>
  <c r="AY289"/>
  <c r="AY74"/>
  <c r="AY183"/>
  <c r="AY204"/>
  <c r="AY284"/>
  <c r="AY209"/>
  <c r="AY319"/>
  <c r="AY473"/>
  <c r="AY470"/>
  <c r="AY441"/>
  <c r="AY409"/>
  <c r="AY529"/>
  <c r="AY180"/>
  <c r="AY300"/>
  <c r="AY260"/>
  <c r="AY217"/>
  <c r="AY372"/>
  <c r="AY358"/>
  <c r="AY310"/>
  <c r="AY465"/>
  <c r="AY463"/>
  <c r="AY433"/>
  <c r="AY401"/>
  <c r="AY549"/>
  <c r="AY544"/>
  <c r="AY533"/>
  <c r="AY541"/>
  <c r="AY97"/>
  <c r="AY108"/>
  <c r="AY92"/>
  <c r="AY45"/>
  <c r="AY76"/>
  <c r="AY44"/>
  <c r="AY33"/>
  <c r="AY190"/>
  <c r="AY201"/>
  <c r="AY154"/>
  <c r="AY138"/>
  <c r="AY165"/>
  <c r="AY118"/>
  <c r="AY125"/>
  <c r="AY283"/>
  <c r="AY278"/>
  <c r="AY247"/>
  <c r="AY231"/>
  <c r="AY230"/>
  <c r="AY214"/>
  <c r="AY219"/>
  <c r="AY381"/>
  <c r="AY374"/>
  <c r="AY360"/>
  <c r="BH6"/>
  <c r="AY109"/>
  <c r="AY104"/>
  <c r="AY56"/>
  <c r="AY24"/>
  <c r="AY202"/>
  <c r="AY177"/>
  <c r="AY145"/>
  <c r="AY295"/>
  <c r="AY259"/>
  <c r="AY242"/>
  <c r="AY210"/>
  <c r="AY353"/>
  <c r="AY349"/>
  <c r="AY333"/>
  <c r="AY332"/>
  <c r="AY316"/>
  <c r="AY475"/>
  <c r="AY472"/>
  <c r="AY462"/>
  <c r="AY446"/>
  <c r="AY398"/>
  <c r="AY427"/>
  <c r="AY411"/>
  <c r="BM6"/>
  <c r="AY585"/>
  <c r="AY534"/>
  <c r="AY571"/>
  <c r="AY495"/>
  <c r="AY510"/>
  <c r="AY501"/>
  <c r="AY98"/>
  <c r="AY18"/>
  <c r="AY163"/>
  <c r="AY75"/>
  <c r="AY387"/>
  <c r="AY486"/>
  <c r="AY425"/>
  <c r="AY526"/>
  <c r="AY244"/>
  <c r="AY390"/>
  <c r="AY355"/>
  <c r="AY447"/>
  <c r="AY404"/>
  <c r="AY562"/>
  <c r="BO6"/>
  <c r="AY89"/>
  <c r="AY85"/>
  <c r="AY36"/>
  <c r="AY25"/>
  <c r="AY182"/>
  <c r="AY157"/>
  <c r="AY126"/>
  <c r="AY302"/>
  <c r="AY239"/>
  <c r="AY222"/>
  <c r="AY211"/>
  <c r="BS6"/>
  <c r="BI6"/>
  <c r="AY93"/>
  <c r="AY186"/>
  <c r="AY150"/>
  <c r="AY279"/>
  <c r="AY226"/>
  <c r="AY356"/>
  <c r="AY325"/>
  <c r="AY467"/>
  <c r="AY464"/>
  <c r="AY454"/>
  <c r="AY403"/>
  <c r="AY525"/>
  <c r="BN6"/>
  <c r="AY518"/>
  <c r="AY508"/>
  <c r="AY532"/>
  <c r="AY577"/>
  <c r="AY523"/>
  <c r="AY112"/>
  <c r="AY82"/>
  <c r="AY191"/>
  <c r="AY31"/>
  <c r="AY147"/>
  <c r="AY350"/>
  <c r="AY489"/>
  <c r="AY497"/>
  <c r="AY43"/>
  <c r="AY116"/>
  <c r="AY379"/>
  <c r="AY343"/>
  <c r="AY478"/>
  <c r="AY436"/>
  <c r="AY417"/>
  <c r="AY573"/>
  <c r="AY540"/>
  <c r="AY539"/>
  <c r="AY100"/>
  <c r="AY69"/>
  <c r="AY84"/>
  <c r="AY20"/>
  <c r="AY198"/>
  <c r="AY193"/>
  <c r="AY173"/>
  <c r="AY141"/>
  <c r="AY134"/>
  <c r="AY286"/>
  <c r="AY255"/>
  <c r="AY270"/>
  <c r="AY227"/>
  <c r="AY384"/>
  <c r="AY373"/>
  <c r="AY507"/>
  <c r="BB6"/>
  <c r="AY88"/>
  <c r="AY29"/>
  <c r="AY181"/>
  <c r="AY161"/>
  <c r="AY275"/>
  <c r="AY258"/>
  <c r="AY215"/>
  <c r="AY341"/>
  <c r="AY309"/>
  <c r="AY324"/>
  <c r="AY480"/>
  <c r="AY449"/>
  <c r="AY438"/>
  <c r="AY419"/>
  <c r="AY503"/>
  <c r="AY580"/>
  <c r="AY572"/>
  <c r="AY536"/>
  <c r="AY520"/>
  <c r="AY552"/>
  <c r="AY543"/>
  <c r="AY584"/>
  <c r="AY494"/>
  <c r="AY514"/>
  <c r="AY582"/>
  <c r="AY519"/>
  <c r="AY101"/>
  <c r="AY96"/>
  <c r="AY65"/>
  <c r="AY80"/>
  <c r="AY48"/>
  <c r="AY37"/>
  <c r="AY194"/>
  <c r="AY189"/>
  <c r="AY158"/>
  <c r="AY169"/>
  <c r="AY137"/>
  <c r="AY129"/>
  <c r="AY287"/>
  <c r="AY282"/>
  <c r="AY251"/>
  <c r="AY266"/>
  <c r="AY234"/>
  <c r="AY223"/>
  <c r="AY380"/>
  <c r="AY369"/>
  <c r="AY364"/>
  <c r="AY345"/>
  <c r="AY329"/>
  <c r="AY313"/>
  <c r="AY344"/>
  <c r="AY328"/>
  <c r="AY312"/>
  <c r="AY487"/>
  <c r="AY471"/>
  <c r="AY484"/>
  <c r="AY468"/>
  <c r="AY453"/>
  <c r="AY458"/>
  <c r="AY442"/>
  <c r="AY426"/>
  <c r="AY410"/>
  <c r="AY439"/>
  <c r="AY423"/>
  <c r="AY407"/>
  <c r="AY579"/>
  <c r="AY506"/>
  <c r="AY499"/>
  <c r="AY14"/>
  <c r="D3" i="6"/>
  <c r="AY524" i="3"/>
  <c r="AY502"/>
  <c r="AY565"/>
  <c r="AY509"/>
  <c r="AY542"/>
  <c r="BR6"/>
  <c r="AY570"/>
  <c r="AY531"/>
  <c r="AY578"/>
  <c r="BA6"/>
  <c r="AY99"/>
  <c r="AY94"/>
  <c r="AY63"/>
  <c r="AY78"/>
  <c r="AY46"/>
  <c r="AY35"/>
  <c r="AY192"/>
  <c r="AY187"/>
  <c r="AY156"/>
  <c r="AY167"/>
  <c r="AY135"/>
  <c r="AY127"/>
  <c r="AY285"/>
  <c r="AY280"/>
  <c r="AY249"/>
  <c r="AY264"/>
  <c r="AY232"/>
  <c r="AY221"/>
  <c r="AY378"/>
  <c r="AY376"/>
  <c r="AY362"/>
  <c r="AY331"/>
  <c r="AY346"/>
  <c r="AY314"/>
  <c r="AY469"/>
  <c r="AY466"/>
  <c r="AY456"/>
  <c r="AY424"/>
  <c r="AY437"/>
  <c r="AY405"/>
  <c r="AY558"/>
  <c r="AY517"/>
  <c r="AY560"/>
  <c r="AY512"/>
  <c r="BL6"/>
  <c r="AY587"/>
  <c r="AY91"/>
  <c r="AY86"/>
  <c r="AY55"/>
  <c r="AY70"/>
  <c r="AY38"/>
  <c r="AY27"/>
  <c r="AY184"/>
  <c r="AY179"/>
  <c r="AY148"/>
  <c r="AY159"/>
  <c r="AY128"/>
  <c r="AY119"/>
  <c r="AY277"/>
  <c r="AY273"/>
  <c r="AY241"/>
  <c r="AY256"/>
  <c r="AY224"/>
  <c r="AY213"/>
  <c r="AY391"/>
  <c r="AY367"/>
  <c r="AY354"/>
  <c r="AY323"/>
  <c r="AY338"/>
  <c r="AY306"/>
  <c r="AY490"/>
  <c r="AY459"/>
  <c r="AY448"/>
  <c r="AY416"/>
  <c r="AY429"/>
  <c r="AY550"/>
  <c r="BD6"/>
  <c r="BC6"/>
  <c r="AY511"/>
  <c r="AY504"/>
  <c r="AY586"/>
  <c r="AY498"/>
  <c r="AY32"/>
  <c r="AY205"/>
  <c r="AY142"/>
  <c r="AY122"/>
  <c r="AY298"/>
  <c r="AY235"/>
  <c r="AY218"/>
  <c r="AY385"/>
  <c r="AY352"/>
  <c r="AY321"/>
  <c r="AY336"/>
  <c r="AY304"/>
  <c r="AY492"/>
  <c r="AY461"/>
  <c r="AY450"/>
  <c r="AY418"/>
  <c r="AY431"/>
  <c r="AY399"/>
  <c r="AY17"/>
  <c r="AY564"/>
  <c r="AY575"/>
  <c r="AY537"/>
  <c r="AY530"/>
  <c r="AY548"/>
  <c r="AY563"/>
  <c r="AY110"/>
  <c r="AY47"/>
  <c r="AY30"/>
  <c r="AY203"/>
  <c r="AY140"/>
  <c r="AY120"/>
  <c r="AY296"/>
  <c r="AY233"/>
  <c r="AY216"/>
  <c r="AY383"/>
  <c r="AY347"/>
  <c r="AY330"/>
  <c r="AY482"/>
  <c r="AY440"/>
  <c r="AY421"/>
  <c r="AY13"/>
  <c r="AY528"/>
  <c r="AY576"/>
  <c r="AY102"/>
  <c r="AY39"/>
  <c r="AY22"/>
  <c r="AY195"/>
  <c r="AY175"/>
  <c r="AY136"/>
  <c r="AY288"/>
  <c r="AY272"/>
  <c r="AY208"/>
  <c r="AY375"/>
  <c r="AY339"/>
  <c r="AY322"/>
  <c r="AY474"/>
  <c r="AY432"/>
  <c r="AY413"/>
  <c r="AY15"/>
  <c r="AY583"/>
  <c r="AY567"/>
  <c r="AY64"/>
  <c r="AY21"/>
  <c r="AY174"/>
  <c r="AY153"/>
  <c r="AY113"/>
  <c r="AY267"/>
  <c r="AY250"/>
  <c r="AY396"/>
  <c r="AY361"/>
  <c r="AY337"/>
  <c r="AY305"/>
  <c r="AY320"/>
  <c r="AY479"/>
  <c r="AY476"/>
  <c r="AY445"/>
  <c r="AY434"/>
  <c r="AY402"/>
  <c r="AY415"/>
  <c r="AY505"/>
  <c r="AY538"/>
  <c r="AY522"/>
  <c r="AY515"/>
  <c r="AY551"/>
  <c r="AY545"/>
  <c r="BP6"/>
  <c r="AY493"/>
  <c r="AY79"/>
  <c r="AY62"/>
  <c r="AY19"/>
  <c r="AY172"/>
  <c r="AY151"/>
  <c r="AY301"/>
  <c r="AY265"/>
  <c r="AY248"/>
  <c r="AY394"/>
  <c r="AY359"/>
  <c r="AY315"/>
  <c r="AY485"/>
  <c r="AY451"/>
  <c r="AY408"/>
  <c r="AY500"/>
  <c r="AY547"/>
  <c r="AY568"/>
  <c r="AY107"/>
  <c r="AY71"/>
  <c r="AY54"/>
  <c r="AY200"/>
  <c r="AY164"/>
  <c r="AY143"/>
  <c r="AY293"/>
  <c r="AY257"/>
  <c r="AY240"/>
  <c r="AY386"/>
  <c r="AY351"/>
  <c r="AY307"/>
  <c r="AY477"/>
  <c r="AY443"/>
  <c r="AY400"/>
  <c r="AY521"/>
  <c r="AY566"/>
  <c r="BT6"/>
  <c r="D3" i="21"/>
  <c r="E6" i="6"/>
  <c r="D37" i="11"/>
  <c r="D14" i="12"/>
  <c r="M18" i="9"/>
  <c r="B118" s="1"/>
  <c r="B1" i="74" s="1"/>
  <c r="D3" i="34"/>
  <c r="D19" i="11"/>
  <c r="C19" s="1"/>
  <c r="L18" i="9"/>
  <c r="C17" i="4"/>
  <c r="B4" i="52" s="1"/>
  <c r="B43" i="72" s="1"/>
  <c r="D3" i="33"/>
  <c r="D3" i="37"/>
  <c r="AB10" i="39"/>
  <c r="AA10" i="40"/>
  <c r="U10"/>
  <c r="W10"/>
  <c r="AC10" i="39"/>
  <c r="U7" i="37"/>
  <c r="G67" i="39"/>
  <c r="F69"/>
  <c r="I53" i="34"/>
  <c r="J53" s="1"/>
  <c r="F58" i="21"/>
  <c r="R37" i="36"/>
  <c r="E36"/>
  <c r="F63" i="40"/>
  <c r="E65"/>
  <c r="W7" i="33"/>
  <c r="AC7"/>
  <c r="V48" s="1"/>
  <c r="I48" s="1"/>
  <c r="AA7" i="37"/>
  <c r="R42" s="1"/>
  <c r="S7"/>
  <c r="I40" i="36"/>
  <c r="J40" s="1"/>
  <c r="S7" i="33"/>
  <c r="AA7"/>
  <c r="R48" s="1"/>
  <c r="E49" i="34"/>
  <c r="G53"/>
  <c r="H53" s="1"/>
  <c r="G54"/>
  <c r="H54" s="1"/>
  <c r="G40" i="36"/>
  <c r="H40" s="1"/>
  <c r="G41"/>
  <c r="H41" s="1"/>
  <c r="G46" i="37"/>
  <c r="H46" s="1"/>
  <c r="G47"/>
  <c r="H47" s="1"/>
  <c r="I46"/>
  <c r="J46" s="1"/>
  <c r="G48" i="35"/>
  <c r="U7" i="33"/>
  <c r="AB7"/>
  <c r="T48" s="1"/>
  <c r="G48" s="1"/>
  <c r="C53" i="67"/>
  <c r="C10"/>
  <c r="C5" s="1"/>
  <c r="C38" s="1"/>
  <c r="C53" i="15"/>
  <c r="C10"/>
  <c r="C5" s="1"/>
  <c r="C38" s="1"/>
  <c r="F41" i="67"/>
  <c r="M27"/>
  <c r="F41" i="15"/>
  <c r="M27"/>
  <c r="C48" i="67" l="1"/>
  <c r="AY51" i="3"/>
  <c r="AY207"/>
  <c r="AY124"/>
  <c r="AY42"/>
  <c r="AY281"/>
  <c r="AY168"/>
  <c r="AY236"/>
  <c r="AY366"/>
  <c r="AY67"/>
  <c r="AY139"/>
  <c r="AY123"/>
  <c r="AY252"/>
  <c r="AY318"/>
  <c r="AY428"/>
  <c r="AY106"/>
  <c r="AY245"/>
  <c r="AY395"/>
  <c r="AY342"/>
  <c r="AY452"/>
  <c r="AY513"/>
  <c r="AY569"/>
  <c r="AY553"/>
  <c r="AY77"/>
  <c r="AY60"/>
  <c r="AY206"/>
  <c r="AY170"/>
  <c r="AY149"/>
  <c r="AY299"/>
  <c r="AY263"/>
  <c r="AY246"/>
  <c r="AY392"/>
  <c r="AY357"/>
  <c r="BJ6"/>
  <c r="AY41"/>
  <c r="AY197"/>
  <c r="AY114"/>
  <c r="AY274"/>
  <c r="AY377"/>
  <c r="AY317"/>
  <c r="AY491"/>
  <c r="AY457"/>
  <c r="AY414"/>
  <c r="AY581"/>
  <c r="AY561"/>
  <c r="AY546"/>
  <c r="AY16"/>
  <c r="AY171"/>
  <c r="AY237"/>
  <c r="AY444"/>
  <c r="AY269"/>
  <c r="AY311"/>
  <c r="AY535"/>
  <c r="AY555"/>
  <c r="AY68"/>
  <c r="AY178"/>
  <c r="AY117"/>
  <c r="AY254"/>
  <c r="AY365"/>
  <c r="AY57"/>
  <c r="AY130"/>
  <c r="AY393"/>
  <c r="AY308"/>
  <c r="AY422"/>
  <c r="AY516"/>
  <c r="AY559"/>
  <c r="AY496"/>
  <c r="AY81"/>
  <c r="AY132"/>
  <c r="AY220"/>
  <c r="AY412"/>
  <c r="AY229"/>
  <c r="AY326"/>
  <c r="AY557"/>
  <c r="AY105"/>
  <c r="AY52"/>
  <c r="AY162"/>
  <c r="AY291"/>
  <c r="AY238"/>
  <c r="AY368"/>
  <c r="AY72"/>
  <c r="AY121"/>
  <c r="AY370"/>
  <c r="AY483"/>
  <c r="AY406"/>
  <c r="AY212"/>
  <c r="AY455"/>
  <c r="AY292"/>
  <c r="AY49"/>
  <c r="AY556"/>
  <c r="AY527"/>
  <c r="AY435"/>
  <c r="AY340"/>
  <c r="AY243"/>
  <c r="AY40"/>
  <c r="AY389"/>
  <c r="AY271"/>
  <c r="AY146"/>
  <c r="AY53"/>
  <c r="AY574"/>
  <c r="AY481"/>
  <c r="AY199"/>
  <c r="AY334"/>
  <c r="AY90"/>
  <c r="BG6"/>
  <c r="BF6"/>
  <c r="BQ6"/>
  <c r="AY430"/>
  <c r="AY488"/>
  <c r="AY348"/>
  <c r="AY388"/>
  <c r="AY290"/>
  <c r="AY166"/>
  <c r="AY73"/>
  <c r="AY554"/>
  <c r="AY397"/>
  <c r="AY262"/>
  <c r="AY294"/>
  <c r="AY133"/>
  <c r="AY185"/>
  <c r="AY28"/>
  <c r="AY61"/>
  <c r="BE6"/>
  <c r="BK6"/>
  <c r="AY420"/>
  <c r="AY327"/>
  <c r="AY228"/>
  <c r="AY26"/>
  <c r="AY460"/>
  <c r="AY363"/>
  <c r="AY261"/>
  <c r="AY160"/>
  <c r="AY303"/>
  <c r="AY225"/>
  <c r="AY58"/>
  <c r="AY152"/>
  <c r="AY115"/>
  <c r="AY23"/>
  <c r="AY87"/>
  <c r="C48" i="15"/>
  <c r="C66" s="1"/>
  <c r="T36" i="71"/>
  <c r="D36"/>
  <c r="D116" i="43"/>
  <c r="T32" i="71"/>
  <c r="D32"/>
  <c r="T40"/>
  <c r="D40"/>
  <c r="F69" i="67"/>
  <c r="C38" i="43"/>
  <c r="E38" s="1"/>
  <c r="C33"/>
  <c r="C7" i="69" s="1"/>
  <c r="T12" i="43"/>
  <c r="V12" s="1"/>
  <c r="C39"/>
  <c r="G39" s="1"/>
  <c r="I39" s="1"/>
  <c r="T3"/>
  <c r="V3" s="1"/>
  <c r="T9"/>
  <c r="V9" s="1"/>
  <c r="C37"/>
  <c r="G37" s="1"/>
  <c r="I37" s="1"/>
  <c r="T6"/>
  <c r="V6" s="1"/>
  <c r="T8"/>
  <c r="V8" s="1"/>
  <c r="T16"/>
  <c r="V16" s="1"/>
  <c r="T13"/>
  <c r="V13" s="1"/>
  <c r="C42"/>
  <c r="E42" s="1"/>
  <c r="C41"/>
  <c r="G41" s="1"/>
  <c r="I41" s="1"/>
  <c r="C40"/>
  <c r="G40" s="1"/>
  <c r="I40" s="1"/>
  <c r="T5"/>
  <c r="V5" s="1"/>
  <c r="T2"/>
  <c r="V2" s="1"/>
  <c r="T4"/>
  <c r="V4" s="1"/>
  <c r="T10"/>
  <c r="V10" s="1"/>
  <c r="T14"/>
  <c r="V14" s="1"/>
  <c r="T7"/>
  <c r="V7" s="1"/>
  <c r="T11"/>
  <c r="V11" s="1"/>
  <c r="F22" i="68"/>
  <c r="F41" s="1"/>
  <c r="F25" i="12"/>
  <c r="C26" s="1"/>
  <c r="D25" s="1"/>
  <c r="F24" i="67"/>
  <c r="C24" s="1"/>
  <c r="F24" i="15"/>
  <c r="C24" s="1"/>
  <c r="F22" i="11"/>
  <c r="C23" s="1"/>
  <c r="F22" i="69"/>
  <c r="F41" s="1"/>
  <c r="O36" i="43"/>
  <c r="N36"/>
  <c r="L37"/>
  <c r="P37" s="1"/>
  <c r="M36"/>
  <c r="Q36"/>
  <c r="C18" i="71"/>
  <c r="D19"/>
  <c r="M21" i="6"/>
  <c r="I21" s="1"/>
  <c r="S21" s="1"/>
  <c r="E6" i="70"/>
  <c r="F69" i="15"/>
  <c r="M24" i="6"/>
  <c r="I24" s="1"/>
  <c r="S24" s="1"/>
  <c r="S11" i="1"/>
  <c r="E11" i="70" s="1"/>
  <c r="M22" i="6"/>
  <c r="I22" s="1"/>
  <c r="S22" s="1"/>
  <c r="S9" i="1"/>
  <c r="AQ8"/>
  <c r="T8"/>
  <c r="AR8"/>
  <c r="M20" i="6"/>
  <c r="I20" s="1"/>
  <c r="S20" s="1"/>
  <c r="S7" i="1"/>
  <c r="E7" i="70" s="1"/>
  <c r="AQ6" i="1"/>
  <c r="AR6"/>
  <c r="T6"/>
  <c r="M23" i="6"/>
  <c r="I23" s="1"/>
  <c r="S23" s="1"/>
  <c r="S10" i="1"/>
  <c r="E10" i="70" s="1"/>
  <c r="M25" i="6"/>
  <c r="I25" s="1"/>
  <c r="S25" s="1"/>
  <c r="S12" i="1"/>
  <c r="K27" i="6"/>
  <c r="M19"/>
  <c r="C20" i="11"/>
  <c r="C28" s="1"/>
  <c r="C27" s="1"/>
  <c r="D17" i="12"/>
  <c r="C17" s="1"/>
  <c r="D10" i="11"/>
  <c r="C10" s="1"/>
  <c r="D20" i="12"/>
  <c r="C20" s="1"/>
  <c r="C18" s="1"/>
  <c r="D25" i="6"/>
  <c r="D15"/>
  <c r="D22"/>
  <c r="D21"/>
  <c r="D24"/>
  <c r="D20"/>
  <c r="M19" i="9"/>
  <c r="C118" s="1"/>
  <c r="B2" i="74" s="1"/>
  <c r="D26" i="6"/>
  <c r="D8"/>
  <c r="D14"/>
  <c r="D6"/>
  <c r="D9"/>
  <c r="D10"/>
  <c r="L19" i="9"/>
  <c r="D29" i="6"/>
  <c r="H24"/>
  <c r="D19"/>
  <c r="C18" i="4"/>
  <c r="D23" i="6"/>
  <c r="D5"/>
  <c r="D12"/>
  <c r="D11"/>
  <c r="D13"/>
  <c r="D28"/>
  <c r="D30" s="1"/>
  <c r="E61" i="40"/>
  <c r="H26" i="6"/>
  <c r="P14" i="1"/>
  <c r="P16" s="1"/>
  <c r="C11" i="12" s="1"/>
  <c r="N16" i="1"/>
  <c r="L16"/>
  <c r="H67" i="39"/>
  <c r="G69"/>
  <c r="E54" i="34"/>
  <c r="F54" s="1"/>
  <c r="E53"/>
  <c r="F53" s="1"/>
  <c r="R49" i="33"/>
  <c r="E48"/>
  <c r="I53" s="1"/>
  <c r="J53" s="1"/>
  <c r="I52"/>
  <c r="J52" s="1"/>
  <c r="E40" i="36"/>
  <c r="F40" s="1"/>
  <c r="E41"/>
  <c r="F41" s="1"/>
  <c r="I54" i="34"/>
  <c r="J54" s="1"/>
  <c r="G52" i="33"/>
  <c r="H52" s="1"/>
  <c r="G53"/>
  <c r="H53" s="1"/>
  <c r="H48" i="35"/>
  <c r="C49" i="34"/>
  <c r="C50"/>
  <c r="I41" i="36"/>
  <c r="J41" s="1"/>
  <c r="R43" i="37"/>
  <c r="E42"/>
  <c r="G63" i="40"/>
  <c r="F65"/>
  <c r="C37" i="36"/>
  <c r="C36"/>
  <c r="G58" i="21"/>
  <c r="C60" i="15"/>
  <c r="C66" i="67"/>
  <c r="C60"/>
  <c r="D10" i="68"/>
  <c r="D10" i="69"/>
  <c r="C34"/>
  <c r="C14" i="67"/>
  <c r="C17" i="15"/>
  <c r="C17" i="67"/>
  <c r="H22" i="6" l="1"/>
  <c r="H21"/>
  <c r="E39" i="43"/>
  <c r="E40"/>
  <c r="G42"/>
  <c r="I42" s="1"/>
  <c r="G38"/>
  <c r="I38" s="1"/>
  <c r="E41"/>
  <c r="H25" i="6"/>
  <c r="R25" s="1"/>
  <c r="R12" i="1" s="1"/>
  <c r="E37" i="43"/>
  <c r="E33"/>
  <c r="C34"/>
  <c r="E34" s="1"/>
  <c r="C26" i="69"/>
  <c r="D22" s="1"/>
  <c r="C24" i="11"/>
  <c r="C44" i="68"/>
  <c r="D41" s="1"/>
  <c r="O37" i="43"/>
  <c r="C26" i="11"/>
  <c r="D22" s="1"/>
  <c r="C44"/>
  <c r="D41" s="1"/>
  <c r="C26" i="68"/>
  <c r="D22" s="1"/>
  <c r="M37" i="43"/>
  <c r="C25" i="11"/>
  <c r="C23" i="68"/>
  <c r="N37" i="43"/>
  <c r="Q37"/>
  <c r="C44" i="69"/>
  <c r="D41" s="1"/>
  <c r="C17" i="71"/>
  <c r="D18"/>
  <c r="C18" i="67"/>
  <c r="C15"/>
  <c r="H23" i="6"/>
  <c r="H20"/>
  <c r="R20" s="1"/>
  <c r="R7" i="1" s="1"/>
  <c r="C38" i="69"/>
  <c r="C35"/>
  <c r="E12" i="70"/>
  <c r="F34" i="11"/>
  <c r="F11" i="12"/>
  <c r="S16" i="1"/>
  <c r="E9" i="70"/>
  <c r="E2" s="1"/>
  <c r="AR9" i="1"/>
  <c r="AQ9"/>
  <c r="T9"/>
  <c r="AQ11"/>
  <c r="AR11"/>
  <c r="T11"/>
  <c r="AR12"/>
  <c r="T12"/>
  <c r="AQ12"/>
  <c r="AQ10"/>
  <c r="T10"/>
  <c r="AR10"/>
  <c r="AR7"/>
  <c r="AQ7"/>
  <c r="T7"/>
  <c r="M27" i="6"/>
  <c r="I19"/>
  <c r="D16"/>
  <c r="R26"/>
  <c r="R24"/>
  <c r="R11" i="1" s="1"/>
  <c r="R22" i="6"/>
  <c r="R9" i="1" s="1"/>
  <c r="C15" i="12"/>
  <c r="C12"/>
  <c r="R23" i="6"/>
  <c r="R10" i="1" s="1"/>
  <c r="D27" i="6"/>
  <c r="D31" s="1"/>
  <c r="D8" i="74"/>
  <c r="D7"/>
  <c r="R21" i="6"/>
  <c r="R8" i="1" s="1"/>
  <c r="C10" i="69"/>
  <c r="C8" s="1"/>
  <c r="C5" s="1"/>
  <c r="D19"/>
  <c r="F50"/>
  <c r="F50" i="11"/>
  <c r="F50" i="68"/>
  <c r="C4" i="52"/>
  <c r="B45" i="72" s="1"/>
  <c r="A10" i="51"/>
  <c r="B9" i="72" s="1"/>
  <c r="A7" i="51"/>
  <c r="B7" i="72" s="1"/>
  <c r="C10" i="68"/>
  <c r="D19"/>
  <c r="H69" i="39"/>
  <c r="I67"/>
  <c r="G65" i="40"/>
  <c r="H63"/>
  <c r="C43" i="37"/>
  <c r="C42"/>
  <c r="I48" i="35"/>
  <c r="C48" i="33"/>
  <c r="C49"/>
  <c r="H58" i="21"/>
  <c r="E47" i="37"/>
  <c r="F47" s="1"/>
  <c r="E46"/>
  <c r="F46" s="1"/>
  <c r="I47"/>
  <c r="J47" s="1"/>
  <c r="E53" i="33"/>
  <c r="F53" s="1"/>
  <c r="E52"/>
  <c r="F52" s="1"/>
  <c r="C33" i="15"/>
  <c r="C33" i="67"/>
  <c r="J19"/>
  <c r="C34" i="68"/>
  <c r="C14" i="15"/>
  <c r="C31" i="43" l="1"/>
  <c r="C30"/>
  <c r="C22" i="11"/>
  <c r="C31" s="1"/>
  <c r="D17" i="71"/>
  <c r="C16"/>
  <c r="C19" i="67"/>
  <c r="C20" s="1"/>
  <c r="C26" s="1"/>
  <c r="T16" i="1"/>
  <c r="C18" i="15"/>
  <c r="C15"/>
  <c r="C38" i="68"/>
  <c r="C35"/>
  <c r="C36" i="11"/>
  <c r="C37"/>
  <c r="C34"/>
  <c r="C23" i="12"/>
  <c r="C14"/>
  <c r="C16" s="1"/>
  <c r="C21" s="1"/>
  <c r="C22" s="1"/>
  <c r="H19" i="6"/>
  <c r="S19"/>
  <c r="S27" s="1"/>
  <c r="I27"/>
  <c r="C19" i="68"/>
  <c r="D37"/>
  <c r="C37" s="1"/>
  <c r="C19" i="69"/>
  <c r="C24" s="1"/>
  <c r="D37"/>
  <c r="C37" s="1"/>
  <c r="C33" s="1"/>
  <c r="I5" i="6"/>
  <c r="I6"/>
  <c r="C23" i="69"/>
  <c r="I69" i="39"/>
  <c r="J67"/>
  <c r="I63" i="40"/>
  <c r="H65"/>
  <c r="I58" i="21"/>
  <c r="J58" s="1"/>
  <c r="K58" s="1"/>
  <c r="L58" s="1"/>
  <c r="M58" s="1"/>
  <c r="N58" s="1"/>
  <c r="O58" s="1"/>
  <c r="J48" i="35"/>
  <c r="E6" i="76"/>
  <c r="E2" l="1"/>
  <c r="B2" i="43"/>
  <c r="P58" i="21"/>
  <c r="C15" i="71"/>
  <c r="T16"/>
  <c r="D16"/>
  <c r="U16" s="1"/>
  <c r="C23" i="67"/>
  <c r="C29" s="1"/>
  <c r="J59" s="1"/>
  <c r="J60" s="1"/>
  <c r="Q48" s="1"/>
  <c r="C19" i="15"/>
  <c r="C20" s="1"/>
  <c r="C26" s="1"/>
  <c r="C33" i="68"/>
  <c r="C39" s="1"/>
  <c r="C30" i="12"/>
  <c r="C28" s="1"/>
  <c r="C38" i="11"/>
  <c r="C35"/>
  <c r="H27" i="6"/>
  <c r="R19"/>
  <c r="C27" i="12"/>
  <c r="C25" s="1"/>
  <c r="C20" i="69"/>
  <c r="C20" i="68"/>
  <c r="C28" s="1"/>
  <c r="C27" s="1"/>
  <c r="C24"/>
  <c r="C39" i="69"/>
  <c r="C43" s="1"/>
  <c r="C42"/>
  <c r="J69" i="39"/>
  <c r="K67"/>
  <c r="J63" i="40"/>
  <c r="I65"/>
  <c r="K48" i="35"/>
  <c r="L48" s="1"/>
  <c r="M48" s="1"/>
  <c r="N48" s="1"/>
  <c r="O48" s="1"/>
  <c r="H7" s="1"/>
  <c r="B6" i="76"/>
  <c r="C28" i="69" l="1"/>
  <c r="C27" s="1"/>
  <c r="J7" i="35"/>
  <c r="W7" s="1"/>
  <c r="B2" i="76"/>
  <c r="B3" s="1"/>
  <c r="B3" i="43"/>
  <c r="Q58" i="21"/>
  <c r="C14" i="71"/>
  <c r="D15"/>
  <c r="Q49" i="67"/>
  <c r="J14"/>
  <c r="J13" s="1"/>
  <c r="J23" s="1"/>
  <c r="C36"/>
  <c r="C57"/>
  <c r="C64" s="1"/>
  <c r="C13"/>
  <c r="Q70" s="1"/>
  <c r="C33" i="11"/>
  <c r="C39" s="1"/>
  <c r="C61" i="67"/>
  <c r="C42" i="68"/>
  <c r="C32" i="12"/>
  <c r="B2" s="1"/>
  <c r="B3" s="1"/>
  <c r="C23" i="15"/>
  <c r="C29" s="1"/>
  <c r="C41" i="69"/>
  <c r="R27" i="6"/>
  <c r="R6" i="1"/>
  <c r="C46" i="69"/>
  <c r="C45" s="1"/>
  <c r="C25"/>
  <c r="C22" s="1"/>
  <c r="C25" i="68"/>
  <c r="C22" s="1"/>
  <c r="C31" s="1"/>
  <c r="C46"/>
  <c r="C45" s="1"/>
  <c r="C43"/>
  <c r="L67" i="39"/>
  <c r="K69"/>
  <c r="J65" i="40"/>
  <c r="K63"/>
  <c r="U7" i="35"/>
  <c r="AB7"/>
  <c r="T38" s="1"/>
  <c r="G38" s="1"/>
  <c r="F7"/>
  <c r="F35" i="67"/>
  <c r="M21"/>
  <c r="F35" i="15"/>
  <c r="M21"/>
  <c r="C31" i="69" l="1"/>
  <c r="C49"/>
  <c r="C51" s="1"/>
  <c r="AC7" i="35"/>
  <c r="V38" s="1"/>
  <c r="I38" s="1"/>
  <c r="G43" s="1"/>
  <c r="H43" s="1"/>
  <c r="R58" i="21"/>
  <c r="U37"/>
  <c r="AB37"/>
  <c r="D14" i="71"/>
  <c r="C13"/>
  <c r="C56" i="67"/>
  <c r="C65" s="1"/>
  <c r="J22"/>
  <c r="C37"/>
  <c r="C75"/>
  <c r="C36" i="15"/>
  <c r="J59"/>
  <c r="J60" s="1"/>
  <c r="Q48" s="1"/>
  <c r="C46" i="11"/>
  <c r="C45" s="1"/>
  <c r="C43"/>
  <c r="C42"/>
  <c r="C34" i="67"/>
  <c r="F63"/>
  <c r="C62" s="1"/>
  <c r="C59" s="1"/>
  <c r="J20"/>
  <c r="J17" s="1"/>
  <c r="J19" i="15"/>
  <c r="C41" i="68"/>
  <c r="C49" s="1"/>
  <c r="C51" s="1"/>
  <c r="C52" s="1"/>
  <c r="B2" s="1"/>
  <c r="B3" s="1"/>
  <c r="Q49" i="15"/>
  <c r="C57"/>
  <c r="J14"/>
  <c r="J13" s="1"/>
  <c r="J23" s="1"/>
  <c r="C13"/>
  <c r="Q70" s="1"/>
  <c r="F63"/>
  <c r="C62" s="1"/>
  <c r="C34"/>
  <c r="J20"/>
  <c r="R16" i="1"/>
  <c r="L69" i="39"/>
  <c r="M67"/>
  <c r="S7" i="35"/>
  <c r="AA7"/>
  <c r="R38" s="1"/>
  <c r="G42"/>
  <c r="H42" s="1"/>
  <c r="K65" i="40"/>
  <c r="L63"/>
  <c r="I42" i="35"/>
  <c r="J42" s="1"/>
  <c r="C52" i="69" l="1"/>
  <c r="B2" s="1"/>
  <c r="S58" i="21"/>
  <c r="C12" i="71"/>
  <c r="D13"/>
  <c r="C58" i="67"/>
  <c r="C67" s="1"/>
  <c r="C68" s="1"/>
  <c r="C71" s="1"/>
  <c r="J16"/>
  <c r="J25" s="1"/>
  <c r="J26" s="1"/>
  <c r="J29" s="1"/>
  <c r="C30"/>
  <c r="C39" s="1"/>
  <c r="Q69" s="1"/>
  <c r="Q68" s="1"/>
  <c r="C41" i="11"/>
  <c r="C49" s="1"/>
  <c r="C51" s="1"/>
  <c r="C52" s="1"/>
  <c r="B2" s="1"/>
  <c r="B3" s="1"/>
  <c r="J22" i="15"/>
  <c r="C61"/>
  <c r="C59" s="1"/>
  <c r="C64"/>
  <c r="C37"/>
  <c r="C56"/>
  <c r="C65" s="1"/>
  <c r="C75"/>
  <c r="J17"/>
  <c r="C31"/>
  <c r="C57" i="69"/>
  <c r="C56" s="1"/>
  <c r="C57" i="68"/>
  <c r="C56" s="1"/>
  <c r="M69" i="39"/>
  <c r="N67"/>
  <c r="R39" i="35"/>
  <c r="E38"/>
  <c r="M63" i="40"/>
  <c r="L65"/>
  <c r="D2" i="21"/>
  <c r="B3" i="69"/>
  <c r="T58" i="21" l="1"/>
  <c r="C11" i="71"/>
  <c r="T12"/>
  <c r="D12"/>
  <c r="U12" s="1"/>
  <c r="C80" i="67"/>
  <c r="C79" s="1"/>
  <c r="C40"/>
  <c r="C45" s="1"/>
  <c r="C56" i="11"/>
  <c r="C57" s="1"/>
  <c r="J16" i="15"/>
  <c r="J25" s="1"/>
  <c r="J26" s="1"/>
  <c r="J29" s="1"/>
  <c r="C58"/>
  <c r="C67" s="1"/>
  <c r="C68" s="1"/>
  <c r="C71" s="1"/>
  <c r="C30"/>
  <c r="C39" s="1"/>
  <c r="Q69" s="1"/>
  <c r="Q68" s="1"/>
  <c r="O67" i="39"/>
  <c r="O69" s="1"/>
  <c r="N69"/>
  <c r="F7"/>
  <c r="C39" i="35"/>
  <c r="C38"/>
  <c r="N63" i="40"/>
  <c r="M65"/>
  <c r="E43" i="35"/>
  <c r="F43" s="1"/>
  <c r="E42"/>
  <c r="F42" s="1"/>
  <c r="I43"/>
  <c r="J43" s="1"/>
  <c r="L51" i="67"/>
  <c r="D2" i="33"/>
  <c r="U58" i="21" l="1"/>
  <c r="V58" s="1"/>
  <c r="W58" s="1"/>
  <c r="X58" s="1"/>
  <c r="Y58" s="1"/>
  <c r="Z58" s="1"/>
  <c r="AA58" s="1"/>
  <c r="AB58" s="1"/>
  <c r="J7" s="1"/>
  <c r="F7"/>
  <c r="L57" i="67"/>
  <c r="L60" s="1"/>
  <c r="L46" s="1"/>
  <c r="D2" s="1"/>
  <c r="B2" s="1"/>
  <c r="Q67"/>
  <c r="C10" i="71"/>
  <c r="D11"/>
  <c r="Q65" i="67"/>
  <c r="B2" i="33"/>
  <c r="B3" s="1"/>
  <c r="C83" i="67"/>
  <c r="C82" s="1"/>
  <c r="Q47"/>
  <c r="Q53" s="1"/>
  <c r="C46"/>
  <c r="Q56"/>
  <c r="C43"/>
  <c r="C80" i="15"/>
  <c r="C79" s="1"/>
  <c r="C40"/>
  <c r="C46" s="1"/>
  <c r="H7" i="39"/>
  <c r="J7"/>
  <c r="S7"/>
  <c r="AA7"/>
  <c r="R47" s="1"/>
  <c r="O63" i="40"/>
  <c r="O65" s="1"/>
  <c r="N65"/>
  <c r="C19" i="9"/>
  <c r="D2" i="35"/>
  <c r="D2" i="34"/>
  <c r="D2" i="36"/>
  <c r="L51" i="15"/>
  <c r="D2" i="37"/>
  <c r="S7" i="21" l="1"/>
  <c r="AA7"/>
  <c r="H7"/>
  <c r="Q66" i="67"/>
  <c r="Q75" s="1"/>
  <c r="Q57"/>
  <c r="Q62" s="1"/>
  <c r="C102" i="9"/>
  <c r="C21"/>
  <c r="D10" i="71"/>
  <c r="C9"/>
  <c r="B3" i="67"/>
  <c r="L57" i="15"/>
  <c r="L60" s="1"/>
  <c r="Q57" s="1"/>
  <c r="Q67"/>
  <c r="B2" i="36"/>
  <c r="B3" s="1"/>
  <c r="B2" i="35"/>
  <c r="B3" s="1"/>
  <c r="M3"/>
  <c r="B2" i="37"/>
  <c r="B3" s="1"/>
  <c r="B2" i="34"/>
  <c r="B3" s="1"/>
  <c r="L46" i="15"/>
  <c r="B2" s="1"/>
  <c r="Q47"/>
  <c r="Q53" s="1"/>
  <c r="C43"/>
  <c r="Q65"/>
  <c r="C83"/>
  <c r="C82" s="1"/>
  <c r="Q56"/>
  <c r="W7" i="39"/>
  <c r="AC7"/>
  <c r="V47" s="1"/>
  <c r="I47" s="1"/>
  <c r="E47"/>
  <c r="R48"/>
  <c r="U7"/>
  <c r="AB7"/>
  <c r="T47" s="1"/>
  <c r="G47" s="1"/>
  <c r="J7" i="40"/>
  <c r="F7"/>
  <c r="H7"/>
  <c r="AO8" i="1"/>
  <c r="AO9"/>
  <c r="AO10"/>
  <c r="AO12"/>
  <c r="AO6"/>
  <c r="C20" i="9"/>
  <c r="AO11" i="1"/>
  <c r="AO7"/>
  <c r="AC7" i="21" l="1"/>
  <c r="W7"/>
  <c r="U7"/>
  <c r="AB7"/>
  <c r="C103" i="9"/>
  <c r="C8" i="71"/>
  <c r="D9"/>
  <c r="Q66" i="15"/>
  <c r="Q75" s="1"/>
  <c r="Q62"/>
  <c r="B9" i="70"/>
  <c r="B11"/>
  <c r="B7"/>
  <c r="B10"/>
  <c r="B12"/>
  <c r="B6"/>
  <c r="B8"/>
  <c r="B3" i="15"/>
  <c r="G51" i="39"/>
  <c r="H51" s="1"/>
  <c r="G52"/>
  <c r="H52" s="1"/>
  <c r="I51"/>
  <c r="J51" s="1"/>
  <c r="I52"/>
  <c r="J52" s="1"/>
  <c r="C48"/>
  <c r="C47"/>
  <c r="E52"/>
  <c r="F52" s="1"/>
  <c r="E51"/>
  <c r="F51" s="1"/>
  <c r="U7" i="40"/>
  <c r="AB7"/>
  <c r="T42" s="1"/>
  <c r="G42" s="1"/>
  <c r="AA7"/>
  <c r="R42" s="1"/>
  <c r="S7"/>
  <c r="AC7"/>
  <c r="V42" s="1"/>
  <c r="I42" s="1"/>
  <c r="W7"/>
  <c r="D8" i="71" l="1"/>
  <c r="C7"/>
  <c r="B2" i="70"/>
  <c r="B3" s="1"/>
  <c r="B56" i="39"/>
  <c r="F56" s="1"/>
  <c r="F65" s="1"/>
  <c r="B2" s="1"/>
  <c r="B3" s="1"/>
  <c r="B63"/>
  <c r="F63" s="1"/>
  <c r="B64"/>
  <c r="F64" s="1"/>
  <c r="B60"/>
  <c r="F60" s="1"/>
  <c r="B61"/>
  <c r="F61" s="1"/>
  <c r="B57"/>
  <c r="F57" s="1"/>
  <c r="B58"/>
  <c r="F58" s="1"/>
  <c r="B62"/>
  <c r="F62" s="1"/>
  <c r="B59"/>
  <c r="F59" s="1"/>
  <c r="I46" i="40"/>
  <c r="J46" s="1"/>
  <c r="R43"/>
  <c r="E42"/>
  <c r="G47"/>
  <c r="H47" s="1"/>
  <c r="G46"/>
  <c r="H46" s="1"/>
  <c r="D7" i="71" l="1"/>
  <c r="C6"/>
  <c r="C42" i="40"/>
  <c r="C43"/>
  <c r="E47"/>
  <c r="F47" s="1"/>
  <c r="E46"/>
  <c r="F46" s="1"/>
  <c r="I47"/>
  <c r="J47" s="1"/>
  <c r="D6" i="71" l="1"/>
  <c r="C5"/>
  <c r="D5" s="1"/>
  <c r="M24" i="43" s="1"/>
  <c r="B58" i="40"/>
  <c r="F58" s="1"/>
  <c r="B54"/>
  <c r="F54" s="1"/>
  <c r="B53"/>
  <c r="F53" s="1"/>
  <c r="B59"/>
  <c r="F59" s="1"/>
  <c r="B52"/>
  <c r="F52" s="1"/>
  <c r="B56"/>
  <c r="F56" s="1"/>
  <c r="B60"/>
  <c r="F60" s="1"/>
  <c r="B57"/>
  <c r="F57" s="1"/>
  <c r="B51"/>
  <c r="F51" s="1"/>
  <c r="F61"/>
  <c r="B2" s="1"/>
  <c r="B3" s="1"/>
  <c r="B6" i="74" l="1"/>
  <c r="D6" s="1"/>
  <c r="H27" i="21"/>
  <c r="U27" s="1"/>
  <c r="AB27" l="1"/>
  <c r="T48" s="1"/>
  <c r="G48" s="1"/>
  <c r="J27"/>
  <c r="F27"/>
  <c r="S27" s="1"/>
  <c r="AA27" l="1"/>
  <c r="R48" s="1"/>
  <c r="AC27"/>
  <c r="V48" s="1"/>
  <c r="I48" s="1"/>
  <c r="W27"/>
  <c r="G52"/>
  <c r="H52" s="1"/>
  <c r="I52" l="1"/>
  <c r="J52" s="1"/>
  <c r="G53"/>
  <c r="H53" s="1"/>
  <c r="E48"/>
  <c r="R49"/>
  <c r="C48" l="1"/>
  <c r="C49"/>
  <c r="E52"/>
  <c r="F52" s="1"/>
  <c r="E53"/>
  <c r="F53" s="1"/>
  <c r="I53"/>
  <c r="J53" s="1"/>
  <c r="B2" l="1"/>
  <c r="B3"/>
  <c r="D20" i="9"/>
  <c r="D19"/>
  <c r="D103" l="1"/>
  <c r="G20"/>
  <c r="D21"/>
  <c r="D102"/>
  <c r="G19"/>
  <c r="D30" s="1"/>
  <c r="C30" s="1"/>
  <c r="D22"/>
  <c r="G21" l="1"/>
  <c r="C32"/>
  <c r="E14" i="74"/>
  <c r="D14" s="1"/>
  <c r="G24" i="9" l="1"/>
  <c r="B5" i="74"/>
  <c r="F14"/>
  <c r="C35" i="9"/>
  <c r="C34" s="1"/>
  <c r="D5" i="74" l="1"/>
  <c r="C104" i="9"/>
  <c r="H4" i="52"/>
  <c r="C105" i="9"/>
  <c r="I4" i="52"/>
  <c r="N61" i="9"/>
  <c r="N60"/>
  <c r="D52"/>
  <c r="D53"/>
  <c r="N58"/>
  <c r="P57"/>
  <c r="N59"/>
  <c r="D9" i="52"/>
  <c r="C5" i="74"/>
  <c r="D123" i="9"/>
  <c r="D8" i="52"/>
  <c r="C6" i="74"/>
  <c r="D54" i="9"/>
  <c r="B22" i="72"/>
  <c r="C81" i="9"/>
  <c r="D122"/>
  <c r="C68"/>
  <c r="N57"/>
  <c r="M54"/>
  <c r="D55"/>
  <c r="M53"/>
  <c r="H102"/>
  <c r="D7" i="53"/>
  <c r="B21" i="72"/>
  <c r="C78" i="9"/>
  <c r="C73"/>
  <c r="E4" i="52"/>
  <c r="B48" i="72"/>
  <c r="B30"/>
  <c r="D5" i="52"/>
  <c r="B49" i="72"/>
  <c r="M48" i="9"/>
  <c r="E81"/>
  <c r="H108"/>
  <c r="D15" i="53"/>
  <c r="B31" i="72"/>
  <c r="G4" i="52"/>
  <c r="B52" i="72"/>
  <c r="H119" i="9"/>
  <c r="H5" i="52"/>
  <c r="F4"/>
  <c r="B51" i="72"/>
  <c r="E97" i="9"/>
  <c r="C72"/>
  <c r="C79"/>
  <c r="C80"/>
  <c r="E80"/>
  <c r="D119"/>
  <c r="D56"/>
  <c r="C67"/>
  <c r="D59"/>
  <c r="M55"/>
  <c r="B20" i="72"/>
  <c r="D5" i="53"/>
  <c r="D6"/>
  <c r="C96" i="9"/>
  <c r="E96"/>
  <c r="E118"/>
  <c r="D118"/>
  <c r="D4" i="52"/>
  <c r="B47" i="72"/>
  <c r="B53"/>
  <c r="H107" i="9"/>
  <c r="D13" i="53"/>
  <c r="D14"/>
  <c r="B32" i="72"/>
  <c r="C93" i="9"/>
  <c r="C86"/>
  <c r="C64"/>
  <c r="C63"/>
  <c r="I118"/>
  <c r="H118"/>
  <c r="H101"/>
  <c r="D45"/>
  <c r="C85"/>
  <c r="C95"/>
  <c r="C97"/>
  <c r="D58"/>
  <c r="G118"/>
  <c r="F118"/>
  <c r="F119"/>
  <c r="F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刘朝阳</author>
    <author>vampire</author>
    <author>裴蓓</author>
  </authors>
  <commentList>
    <comment ref="AW1" authorId="0">
      <text>
        <r>
          <rPr>
            <b/>
            <sz val="9"/>
            <color indexed="81"/>
            <rFont val="宋体"/>
            <family val="3"/>
            <charset val="134"/>
          </rPr>
          <t>填写交易证明的类型，分为商品房合同、预售契约、买卖契约、认购书。</t>
        </r>
      </text>
    </comment>
    <comment ref="AX1"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 authorId="0">
      <text>
        <r>
          <rPr>
            <b/>
            <sz val="9"/>
            <color indexed="81"/>
            <rFont val="宋体"/>
            <family val="3"/>
            <charset val="134"/>
          </rPr>
          <t>填写数值型数据，保留小数点后一位。</t>
        </r>
      </text>
    </comment>
    <comment ref="BG1" authorId="0">
      <text>
        <r>
          <rPr>
            <b/>
            <sz val="9"/>
            <color indexed="81"/>
            <rFont val="宋体"/>
            <family val="3"/>
            <charset val="134"/>
          </rPr>
          <t>此项填写合同日期，无合同日期填写预售登记日期，均无则在备注中注明</t>
        </r>
      </text>
    </comment>
    <comment ref="BH1" authorId="0">
      <text>
        <r>
          <rPr>
            <b/>
            <sz val="9"/>
            <color indexed="81"/>
            <rFont val="宋体"/>
            <family val="3"/>
            <charset val="134"/>
          </rPr>
          <t>在补充过程中发现合同遗漏的项目，不能正常补充的需注明。</t>
        </r>
      </text>
    </comment>
    <comment ref="BL1" authorId="1">
      <text>
        <r>
          <rPr>
            <b/>
            <sz val="9"/>
            <color indexed="81"/>
            <rFont val="宋体"/>
            <family val="3"/>
            <charset val="134"/>
          </rPr>
          <t>销售方式分为现售和预售两种方式</t>
        </r>
      </text>
    </comment>
    <comment ref="Q3" authorId="2">
      <text>
        <r>
          <rPr>
            <b/>
            <sz val="9"/>
            <color indexed="81"/>
            <rFont val="宋体"/>
            <family val="3"/>
            <charset val="134"/>
          </rPr>
          <t>裴蓓:</t>
        </r>
        <r>
          <rPr>
            <sz val="9"/>
            <color indexed="81"/>
            <rFont val="宋体"/>
            <family val="3"/>
            <charset val="134"/>
          </rPr>
          <t xml:space="preserve">
合同成交价为356000。</t>
        </r>
      </text>
    </comment>
  </commentList>
</comments>
</file>

<file path=xl/comments22.xml><?xml version="1.0" encoding="utf-8"?>
<comments xmlns="http://schemas.openxmlformats.org/spreadsheetml/2006/main">
  <authors>
    <author>作者</author>
    <author>崔锴</author>
  </authors>
  <commentList>
    <comment ref="B8" authorId="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H16" author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text>
        <r>
          <rPr>
            <b/>
            <sz val="12"/>
            <rFont val="宋体"/>
            <family val="3"/>
            <charset val="134"/>
          </rPr>
          <t>时点所在年度</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<sst xmlns="http://schemas.openxmlformats.org/spreadsheetml/2006/main" count="8785" uniqueCount="4021">
  <si>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</si>
  <si>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</si>
  <si>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</si>
  <si>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</si>
  <si>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</si>
  <si>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</si>
  <si>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</si>
  <si>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</si>
  <si>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</si>
  <si>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</si>
  <si>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</si>
  <si>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</si>
  <si>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</si>
  <si>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</si>
  <si>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</si>
  <si>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</si>
  <si>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</si>
  <si>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</si>
  <si>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</si>
  <si>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</si>
  <si>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</si>
  <si>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</si>
  <si>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</si>
  <si>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</si>
  <si>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</si>
  <si>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</si>
  <si>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</si>
  <si>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</si>
  <si>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</si>
  <si>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</si>
  <si>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</si>
  <si>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</si>
  <si>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</si>
  <si>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</si>
  <si>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</si>
  <si>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</si>
  <si>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</si>
  <si>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</si>
  <si>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</si>
  <si>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</si>
  <si>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</si>
  <si>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</si>
  <si>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</si>
  <si>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</si>
  <si>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</si>
  <si>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</si>
  <si>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</si>
  <si>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</si>
  <si>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</si>
  <si>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</si>
  <si>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</si>
  <si>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</si>
  <si>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</si>
  <si>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</si>
  <si>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</si>
  <si>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</si>
  <si>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</si>
  <si>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</si>
  <si>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</si>
  <si>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</si>
  <si>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</si>
  <si>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</si>
  <si>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</si>
  <si>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</si>
  <si>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</si>
  <si>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</si>
  <si>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</si>
  <si>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</si>
  <si>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</si>
  <si>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</si>
  <si>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</si>
  <si>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</si>
  <si>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</si>
  <si>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</si>
  <si>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</si>
  <si>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</si>
  <si>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</si>
  <si>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</si>
  <si>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</si>
  <si>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</si>
  <si>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</si>
  <si>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</si>
  <si>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</si>
  <si>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</si>
  <si>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</si>
  <si>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</si>
  <si>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</si>
  <si>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</si>
  <si>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</si>
  <si>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</si>
  <si>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</si>
  <si>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</si>
  <si>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</si>
  <si>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</si>
  <si>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</si>
  <si>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</si>
  <si>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</si>
  <si>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</si>
  <si>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</si>
  <si>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</si>
  <si>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</si>
  <si>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</si>
  <si>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</si>
  <si>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</si>
  <si>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</si>
  <si>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</si>
  <si>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</si>
  <si>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</si>
  <si>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</si>
  <si>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</si>
  <si>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</si>
  <si>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</si>
  <si>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</si>
  <si>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</si>
  <si>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</si>
  <si>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</si>
  <si>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</si>
  <si>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</si>
  <si>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</si>
  <si>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</si>
  <si>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</si>
  <si>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</si>
  <si>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</si>
  <si>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</si>
  <si>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</si>
  <si>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</si>
  <si>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</si>
  <si>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</si>
  <si>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</si>
  <si>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</si>
  <si>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</si>
  <si>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</si>
  <si>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</si>
  <si>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</si>
  <si>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</si>
  <si>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</si>
  <si>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</si>
  <si>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</si>
  <si>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</si>
  <si>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</si>
  <si>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</si>
  <si>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</si>
  <si>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</si>
  <si>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</si>
  <si>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</si>
  <si>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</si>
  <si>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</si>
  <si>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</si>
  <si>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</si>
  <si>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</si>
  <si>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</si>
  <si>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</si>
  <si>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</si>
  <si>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</si>
  <si>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</si>
  <si>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</si>
  <si>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</si>
  <si>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</si>
  <si>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</si>
  <si>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</si>
  <si>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</si>
  <si>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</si>
  <si>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</si>
  <si>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</si>
  <si>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</si>
  <si>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</si>
  <si>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</si>
  <si>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</si>
  <si>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</si>
  <si>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</si>
  <si>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</si>
  <si>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</si>
  <si>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</si>
  <si>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</si>
  <si>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</si>
  <si>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</si>
  <si>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</si>
  <si>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</si>
  <si>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</si>
  <si>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</si>
  <si>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</si>
  <si>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</si>
  <si>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</si>
  <si>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</si>
  <si>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</si>
  <si>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</si>
  <si>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</si>
  <si>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</si>
  <si>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</si>
  <si>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</si>
  <si>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</si>
  <si>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</si>
  <si>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</si>
  <si>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</si>
  <si>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</si>
  <si>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</si>
  <si>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</si>
  <si>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</si>
  <si>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</si>
  <si>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</si>
  <si>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</si>
  <si>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</si>
  <si>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</si>
  <si>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</si>
  <si>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</si>
  <si>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</si>
  <si>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</si>
  <si>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</si>
  <si>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</si>
  <si>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</si>
  <si>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</si>
  <si>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</si>
  <si>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</si>
  <si>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</si>
  <si>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</si>
  <si>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</si>
  <si>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</si>
  <si>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</si>
  <si>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</si>
  <si>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</si>
  <si>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</si>
  <si>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</si>
  <si>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</si>
  <si>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</si>
  <si>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</si>
  <si>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</si>
  <si>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</si>
  <si>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</si>
  <si>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</si>
  <si>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</si>
  <si>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</si>
  <si>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</si>
  <si>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</si>
  <si>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</si>
  <si>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</si>
  <si>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</si>
  <si>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</si>
  <si>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</si>
  <si>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</si>
  <si>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</si>
  <si>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</si>
  <si>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</si>
  <si>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</si>
  <si>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</si>
  <si>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</si>
  <si>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</si>
  <si>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</si>
  <si>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</si>
  <si>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</si>
  <si>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</si>
  <si>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</si>
  <si>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</si>
  <si>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</si>
  <si>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</si>
  <si>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</si>
  <si>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</si>
  <si>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</si>
  <si>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</si>
  <si>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</si>
  <si>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</si>
  <si>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</si>
  <si>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</si>
  <si>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</si>
  <si>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</si>
  <si>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</si>
  <si>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</si>
  <si>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</si>
  <si>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</si>
  <si>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</si>
  <si>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</si>
  <si>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</si>
  <si>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</si>
  <si>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</si>
  <si>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</si>
  <si>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</si>
  <si>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</si>
  <si>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</si>
  <si>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</si>
  <si>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</si>
  <si>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</si>
  <si>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</si>
  <si>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</si>
  <si>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</si>
  <si>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</si>
  <si>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</si>
  <si>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</si>
  <si>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</si>
  <si>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</si>
  <si>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</si>
  <si>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</si>
  <si>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</si>
  <si>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</si>
  <si>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</si>
  <si>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</si>
  <si>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</si>
  <si>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</si>
  <si>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</si>
  <si>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</si>
  <si>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</si>
  <si>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</si>
  <si>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</si>
  <si>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</si>
  <si>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</si>
  <si>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</si>
  <si>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</si>
  <si>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</si>
  <si>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</si>
  <si>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</si>
  <si>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</si>
  <si>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</si>
  <si>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</si>
  <si>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</si>
  <si>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</si>
  <si>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</si>
  <si>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</si>
  <si>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</si>
  <si>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</si>
  <si>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</si>
  <si>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</si>
  <si>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</si>
  <si>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</si>
  <si>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</si>
  <si>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</si>
  <si>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</si>
  <si>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</si>
  <si>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</si>
  <si>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</si>
  <si>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</si>
  <si>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</si>
  <si>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</si>
  <si>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</si>
  <si>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</si>
  <si>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</si>
  <si>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</si>
  <si>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</si>
  <si>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</si>
  <si>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</si>
  <si>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</si>
  <si>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</si>
  <si>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</si>
  <si>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</si>
  <si>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</si>
  <si>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</si>
  <si>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</si>
  <si>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</si>
  <si>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</si>
  <si>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</si>
  <si>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</si>
  <si>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</si>
  <si>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</si>
  <si>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</si>
  <si>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</si>
  <si>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</si>
  <si>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</si>
  <si>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</si>
  <si>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</si>
  <si>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</si>
  <si>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</si>
  <si>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</si>
  <si>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</si>
  <si>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</si>
  <si>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</si>
  <si>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</si>
  <si>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</si>
  <si>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</si>
  <si>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</si>
  <si>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</si>
  <si>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</si>
  <si>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</si>
  <si>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</si>
  <si>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</si>
  <si>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</si>
  <si>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</si>
  <si>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</si>
  <si>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</si>
  <si>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</si>
  <si>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</si>
  <si>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</si>
  <si>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</si>
  <si>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</si>
  <si>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</si>
  <si>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</si>
  <si>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</si>
  <si>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</si>
  <si>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</si>
  <si>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</si>
  <si>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</si>
  <si>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</si>
  <si>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</si>
  <si>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</si>
  <si>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</si>
  <si>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</si>
  <si>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</si>
  <si>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</si>
  <si>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</si>
  <si>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</si>
  <si>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</si>
  <si>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</si>
  <si>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</si>
  <si>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</si>
  <si>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</si>
  <si>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</si>
  <si>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</si>
  <si>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</si>
  <si>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</si>
  <si>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</si>
  <si>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</si>
  <si>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</si>
  <si>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</si>
  <si>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</si>
  <si>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</si>
  <si>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</si>
  <si>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</si>
  <si>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</si>
  <si>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</si>
  <si>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</si>
  <si>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</si>
  <si>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</si>
  <si>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</si>
  <si>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</si>
  <si>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</si>
  <si>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</si>
  <si>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</si>
  <si>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</si>
  <si>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</si>
  <si>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</si>
  <si>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</si>
  <si>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</si>
  <si>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</si>
  <si>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</si>
  <si>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</si>
  <si>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</si>
  <si>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</si>
  <si>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</si>
  <si>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</si>
  <si>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</si>
  <si>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</si>
  <si>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</si>
  <si>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</si>
  <si>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</si>
  <si>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</si>
  <si>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</si>
  <si>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</si>
  <si>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</si>
  <si>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</si>
  <si>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</si>
  <si>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</si>
  <si>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</si>
  <si>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</si>
  <si>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</si>
  <si>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</si>
  <si>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</si>
  <si>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</si>
  <si>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</si>
  <si>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</si>
  <si>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</si>
  <si>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</si>
  <si>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</si>
  <si>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</si>
  <si>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</si>
  <si>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</si>
  <si>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</si>
  <si>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</si>
  <si>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</si>
  <si>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</si>
  <si>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</si>
  <si>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</si>
  <si>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</si>
  <si>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</si>
  <si>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</si>
  <si>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</si>
  <si>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</si>
  <si>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</si>
  <si>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</si>
  <si>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</si>
  <si>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</si>
  <si>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</si>
  <si>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</si>
  <si>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</si>
  <si>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</si>
  <si>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</si>
  <si>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</si>
  <si>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</si>
  <si>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</si>
  <si>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</si>
  <si>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</si>
  <si>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</si>
  <si>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</si>
  <si>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</si>
  <si>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</si>
  <si>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</si>
  <si>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</si>
  <si>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</si>
  <si>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</si>
  <si>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</si>
  <si>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</si>
  <si>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</si>
  <si>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</si>
  <si>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</si>
  <si>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</si>
  <si>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</si>
  <si>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</si>
  <si>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</si>
  <si>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</si>
  <si>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</si>
  <si>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</si>
  <si>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</si>
  <si>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</si>
  <si>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</si>
  <si>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</si>
  <si>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</si>
  <si>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</si>
  <si>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</si>
  <si>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</si>
  <si>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</si>
  <si>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</si>
  <si>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</si>
  <si>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</si>
  <si>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</si>
  <si>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</si>
  <si>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</si>
  <si>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</si>
  <si>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</si>
  <si>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</si>
  <si>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</si>
  <si>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</si>
  <si>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</si>
  <si>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</si>
  <si>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</si>
  <si>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</si>
  <si>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</si>
  <si>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</si>
  <si>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</si>
  <si>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</si>
  <si>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</si>
  <si>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</si>
  <si>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</si>
  <si>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</si>
  <si>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</si>
  <si>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</si>
  <si>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</si>
  <si>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</si>
  <si>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</si>
  <si>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</si>
  <si>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</si>
  <si>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</si>
  <si>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</si>
  <si>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</si>
  <si>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</si>
  <si>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</si>
  <si>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</si>
  <si>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</si>
  <si>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</si>
  <si>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</si>
  <si>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</si>
  <si>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</si>
  <si>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</si>
  <si>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</si>
  <si>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</si>
  <si>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</si>
  <si>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</si>
  <si>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</si>
  <si>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</si>
  <si>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</si>
  <si>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</si>
  <si>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</si>
  <si>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</si>
  <si>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</si>
  <si>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</si>
  <si>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</si>
  <si>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</si>
  <si>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</si>
  <si>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</si>
  <si>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</si>
  <si>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</si>
  <si>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</si>
  <si>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</si>
  <si>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</si>
  <si>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</si>
  <si>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</si>
  <si>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</si>
  <si>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</si>
  <si>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</si>
  <si>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</si>
  <si>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</si>
  <si>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</si>
  <si>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</si>
  <si>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</si>
  <si>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</si>
  <si>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</si>
  <si>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</si>
  <si>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</si>
  <si>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</si>
  <si>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</si>
  <si>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</si>
  <si>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</si>
  <si>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</si>
  <si>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</si>
  <si>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</si>
  <si>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</si>
  <si>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</si>
  <si>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</si>
  <si>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</si>
  <si>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</si>
  <si>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</si>
  <si>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</si>
  <si>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</si>
  <si>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</si>
  <si>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</si>
  <si>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</si>
  <si>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</si>
  <si>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</si>
  <si>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</si>
  <si>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</si>
  <si>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</si>
  <si>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</si>
  <si>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</si>
  <si>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</si>
  <si>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</si>
  <si>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</si>
  <si>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</si>
  <si>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</si>
  <si>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</si>
  <si>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</si>
  <si>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</si>
  <si>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</si>
  <si>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</si>
  <si>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</si>
  <si>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</si>
  <si>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</si>
  <si>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</si>
  <si>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</si>
  <si>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</si>
  <si>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</si>
  <si>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</si>
  <si>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</si>
  <si>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</si>
  <si>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</si>
  <si>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</si>
  <si>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</si>
  <si>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</si>
  <si>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</si>
  <si>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</si>
  <si>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</si>
  <si>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</si>
  <si>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</si>
  <si>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</si>
  <si>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</si>
  <si>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</si>
  <si>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</si>
  <si>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</si>
  <si>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</si>
  <si>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</si>
  <si>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</si>
  <si>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</si>
  <si>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</si>
  <si>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</si>
  <si>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</si>
  <si>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</si>
  <si>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</si>
  <si>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</si>
  <si>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</si>
  <si>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</si>
  <si>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</si>
  <si>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</si>
  <si>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</si>
  <si>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</si>
  <si>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</si>
  <si>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</si>
  <si>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</si>
  <si>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</si>
  <si>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</si>
  <si>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</si>
  <si>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</si>
  <si>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</si>
  <si>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</si>
  <si>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</si>
  <si>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</si>
  <si>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</si>
  <si>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</si>
  <si>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</si>
  <si>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</si>
  <si>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</si>
  <si>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</si>
  <si>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</si>
  <si>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</si>
  <si>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</si>
  <si>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</si>
  <si>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</si>
  <si>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</si>
  <si>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</si>
  <si>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</si>
  <si>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</si>
  <si>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</si>
  <si>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</si>
  <si>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</si>
  <si>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</si>
  <si>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</si>
  <si>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</si>
  <si>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</si>
  <si>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</si>
  <si>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</si>
  <si>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</si>
  <si>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</si>
  <si>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</si>
  <si>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</si>
  <si>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</si>
  <si>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</si>
  <si>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</si>
  <si>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</si>
  <si>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</si>
  <si>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</si>
  <si>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</si>
  <si>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</si>
  <si>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</si>
  <si>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</si>
  <si>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</si>
  <si>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</si>
  <si>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</si>
  <si>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</si>
  <si>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</si>
  <si>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</si>
  <si>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</si>
  <si>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</si>
  <si>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</si>
  <si>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</si>
  <si>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</si>
  <si>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</si>
  <si>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</si>
  <si>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</si>
  <si>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</si>
  <si>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</si>
  <si>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</si>
  <si>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</si>
  <si>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</si>
  <si>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</si>
  <si>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</si>
  <si>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</si>
  <si>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</si>
  <si>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</si>
  <si>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</si>
  <si>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</si>
  <si>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</si>
  <si>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</si>
  <si>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</si>
  <si>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</si>
  <si>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</si>
  <si>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</si>
  <si>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</si>
  <si>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</si>
  <si>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</si>
  <si>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</si>
  <si>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</si>
  <si>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</si>
  <si>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</si>
  <si>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</si>
  <si>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</si>
  <si>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</si>
  <si>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</si>
  <si>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</si>
  <si>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</si>
  <si>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</si>
  <si>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</si>
  <si>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</si>
  <si>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</si>
  <si>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</si>
  <si>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</si>
  <si>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</si>
  <si>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</si>
  <si>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</si>
  <si>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</si>
  <si>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</si>
  <si>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</si>
  <si>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</si>
  <si>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</si>
  <si>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</si>
  <si>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</si>
  <si>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</si>
  <si>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</si>
  <si>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</si>
  <si>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</si>
  <si>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</si>
  <si>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</si>
  <si>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</si>
  <si>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</si>
  <si>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</si>
  <si>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</si>
  <si>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</si>
  <si>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</si>
  <si>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</si>
  <si>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</si>
  <si>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</si>
  <si>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</si>
  <si>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</si>
  <si>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</si>
  <si>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</si>
  <si>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</si>
  <si>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</si>
  <si>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</si>
  <si>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</si>
  <si>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</si>
  <si>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</si>
  <si>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</si>
  <si>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</si>
  <si>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</si>
  <si>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</si>
  <si>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</si>
  <si>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</si>
  <si>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</si>
  <si>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</si>
  <si>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</si>
  <si>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</si>
  <si>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</si>
  <si>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</si>
  <si>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</si>
  <si>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</si>
  <si>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</si>
  <si>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</si>
  <si>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</si>
  <si>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</si>
  <si>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</si>
  <si>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</si>
  <si>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</si>
  <si>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</si>
  <si>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</si>
  <si>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</si>
  <si>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</si>
  <si>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</si>
  <si>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</si>
  <si>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</si>
  <si>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</si>
  <si>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</si>
  <si>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</si>
  <si>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</si>
  <si>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</si>
  <si>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</si>
  <si>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</si>
  <si>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</si>
  <si>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</si>
  <si>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</si>
  <si>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</si>
  <si>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</si>
  <si>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</si>
  <si>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</si>
  <si>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</si>
  <si>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</si>
  <si>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</si>
  <si>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</si>
  <si>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</si>
  <si>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</si>
  <si>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</si>
  <si>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</si>
  <si>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</si>
  <si>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</si>
  <si>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</si>
  <si>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</si>
  <si>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</si>
  <si>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</si>
  <si>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</si>
  <si>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</si>
  <si>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</si>
  <si>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</si>
  <si>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</si>
  <si>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</si>
  <si>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</si>
  <si>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</si>
  <si>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</si>
  <si>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</si>
  <si>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</si>
  <si>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</si>
  <si>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</si>
  <si>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</si>
  <si>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</si>
  <si>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</si>
  <si>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</si>
  <si>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</si>
  <si>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</si>
  <si>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</si>
  <si>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</si>
  <si>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</si>
  <si>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</si>
  <si>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</si>
  <si>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</si>
  <si>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</si>
  <si>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</si>
  <si>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</si>
  <si>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</si>
  <si>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</si>
  <si>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</si>
  <si>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</si>
  <si>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</si>
  <si>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</si>
  <si>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</si>
  <si>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</si>
  <si>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</si>
  <si>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</si>
  <si>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</si>
  <si>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</si>
  <si>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</si>
  <si>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</si>
  <si>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</si>
  <si>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</si>
  <si>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</si>
  <si>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</si>
  <si>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</si>
  <si>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</si>
  <si>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</si>
  <si>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</si>
  <si>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</si>
  <si>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</si>
  <si>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</si>
  <si>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</si>
  <si>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</si>
  <si>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</si>
  <si>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</si>
  <si>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</si>
  <si>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</si>
  <si>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</si>
  <si>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</si>
  <si>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</si>
  <si>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</si>
  <si>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</si>
  <si>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</si>
  <si>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</si>
  <si>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</si>
  <si>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</si>
  <si>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</si>
  <si>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</si>
  <si>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</si>
  <si>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</si>
  <si>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</si>
  <si>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</si>
  <si>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</si>
  <si>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</si>
  <si>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</si>
  <si>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</si>
  <si>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</si>
  <si>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</si>
  <si>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</si>
  <si>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</si>
  <si>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</si>
  <si>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</si>
  <si>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</si>
  <si>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</si>
  <si>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</si>
  <si>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</si>
  <si>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</si>
  <si>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</si>
  <si>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</si>
  <si>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</si>
  <si>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</si>
  <si>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</si>
  <si>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</si>
  <si>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</si>
  <si>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</si>
  <si>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</si>
  <si>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</si>
  <si>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</si>
  <si>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</si>
  <si>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</si>
  <si>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</si>
  <si>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</si>
  <si>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</si>
  <si>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</si>
  <si>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</si>
  <si>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</si>
  <si>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</si>
  <si>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</si>
  <si>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</si>
  <si>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</si>
  <si>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</si>
  <si>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</si>
  <si>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</si>
  <si>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</si>
  <si>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</si>
  <si>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</si>
  <si>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</si>
  <si>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</si>
  <si>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</si>
  <si>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</si>
  <si>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</si>
  <si>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</si>
  <si>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</si>
  <si>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</si>
  <si>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</si>
  <si>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</si>
  <si>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</si>
  <si>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</si>
  <si>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</si>
  <si>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</si>
  <si>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</si>
  <si>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</si>
  <si>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</si>
  <si>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</si>
  <si>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</si>
  <si>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</si>
  <si>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</si>
  <si>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</si>
  <si>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</si>
  <si>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</si>
  <si>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</si>
  <si>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</si>
  <si>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</si>
  <si>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</si>
  <si>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</si>
  <si>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</si>
  <si>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</si>
  <si>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</si>
  <si>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</si>
  <si>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</si>
  <si>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</si>
  <si>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</si>
  <si>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</si>
  <si>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</si>
  <si>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</si>
  <si>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</si>
  <si>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</si>
  <si>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</si>
  <si>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</si>
  <si>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</si>
  <si>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</si>
  <si>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</si>
  <si>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</si>
  <si>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</si>
  <si>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</si>
  <si>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</si>
  <si>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</si>
  <si>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</si>
  <si>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</si>
  <si>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</si>
  <si>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</si>
  <si>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</si>
  <si>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</si>
  <si>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</si>
  <si>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</si>
  <si>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</si>
  <si>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</si>
  <si>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</si>
  <si>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</si>
  <si>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</si>
  <si>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</si>
  <si>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</si>
  <si>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</si>
  <si>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</si>
  <si>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</si>
  <si>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</si>
  <si>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</si>
  <si>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</si>
  <si>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</si>
  <si>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</si>
  <si>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</si>
  <si>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</si>
  <si>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</si>
  <si>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</si>
  <si>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</si>
  <si>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</si>
  <si>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</si>
  <si>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</si>
  <si>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</si>
  <si>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</si>
  <si>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</si>
  <si>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</si>
  <si>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</si>
  <si>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</si>
  <si>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</si>
  <si>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</si>
  <si>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</si>
  <si>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</si>
  <si>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</si>
  <si>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</si>
  <si>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</si>
  <si>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</si>
  <si>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</si>
  <si>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</si>
  <si>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</si>
  <si>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</si>
  <si>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</si>
  <si>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</si>
  <si>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</si>
  <si>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</si>
  <si>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</si>
  <si>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</si>
  <si>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</si>
  <si>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</si>
  <si>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</si>
  <si>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</si>
  <si>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</si>
  <si>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</si>
  <si>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</si>
  <si>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</si>
  <si>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</si>
  <si>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</si>
  <si>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</si>
  <si>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</si>
  <si>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</si>
  <si>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</si>
  <si>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</si>
  <si>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</si>
  <si>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</si>
  <si>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</si>
  <si>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</si>
  <si>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</si>
  <si>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</si>
  <si>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</si>
  <si>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</si>
  <si>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</si>
  <si>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</si>
  <si>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</si>
  <si>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</si>
  <si>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</si>
  <si>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</si>
  <si>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</si>
  <si>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</si>
  <si>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</si>
  <si>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</si>
  <si>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</si>
  <si>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</si>
  <si>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</si>
  <si>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</si>
  <si>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</si>
  <si>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</si>
  <si>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</si>
  <si>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</si>
  <si>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</si>
  <si>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</si>
  <si>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</si>
  <si>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</si>
  <si>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</si>
  <si>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</si>
  <si>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</si>
  <si>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</si>
  <si>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</si>
  <si>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</si>
  <si>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</si>
  <si>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</si>
  <si>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</si>
  <si>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</si>
  <si>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</si>
  <si>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</si>
  <si>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</si>
  <si>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</si>
  <si>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</si>
  <si>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</si>
  <si>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</si>
  <si>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</si>
  <si>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</si>
  <si>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</si>
  <si>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</si>
  <si>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</si>
  <si>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</si>
  <si>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</si>
  <si>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</si>
  <si>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</si>
  <si>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</si>
  <si>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</si>
  <si>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</si>
  <si>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</si>
  <si>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</si>
  <si>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</si>
  <si>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</si>
  <si>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</si>
  <si>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</si>
  <si>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</si>
  <si>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</si>
  <si>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</si>
  <si>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</si>
  <si>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</si>
  <si>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</si>
  <si>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</si>
  <si>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</si>
  <si>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</si>
  <si>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</si>
  <si>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</si>
  <si>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</si>
  <si>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</si>
  <si>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</si>
  <si>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</si>
  <si>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</si>
  <si>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</si>
  <si>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</si>
  <si>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</si>
  <si>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</si>
  <si>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</si>
  <si>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</si>
  <si>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</si>
  <si>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</si>
  <si>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</si>
  <si>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</si>
  <si>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</si>
  <si>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</si>
  <si>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</si>
  <si>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</si>
  <si>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</si>
  <si>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</si>
  <si>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</si>
  <si>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</si>
  <si>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</si>
  <si>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</si>
  <si>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</si>
  <si>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</si>
  <si>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</si>
  <si>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</si>
  <si>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</si>
  <si>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</si>
  <si>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</si>
  <si>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</si>
  <si>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</si>
  <si>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</si>
  <si>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</si>
  <si>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</si>
  <si>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</si>
  <si>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</si>
  <si>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</si>
  <si>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</si>
  <si>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</si>
  <si>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</si>
  <si>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</si>
  <si>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</si>
  <si>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</si>
  <si>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</si>
  <si>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</si>
  <si>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</si>
  <si>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</si>
  <si>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</si>
  <si>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</si>
  <si>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</si>
  <si>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</si>
  <si>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</si>
  <si>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</si>
  <si>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</si>
  <si>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</si>
  <si>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</si>
  <si>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</si>
  <si>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</si>
  <si>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</si>
  <si>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</si>
  <si>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</si>
  <si>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</si>
  <si>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</si>
  <si>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</si>
  <si>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</si>
  <si>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</si>
  <si>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</si>
  <si>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</si>
  <si>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</si>
  <si>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</si>
  <si>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</si>
  <si>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</si>
  <si>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</si>
  <si>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</si>
  <si>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</si>
  <si>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</si>
  <si>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</si>
  <si>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</si>
  <si>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</si>
  <si>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</si>
  <si>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</si>
  <si>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</si>
  <si>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</si>
  <si>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</si>
  <si>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</si>
  <si>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</si>
  <si>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</si>
  <si>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</si>
  <si>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</si>
  <si>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</si>
  <si>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</si>
  <si>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</si>
  <si>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</si>
  <si>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</si>
  <si>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</si>
  <si>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</si>
  <si>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</si>
  <si>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</si>
  <si>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</si>
  <si>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</si>
  <si>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</si>
  <si>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</si>
  <si>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</si>
  <si>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</si>
  <si>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</si>
  <si>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</si>
  <si>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</si>
  <si>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</si>
  <si>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</si>
  <si>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</si>
  <si>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</si>
  <si>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</si>
  <si>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</si>
  <si>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</si>
  <si>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</si>
  <si>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</si>
  <si>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</si>
  <si>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</si>
  <si>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</si>
  <si>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</si>
  <si>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</si>
  <si>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</si>
  <si>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</si>
  <si>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</si>
  <si>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</si>
  <si>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</si>
  <si>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</si>
  <si>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</si>
  <si>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</si>
  <si>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</si>
  <si>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</si>
  <si>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</si>
  <si>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</si>
  <si>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</si>
  <si>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</si>
  <si>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</si>
  <si>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</si>
  <si>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</si>
  <si>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</si>
  <si>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</si>
  <si>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</si>
  <si>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</si>
  <si>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</si>
  <si>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</si>
  <si>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</si>
  <si>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</si>
  <si>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</si>
  <si>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</si>
  <si>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</si>
  <si>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</si>
  <si>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</si>
  <si>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</si>
  <si>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</si>
  <si>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</si>
  <si>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</si>
  <si>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</si>
  <si>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</si>
  <si>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</si>
  <si>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</si>
  <si>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</si>
  <si>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</si>
  <si>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</si>
  <si>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</si>
  <si>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</si>
  <si>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</si>
  <si>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</si>
  <si>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</si>
  <si>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</si>
  <si>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</si>
  <si>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</si>
  <si>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</si>
  <si>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</si>
  <si>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</si>
  <si>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</si>
  <si>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</si>
  <si>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</si>
  <si>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</si>
  <si>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</si>
  <si>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</si>
  <si>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</si>
  <si>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</si>
  <si>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</si>
  <si>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</si>
  <si>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</si>
  <si>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</si>
  <si>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</si>
  <si>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</si>
  <si>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</si>
  <si>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</si>
  <si>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</si>
  <si>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</si>
  <si>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</si>
  <si>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</si>
  <si>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</si>
  <si>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</si>
  <si>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</si>
  <si>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</si>
  <si>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</si>
  <si>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</si>
  <si>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</si>
  <si>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</si>
  <si>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</si>
  <si>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</si>
  <si>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</si>
  <si>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</si>
  <si>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</si>
  <si>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</si>
  <si>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</si>
  <si>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</si>
  <si>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</si>
  <si>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</si>
  <si>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</si>
  <si>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</si>
  <si>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</si>
  <si>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</si>
  <si>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</si>
  <si>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</si>
  <si>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</si>
  <si>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</si>
  <si>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</si>
  <si>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</si>
  <si>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</si>
  <si>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</si>
  <si>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</si>
  <si>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</si>
  <si>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</si>
  <si>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</si>
  <si>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</si>
  <si>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</si>
  <si>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</si>
  <si>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</si>
  <si>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</si>
  <si>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</si>
  <si>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</si>
  <si>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</si>
  <si>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</si>
  <si>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</si>
  <si>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</si>
  <si>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</si>
  <si>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</si>
  <si>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</si>
  <si>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</si>
  <si>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</si>
  <si>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</si>
  <si>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</si>
  <si>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</si>
  <si>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</si>
  <si>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</si>
  <si>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</si>
  <si>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</si>
  <si>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</si>
  <si>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</si>
  <si>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</si>
  <si>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</si>
  <si>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</si>
  <si>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</si>
  <si>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</si>
  <si>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</si>
  <si>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</si>
  <si>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</si>
  <si>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</si>
  <si>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</si>
  <si>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</si>
  <si>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</si>
  <si>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</si>
  <si>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</si>
  <si>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</si>
  <si>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</si>
  <si>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</si>
  <si>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</si>
  <si>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</si>
  <si>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</si>
  <si>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</si>
  <si>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</si>
  <si>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</si>
  <si>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</si>
  <si>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</si>
  <si>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</si>
  <si>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</si>
  <si>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</si>
  <si>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</si>
  <si>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</si>
  <si>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</si>
  <si>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</si>
  <si>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</si>
  <si>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</si>
  <si>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</si>
  <si>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</si>
  <si>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</si>
  <si>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</si>
  <si>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</si>
  <si>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</si>
  <si>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</si>
  <si>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</si>
  <si>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</si>
  <si>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</si>
  <si>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</si>
  <si>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</si>
  <si>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</si>
  <si>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</si>
  <si>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</si>
  <si>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</si>
  <si>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</si>
  <si>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</si>
  <si>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</si>
  <si>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</si>
  <si>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</si>
  <si>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</si>
  <si>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</si>
  <si>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</si>
  <si>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</si>
  <si>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</si>
  <si>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</si>
  <si>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</si>
  <si>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</si>
  <si>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</si>
  <si>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</si>
  <si>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</si>
  <si>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</si>
  <si>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</si>
  <si>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</si>
  <si>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</si>
  <si>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</si>
  <si>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</si>
  <si>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</si>
  <si>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</si>
  <si>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</si>
  <si>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</si>
  <si>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</si>
  <si>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</si>
  <si>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</si>
  <si>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</si>
  <si>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</si>
  <si>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</si>
  <si>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</si>
  <si>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</si>
  <si>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</si>
  <si>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</si>
  <si>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</si>
  <si>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</si>
  <si>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</si>
  <si>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</si>
  <si>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</si>
  <si>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</si>
  <si>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</si>
  <si>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</si>
  <si>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</si>
  <si>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</si>
  <si>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</si>
  <si>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</si>
  <si>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</si>
  <si>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</si>
  <si>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</si>
  <si>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</si>
  <si>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</si>
  <si>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</si>
  <si>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</si>
  <si>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</si>
  <si>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</si>
  <si>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</si>
  <si>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</si>
  <si>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</si>
  <si>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</si>
  <si>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</si>
  <si>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</si>
  <si>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</si>
  <si>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</si>
  <si>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</si>
  <si>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</si>
  <si>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</si>
  <si>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</si>
  <si>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</si>
  <si>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</si>
  <si>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</si>
  <si>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</si>
  <si>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</si>
  <si>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</si>
  <si>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</si>
  <si>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</si>
  <si>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</si>
  <si>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</si>
  <si>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</si>
  <si>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</si>
  <si>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</si>
  <si>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</si>
  <si>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</si>
  <si>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</si>
  <si>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</si>
  <si>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</si>
  <si>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</si>
  <si>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</si>
  <si>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</si>
  <si>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</si>
  <si>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</si>
  <si>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</si>
  <si>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</si>
  <si>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</si>
  <si>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</si>
  <si>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</si>
  <si>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</si>
  <si>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</si>
  <si>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</si>
  <si>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</si>
  <si>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</si>
  <si>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</si>
  <si>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</si>
  <si>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</si>
  <si>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</si>
  <si>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</si>
  <si>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</si>
  <si>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</si>
  <si>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</si>
  <si>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</si>
  <si>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</si>
  <si>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</si>
  <si>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</si>
  <si>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</si>
  <si>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</si>
  <si>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</si>
  <si>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</si>
  <si>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</si>
  <si>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</si>
  <si>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</si>
  <si>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</si>
  <si>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</si>
  <si>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</si>
  <si>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</si>
  <si>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</si>
  <si>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</si>
  <si>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</si>
  <si>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</si>
  <si>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</si>
  <si>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</si>
  <si>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</si>
  <si>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</si>
  <si>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</si>
  <si>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</si>
  <si>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</si>
  <si>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</si>
  <si>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</si>
  <si>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</si>
  <si>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</si>
  <si>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</si>
  <si>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</si>
  <si>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</si>
  <si>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</si>
  <si>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</si>
  <si>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</si>
  <si>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</si>
  <si>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</si>
  <si>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</si>
  <si>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</si>
  <si>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</si>
  <si>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</si>
  <si>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</si>
  <si>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</si>
  <si>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</si>
  <si>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</si>
  <si>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</si>
  <si>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</si>
  <si>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</si>
  <si>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</si>
  <si>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</si>
  <si>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</si>
  <si>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</si>
  <si>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</si>
  <si>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</si>
  <si>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</si>
  <si>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</si>
  <si>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</si>
  <si>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</si>
  <si>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</si>
  <si>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</si>
  <si>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</si>
  <si>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</si>
  <si>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</si>
  <si>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</si>
  <si>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</si>
  <si>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</si>
  <si>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</si>
  <si>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</si>
  <si>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</si>
  <si>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</si>
  <si>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</si>
  <si>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</si>
  <si>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</si>
  <si>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</si>
  <si>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</si>
  <si>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</si>
  <si>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</si>
  <si>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</si>
  <si>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</si>
  <si>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</si>
  <si>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</si>
  <si>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</si>
  <si>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</si>
  <si>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</si>
  <si>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</si>
  <si>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</si>
  <si>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</si>
  <si>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</si>
  <si>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</si>
  <si>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</si>
  <si>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</si>
  <si>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</si>
  <si>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</si>
  <si>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</si>
  <si>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</si>
  <si>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</si>
  <si>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</si>
  <si>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</si>
  <si>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</si>
  <si>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</si>
  <si>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</si>
  <si>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</si>
  <si>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</si>
  <si>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</si>
  <si>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</si>
  <si>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</si>
  <si>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</si>
  <si>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</si>
  <si>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</si>
  <si>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</si>
  <si>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</si>
  <si>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</si>
  <si>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</si>
  <si>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</si>
  <si>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</si>
  <si>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</si>
  <si>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</si>
  <si>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</si>
  <si>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</si>
  <si>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</si>
  <si>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</si>
  <si>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</si>
  <si>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</si>
  <si>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</si>
  <si>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</si>
  <si>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</si>
  <si>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</si>
  <si>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</si>
  <si>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</si>
  <si>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</si>
  <si>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</si>
  <si>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</si>
  <si>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</si>
  <si>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</si>
  <si>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</si>
  <si>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</si>
  <si>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</si>
  <si>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</si>
  <si>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</si>
  <si>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</si>
  <si>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</si>
  <si>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</si>
  <si>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</si>
  <si>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</si>
  <si>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</si>
  <si>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</si>
  <si>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</si>
  <si>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</si>
  <si>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</si>
  <si>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</si>
  <si>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</si>
  <si>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</si>
  <si>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</si>
  <si>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</si>
  <si>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</si>
  <si>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</si>
  <si>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</si>
  <si>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</si>
  <si>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</si>
  <si>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</si>
  <si>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</si>
  <si>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</si>
  <si>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</si>
  <si>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</si>
  <si>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</si>
  <si>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</si>
  <si>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</si>
  <si>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</si>
  <si>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</si>
  <si>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</si>
  <si>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</si>
  <si>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</si>
  <si>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</si>
  <si>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</si>
  <si>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</si>
  <si>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</si>
  <si>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</si>
  <si>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</si>
  <si>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</si>
  <si>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</si>
  <si>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</si>
  <si>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</si>
  <si>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</si>
  <si>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</si>
  <si>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</si>
  <si>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</si>
  <si>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</si>
  <si>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</si>
  <si>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</si>
  <si>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</si>
  <si>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</si>
  <si>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</si>
  <si>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</si>
  <si>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</si>
  <si>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</si>
  <si>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</si>
  <si>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</si>
  <si>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</si>
  <si>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</si>
  <si>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</si>
  <si>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</si>
  <si>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</si>
  <si>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</si>
  <si>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</si>
  <si>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</si>
  <si>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</si>
  <si>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</si>
  <si>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</si>
  <si>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</si>
  <si>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</si>
  <si>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</si>
  <si>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</si>
  <si>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</si>
  <si>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</si>
  <si>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</si>
  <si>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</si>
  <si>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</si>
  <si>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</si>
  <si>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</si>
  <si>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</si>
  <si>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</si>
  <si>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</si>
  <si>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</si>
  <si>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</si>
  <si>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</si>
  <si>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</si>
  <si>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</si>
  <si>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</si>
  <si>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</si>
  <si>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</si>
  <si>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</si>
  <si>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</si>
  <si>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</si>
  <si>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</si>
  <si>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</si>
  <si>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</si>
  <si>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</si>
  <si>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</si>
  <si>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</si>
  <si>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</si>
  <si>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</si>
  <si>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</si>
  <si>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</si>
  <si>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</si>
  <si>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</si>
  <si>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</si>
  <si>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</si>
  <si>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</si>
  <si>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</si>
  <si>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</si>
  <si>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</si>
  <si>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</si>
  <si>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</si>
  <si>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</si>
  <si>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</si>
  <si>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</si>
  <si>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</si>
  <si>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</si>
  <si>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</si>
  <si>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</si>
  <si>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</si>
  <si>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</si>
  <si>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</si>
  <si>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</si>
  <si>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</si>
  <si>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</si>
  <si>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</si>
  <si>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</si>
  <si>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</si>
  <si>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</si>
  <si>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</si>
  <si>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</si>
  <si>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</si>
  <si>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</si>
  <si>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</si>
  <si>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</si>
  <si>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</si>
  <si>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</si>
  <si>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</si>
  <si>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</si>
  <si>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</si>
  <si>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</si>
  <si>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</si>
  <si>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</si>
  <si>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</si>
  <si>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</si>
  <si>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</si>
  <si>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</si>
  <si>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</si>
  <si>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</si>
  <si>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</si>
  <si>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</si>
  <si>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</si>
  <si>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</si>
  <si>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</si>
  <si>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</si>
  <si>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</si>
  <si>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</si>
  <si>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</si>
  <si>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</si>
  <si>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</si>
  <si>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</si>
  <si>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</si>
  <si>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</si>
  <si>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</si>
  <si>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</si>
  <si>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</si>
  <si>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</si>
  <si>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</si>
  <si>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</si>
  <si>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</si>
  <si>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</si>
  <si>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</si>
  <si>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</si>
  <si>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</si>
  <si>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</si>
  <si>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</si>
  <si>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</si>
  <si>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</si>
  <si>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</si>
  <si>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</si>
  <si>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</si>
  <si>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</si>
  <si>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</si>
  <si>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</si>
  <si>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</si>
  <si>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</si>
  <si>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</si>
  <si>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</si>
  <si>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</si>
  <si>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</si>
  <si>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</si>
  <si>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</si>
  <si>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</si>
  <si>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</si>
  <si>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</si>
  <si>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</si>
  <si>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</si>
  <si>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</si>
  <si>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</si>
  <si>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</si>
  <si>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</si>
  <si>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</si>
  <si>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</si>
  <si>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</si>
  <si>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</si>
  <si>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</si>
  <si>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</si>
  <si>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</si>
  <si>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</si>
  <si>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</si>
  <si>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</si>
  <si>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</si>
  <si>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</si>
  <si>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</si>
  <si>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</si>
  <si>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</si>
  <si>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</si>
  <si>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</si>
  <si>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</si>
  <si>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</si>
  <si>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</si>
  <si>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</si>
  <si>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</si>
  <si>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</si>
  <si>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</si>
  <si>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</si>
  <si>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</si>
  <si>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</si>
  <si>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</si>
  <si>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</si>
  <si>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</si>
  <si>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</si>
  <si>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</si>
  <si>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</si>
  <si>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</si>
  <si>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</si>
  <si>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</si>
  <si>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</si>
  <si>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</si>
  <si>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</si>
  <si>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</si>
  <si>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</si>
  <si>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</si>
  <si>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</si>
  <si>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</si>
  <si>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</si>
  <si>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</si>
  <si>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</si>
  <si>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</si>
  <si>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</si>
  <si>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</si>
  <si>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</si>
  <si>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</si>
  <si>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</si>
  <si>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</si>
  <si>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</si>
  <si>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</si>
  <si>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</si>
  <si>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</si>
  <si>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</si>
  <si>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</si>
  <si>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</si>
  <si>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</si>
  <si>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</si>
  <si>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</si>
  <si>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</si>
  <si>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</si>
  <si>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</si>
  <si>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</si>
  <si>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</si>
  <si>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</si>
  <si>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</si>
  <si>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</si>
  <si>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</si>
  <si>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</si>
  <si>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</si>
  <si>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</si>
  <si>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</si>
  <si>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</si>
  <si>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</si>
  <si>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</si>
  <si>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</si>
  <si>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</si>
  <si>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</si>
  <si>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</si>
  <si>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</si>
  <si>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</si>
  <si>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</si>
  <si>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</si>
  <si>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</si>
  <si>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</si>
  <si>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</si>
  <si>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</si>
  <si>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</si>
  <si>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</si>
  <si>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</si>
  <si>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</si>
  <si>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</si>
  <si>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</si>
  <si>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</si>
  <si>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</si>
  <si>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</si>
  <si>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</si>
  <si>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</si>
  <si>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</si>
  <si>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</si>
  <si>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</si>
  <si>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</si>
  <si>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</si>
  <si>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</si>
  <si>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</si>
  <si>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</si>
  <si>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</si>
  <si>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</si>
  <si>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</si>
  <si>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</si>
  <si>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</si>
  <si>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</si>
  <si>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</si>
  <si>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</si>
  <si>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</si>
  <si>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</si>
  <si>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</si>
  <si>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</si>
  <si>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</si>
  <si>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</si>
  <si>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</si>
  <si>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</si>
  <si>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</si>
  <si>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</si>
  <si>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</si>
  <si>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</si>
  <si>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</si>
  <si>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</si>
  <si>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</si>
  <si>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</si>
  <si>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</si>
  <si>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</si>
  <si>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</si>
  <si>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</si>
  <si>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</si>
  <si>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</si>
  <si>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</si>
  <si>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</si>
  <si>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</si>
  <si>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</si>
  <si>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</si>
  <si>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</si>
  <si>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</si>
  <si>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</si>
  <si>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</si>
  <si>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</si>
  <si>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</si>
  <si>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</si>
  <si>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</si>
  <si>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</si>
  <si>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</si>
  <si>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</si>
  <si>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</si>
  <si>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</si>
  <si>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</si>
  <si>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</si>
  <si>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</si>
  <si>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</si>
  <si>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</si>
  <si>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</si>
  <si>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</si>
  <si>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</si>
  <si>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</si>
  <si>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</si>
  <si>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</si>
  <si>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</si>
  <si>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</si>
  <si>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</si>
  <si>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</si>
  <si>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</si>
  <si>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</si>
  <si>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</si>
  <si>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</si>
  <si>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</si>
  <si>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</si>
  <si>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</si>
  <si>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</si>
  <si>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</si>
  <si>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</si>
  <si>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</si>
  <si>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</si>
  <si>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</si>
  <si>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</si>
  <si>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</si>
  <si>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</si>
  <si>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</si>
  <si>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</si>
  <si>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</si>
  <si>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</si>
  <si>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</si>
  <si>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</si>
  <si>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</si>
  <si>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</si>
  <si>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</si>
  <si>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</si>
  <si>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</si>
  <si>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</si>
  <si>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</si>
  <si>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</si>
  <si>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</si>
  <si>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</si>
  <si>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</si>
  <si>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</si>
  <si>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</si>
  <si>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</si>
  <si>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</si>
  <si>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</si>
  <si>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</si>
  <si>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</si>
  <si>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</si>
  <si>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</si>
  <si>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</si>
  <si>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</si>
  <si>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</si>
  <si>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</si>
  <si>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</si>
  <si>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</si>
  <si>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</si>
  <si>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</si>
  <si>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</si>
  <si>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</si>
  <si>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</si>
  <si>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</si>
  <si>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</si>
  <si>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</si>
  <si>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</si>
  <si>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</si>
  <si>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</si>
  <si>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</si>
  <si>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</si>
  <si>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</si>
  <si>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</si>
  <si>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</si>
  <si>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</si>
  <si>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</si>
  <si>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</si>
  <si>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</si>
  <si>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</si>
  <si>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</si>
  <si>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</si>
  <si>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</si>
  <si>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</si>
  <si>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</si>
  <si>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</si>
  <si>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</si>
  <si>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</si>
  <si>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</si>
  <si>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</si>
  <si>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</si>
  <si>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</si>
  <si>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</si>
  <si>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</si>
  <si>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</si>
  <si>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</si>
  <si>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</si>
  <si>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</si>
  <si>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</si>
  <si>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</si>
  <si>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</si>
  <si>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</si>
  <si>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</si>
  <si>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</si>
  <si>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</si>
  <si>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</si>
  <si>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</si>
  <si>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</si>
  <si>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</si>
  <si>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</si>
  <si>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</si>
  <si>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</si>
  <si>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</si>
  <si>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</si>
  <si>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</si>
  <si>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</si>
  <si>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</si>
  <si>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</si>
  <si>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</si>
  <si>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</si>
  <si>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</si>
  <si>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</si>
  <si>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</si>
  <si>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</si>
  <si>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</si>
  <si>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</si>
  <si>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</si>
  <si>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</si>
  <si>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</si>
  <si>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</si>
  <si>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</si>
  <si>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</si>
  <si>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</si>
  <si>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</si>
  <si>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</si>
  <si>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</si>
  <si>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</si>
  <si>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</si>
  <si>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</si>
  <si>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</si>
  <si>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</si>
  <si>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</si>
  <si>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</si>
  <si>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</si>
  <si>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</si>
  <si>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</si>
  <si>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</si>
  <si>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</si>
  <si>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</si>
  <si>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</si>
  <si>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</si>
  <si>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</si>
  <si>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</si>
  <si>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</si>
  <si>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</si>
  <si>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</si>
  <si>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</si>
  <si>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</si>
  <si>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</si>
  <si>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</si>
  <si>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</si>
  <si>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</si>
  <si>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</si>
  <si>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</si>
  <si>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</si>
  <si>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</si>
  <si>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</si>
  <si>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</si>
  <si>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</si>
  <si>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</si>
  <si>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</si>
  <si>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</si>
  <si>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</si>
  <si>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</si>
  <si>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</si>
  <si>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</si>
  <si>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</si>
  <si>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</si>
  <si>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</si>
  <si>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</si>
  <si>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</si>
  <si>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</si>
  <si>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</si>
  <si>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</si>
  <si>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</si>
  <si>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</si>
  <si>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</si>
  <si>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</si>
  <si>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</si>
  <si>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</si>
  <si>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</si>
  <si>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</si>
  <si>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</si>
  <si>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</si>
  <si>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</si>
  <si>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</si>
  <si>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</si>
  <si>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</si>
  <si>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</si>
  <si>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</si>
  <si>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</si>
  <si>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</si>
  <si>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</si>
  <si>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</si>
  <si>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</si>
  <si>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</si>
  <si>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</si>
  <si>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</si>
  <si>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</si>
  <si>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</si>
  <si>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</si>
  <si>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</si>
  <si>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</si>
  <si>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</si>
  <si>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</si>
  <si>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</si>
  <si>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</si>
  <si>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</si>
  <si>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</si>
  <si>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</si>
  <si>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</si>
  <si>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</si>
  <si>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</si>
  <si>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</si>
  <si>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</si>
  <si>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</si>
  <si>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</si>
  <si>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</si>
  <si>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</si>
  <si>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</si>
  <si>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</si>
  <si>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</si>
  <si>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</si>
  <si>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</si>
  <si>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</si>
  <si>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</si>
  <si>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</si>
  <si>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</si>
  <si>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</si>
  <si>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</si>
  <si>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</si>
  <si>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</si>
  <si>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</si>
  <si>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</si>
  <si>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</si>
  <si>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</si>
  <si>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</si>
  <si>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</si>
  <si>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</si>
  <si>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</si>
  <si>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</si>
  <si>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</si>
  <si>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</si>
  <si>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</si>
  <si>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</si>
  <si>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</si>
  <si>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</si>
  <si>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</si>
  <si>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</si>
  <si>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</si>
  <si>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</si>
  <si>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</si>
  <si>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</si>
  <si>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</si>
  <si>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</si>
  <si>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</si>
  <si>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</si>
  <si>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</si>
  <si>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</si>
  <si>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</si>
  <si>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</si>
  <si>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</si>
  <si>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</si>
  <si>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</si>
  <si>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</si>
  <si>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</si>
  <si>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</si>
  <si>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</si>
  <si>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</si>
  <si>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</si>
  <si>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</si>
  <si>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</si>
  <si>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</si>
  <si>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</si>
  <si>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</si>
  <si>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</si>
  <si>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</si>
  <si>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</si>
  <si>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</si>
  <si>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</si>
  <si>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</si>
  <si>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</si>
  <si>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</si>
  <si>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</si>
  <si>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</si>
  <si>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</si>
  <si>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</si>
  <si>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</si>
  <si>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</si>
  <si>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</si>
  <si>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</si>
  <si>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</si>
  <si>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</si>
  <si>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</si>
  <si>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</si>
  <si>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</si>
  <si>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</si>
  <si>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</si>
  <si>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</si>
  <si>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</si>
  <si>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</si>
  <si>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</si>
  <si>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</si>
  <si>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</si>
  <si>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</si>
  <si>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</si>
  <si>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</si>
  <si>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</si>
  <si>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</si>
  <si>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</si>
  <si>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</si>
  <si>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</si>
  <si>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</si>
  <si>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</si>
  <si>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</si>
  <si>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</si>
  <si>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</si>
  <si>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</si>
  <si>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</si>
  <si>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</si>
  <si>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</si>
  <si>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</si>
  <si>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</si>
  <si>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</si>
  <si>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</si>
  <si>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</si>
  <si>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</si>
  <si>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</si>
  <si>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</si>
  <si>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</si>
  <si>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</si>
  <si>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</si>
  <si>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</si>
  <si>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</si>
  <si>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</si>
  <si>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</si>
  <si>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</si>
  <si>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</si>
  <si>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</si>
  <si>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</si>
  <si>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</si>
  <si>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</si>
  <si>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</si>
  <si>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</si>
  <si>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</si>
  <si>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</si>
  <si>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</si>
  <si>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</si>
  <si>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</si>
  <si>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</si>
  <si>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</si>
  <si>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</si>
  <si>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</si>
  <si>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</si>
  <si>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</si>
  <si>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</si>
  <si>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</si>
  <si>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</si>
  <si>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</si>
  <si>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</si>
  <si>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</si>
  <si>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</si>
  <si>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</si>
  <si>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</si>
  <si>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</si>
  <si>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</si>
  <si>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</si>
  <si>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</si>
  <si>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</si>
  <si>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</si>
  <si>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</si>
  <si>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</si>
  <si>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</si>
  <si>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</si>
  <si>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</si>
  <si>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</si>
  <si>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</si>
  <si>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</si>
  <si>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</si>
  <si>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</si>
  <si>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</si>
  <si>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</si>
  <si>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</si>
  <si>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</si>
  <si>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</si>
  <si>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</si>
  <si>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</si>
  <si>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</si>
  <si>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</si>
  <si>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</si>
  <si>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</si>
  <si>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</si>
  <si>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</si>
  <si>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</si>
  <si>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</si>
  <si>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</si>
  <si>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</si>
  <si>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</si>
  <si>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</si>
  <si>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</si>
  <si>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</si>
  <si>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</si>
  <si>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</si>
  <si>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</si>
  <si>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</si>
  <si>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</si>
  <si>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</si>
  <si>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</si>
  <si>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</si>
  <si>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</si>
  <si>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</si>
  <si>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</si>
  <si>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</si>
  <si>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</si>
  <si>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</si>
  <si>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</si>
  <si>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</si>
  <si>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</si>
  <si>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</si>
  <si>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</si>
  <si>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</si>
  <si>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</si>
  <si>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</si>
  <si>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</si>
  <si>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</si>
  <si>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</si>
  <si>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</si>
  <si>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</si>
  <si>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</si>
  <si>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</si>
  <si>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</si>
  <si>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</si>
  <si>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</si>
  <si>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</si>
  <si>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</si>
  <si>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</si>
  <si>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</si>
  <si>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</si>
  <si>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</si>
  <si>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</si>
  <si>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</si>
  <si>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</si>
  <si>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</si>
  <si>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</si>
  <si>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</si>
  <si>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</si>
  <si>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</si>
  <si>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</si>
  <si>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</si>
  <si>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</si>
  <si>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</si>
  <si>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</si>
  <si>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</si>
  <si>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</si>
  <si>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</si>
  <si>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</si>
  <si>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</si>
  <si>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</si>
  <si>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</si>
  <si>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</si>
  <si>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</si>
  <si>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</si>
  <si>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</si>
  <si>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</si>
  <si>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</si>
  <si>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</si>
  <si>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</si>
  <si>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</si>
  <si>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</si>
  <si>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</si>
  <si>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</si>
  <si>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</si>
  <si>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</si>
  <si>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</si>
  <si>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</si>
  <si>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</si>
  <si>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</si>
  <si>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</si>
  <si>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</si>
  <si>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</si>
  <si>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</si>
  <si>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</si>
  <si>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</si>
  <si>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</si>
  <si>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</si>
  <si>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</si>
  <si>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</si>
  <si>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</si>
  <si>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</si>
  <si>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</si>
  <si>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</si>
  <si>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</si>
  <si>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</si>
  <si>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</si>
  <si>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</si>
  <si>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</si>
  <si>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</si>
  <si>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</si>
  <si>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</si>
  <si>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</si>
  <si>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</si>
  <si>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</si>
  <si>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</si>
  <si>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</si>
  <si>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</si>
  <si>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</si>
  <si>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</si>
  <si>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</si>
  <si>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</si>
  <si>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</si>
  <si>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</si>
  <si>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</si>
  <si>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</si>
  <si>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</si>
  <si>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</si>
  <si>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</si>
  <si>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</si>
  <si>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</si>
  <si>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</si>
  <si>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</si>
  <si>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</si>
  <si>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</si>
  <si>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</si>
  <si>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</si>
  <si>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</si>
  <si>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</si>
  <si>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</si>
  <si>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</si>
  <si>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</si>
  <si>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</si>
  <si>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</si>
  <si>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</si>
  <si>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</si>
  <si>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</si>
  <si>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</si>
  <si>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</si>
  <si>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</si>
  <si>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</si>
  <si>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</si>
  <si>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</si>
  <si>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</si>
  <si>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</si>
  <si>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</si>
  <si>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</si>
  <si>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</si>
  <si>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</si>
  <si>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</si>
  <si>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</si>
  <si>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</si>
  <si>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</si>
  <si>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</si>
  <si>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</si>
  <si>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</si>
  <si>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</si>
  <si>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</si>
  <si>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</si>
  <si>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</si>
  <si>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</si>
  <si>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</si>
  <si>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</si>
  <si>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</si>
  <si>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</si>
  <si>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</si>
  <si>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</si>
  <si>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</si>
  <si>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</si>
  <si>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</si>
  <si>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</si>
  <si>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</si>
  <si>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</si>
  <si>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</si>
  <si>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</si>
  <si>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</si>
  <si>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</si>
  <si>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</si>
  <si>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</si>
  <si>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</si>
  <si>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</si>
  <si>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</si>
  <si>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</si>
  <si>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</si>
  <si>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</si>
  <si>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</si>
  <si>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</si>
  <si>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</si>
  <si>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</si>
  <si>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</si>
  <si>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</si>
  <si>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</si>
  <si>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</si>
  <si>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</si>
  <si>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</si>
  <si>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</si>
  <si>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</si>
  <si>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</si>
  <si>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</si>
  <si>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</si>
  <si>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</si>
  <si>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</si>
  <si>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</si>
  <si>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</si>
  <si>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</si>
  <si>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</si>
  <si>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</si>
  <si>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</si>
  <si>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</si>
  <si>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</si>
  <si>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</si>
  <si>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</si>
  <si>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</si>
  <si>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</si>
  <si>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</si>
  <si>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</si>
  <si>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</si>
  <si>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</si>
  <si>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</si>
  <si>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</si>
  <si>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</si>
  <si>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</si>
  <si>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</si>
  <si>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</si>
  <si>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</si>
  <si>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</si>
  <si>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</si>
  <si>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</si>
  <si>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</si>
  <si>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</si>
  <si>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</si>
  <si>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</si>
  <si>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</si>
  <si>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</si>
  <si>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</si>
  <si>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</si>
  <si>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</si>
  <si>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</si>
  <si>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</si>
  <si>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</si>
  <si>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</si>
  <si>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</si>
  <si>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</si>
  <si>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</si>
  <si>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</si>
  <si>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</si>
  <si>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</si>
  <si>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</si>
  <si>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</si>
  <si>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</si>
  <si>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</si>
  <si>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</si>
  <si>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</si>
  <si>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</si>
  <si>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</si>
  <si>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</si>
  <si>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</si>
  <si>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</si>
  <si>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</si>
  <si>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</si>
  <si>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</si>
  <si>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</si>
  <si>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</si>
  <si>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</si>
  <si>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</si>
  <si>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</si>
  <si>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</si>
  <si>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</si>
  <si>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</si>
  <si>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</si>
  <si>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</si>
  <si>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</si>
  <si>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</si>
  <si>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</si>
  <si>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</si>
  <si>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</si>
  <si>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</si>
  <si>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</si>
  <si>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</si>
  <si>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</si>
  <si>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</si>
  <si>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</si>
  <si>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</si>
  <si>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</si>
  <si>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</si>
  <si>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</si>
  <si>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</si>
  <si>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</si>
  <si>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</si>
  <si>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</si>
  <si>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</si>
  <si>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</si>
  <si>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</si>
  <si>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</si>
  <si>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</si>
  <si>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</si>
  <si>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</si>
  <si>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</si>
  <si>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</si>
  <si>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</si>
  <si>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</si>
  <si>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</si>
  <si>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</si>
  <si>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</si>
  <si>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</si>
  <si>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</si>
  <si>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</si>
  <si>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</si>
  <si>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</si>
  <si>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</si>
  <si>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</si>
  <si>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</si>
  <si>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</si>
  <si>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</si>
  <si>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</si>
  <si>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</si>
  <si>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</si>
  <si>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</si>
  <si>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</si>
  <si>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</si>
  <si>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</si>
  <si>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</si>
  <si>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</si>
  <si>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</si>
  <si>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</si>
  <si>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</si>
  <si>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</si>
  <si>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</si>
  <si>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</si>
  <si>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</si>
  <si>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</si>
  <si>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</si>
  <si>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</si>
  <si>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</si>
  <si>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</si>
  <si>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</si>
  <si>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</si>
  <si>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</si>
  <si>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</si>
  <si>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</si>
  <si>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</si>
  <si>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</si>
  <si>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</si>
  <si>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</si>
  <si>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</si>
  <si>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</si>
  <si>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</si>
  <si>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</si>
  <si>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</si>
  <si>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</si>
  <si>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</si>
  <si>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</si>
  <si>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</si>
  <si>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</si>
  <si>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</si>
  <si>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</si>
  <si>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</si>
  <si>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</si>
  <si>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</si>
  <si>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</si>
  <si>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</si>
  <si>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</si>
  <si>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</si>
  <si>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</si>
  <si>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</si>
  <si>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</si>
  <si>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</si>
  <si>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</si>
  <si>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</si>
  <si>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</si>
  <si>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</si>
  <si>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</si>
  <si>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</si>
  <si>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</si>
  <si>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</si>
  <si>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</si>
  <si>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</si>
  <si>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</si>
  <si>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</si>
  <si>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</si>
  <si>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</si>
  <si>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</si>
  <si>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</si>
  <si>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</si>
  <si>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</si>
  <si>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</si>
  <si>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</si>
  <si>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</si>
  <si>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</si>
  <si>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</si>
  <si>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</si>
  <si>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</si>
  <si>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</si>
  <si>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</si>
  <si>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</si>
  <si>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</si>
  <si>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</si>
  <si>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</si>
  <si>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</si>
  <si>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</si>
  <si>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</si>
  <si>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</si>
  <si>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</si>
  <si>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</si>
  <si>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</si>
  <si>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</si>
  <si>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</si>
  <si>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</si>
  <si>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</si>
  <si>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</si>
  <si>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</si>
  <si>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</si>
  <si>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</si>
  <si>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</si>
  <si>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</si>
  <si>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</si>
  <si>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</si>
  <si>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</si>
  <si>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</si>
  <si>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</si>
  <si>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</si>
  <si>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</si>
  <si>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</si>
  <si>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</si>
  <si>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</si>
  <si>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</si>
  <si>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</si>
  <si>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</si>
  <si>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</si>
  <si>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</si>
  <si>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</si>
  <si>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</si>
  <si>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</si>
  <si>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</si>
  <si>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</si>
  <si>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</si>
  <si>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</si>
  <si>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</si>
  <si>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</si>
  <si>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</si>
  <si>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</si>
  <si>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</si>
  <si>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</si>
  <si>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</si>
  <si>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</si>
  <si>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</si>
  <si>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</si>
  <si>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</si>
  <si>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</si>
  <si>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</si>
  <si>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</si>
  <si>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</si>
  <si>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</si>
  <si>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</si>
  <si>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</si>
  <si>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</si>
  <si>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</si>
  <si>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</si>
  <si>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</si>
  <si>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</si>
  <si>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</si>
  <si>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</si>
  <si>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</si>
  <si>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</si>
  <si>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</si>
  <si>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</si>
  <si>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</si>
  <si>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</si>
  <si>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</si>
  <si>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</si>
  <si>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</si>
  <si>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</si>
  <si>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</si>
  <si>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</si>
  <si>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</si>
  <si>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</si>
  <si>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</si>
  <si>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</si>
  <si>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</si>
  <si>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</si>
  <si>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</si>
  <si>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</si>
  <si>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</si>
  <si>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</si>
  <si>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</si>
  <si>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</si>
  <si>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</si>
  <si>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</si>
  <si>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</si>
  <si>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</si>
  <si>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</si>
  <si>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</si>
  <si>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</si>
  <si>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</si>
  <si>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</si>
  <si>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</si>
  <si>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</si>
  <si>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</si>
  <si>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</si>
  <si>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</si>
  <si>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</si>
  <si>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</si>
  <si>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</si>
  <si>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</si>
  <si>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</si>
  <si>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</si>
  <si>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</si>
  <si>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</si>
  <si>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</si>
  <si>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</si>
  <si>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</si>
  <si>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</si>
  <si>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</si>
  <si>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</si>
  <si>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</si>
  <si>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</si>
  <si>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</si>
  <si>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</si>
  <si>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</si>
  <si>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</si>
  <si>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</si>
  <si>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</si>
  <si>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</si>
  <si>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</si>
  <si>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</si>
  <si>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</si>
  <si>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</si>
  <si>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</si>
  <si>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</si>
  <si>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</si>
  <si>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</si>
  <si>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</si>
  <si>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</si>
  <si>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</si>
  <si>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</si>
  <si>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</si>
  <si>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</si>
  <si>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</si>
  <si>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</si>
  <si>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</si>
  <si>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</si>
  <si>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</si>
  <si>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</si>
  <si>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</si>
  <si>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</si>
  <si>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</si>
  <si>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</si>
  <si>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</si>
  <si>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</si>
  <si>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</si>
  <si>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</si>
  <si>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</si>
  <si>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</si>
  <si>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</si>
  <si>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</si>
  <si>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</si>
  <si>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</si>
  <si>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</si>
  <si>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</si>
  <si>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</si>
  <si>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</si>
  <si>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</si>
  <si>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</si>
  <si>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</si>
  <si>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</si>
  <si>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</si>
  <si>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</si>
  <si>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</si>
  <si>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</si>
  <si>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</si>
  <si>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</si>
  <si>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</si>
  <si>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</si>
  <si>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</si>
  <si>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</si>
  <si>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</si>
  <si>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</si>
  <si>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</si>
  <si>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</si>
  <si>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</si>
  <si>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</si>
  <si>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</si>
  <si>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</si>
  <si>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</si>
  <si>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</si>
  <si>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</si>
  <si>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</si>
  <si>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</si>
  <si>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</si>
  <si>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</si>
  <si>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</si>
  <si>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</si>
  <si>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</si>
  <si>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</si>
  <si>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</si>
  <si>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</si>
  <si>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</si>
  <si>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</si>
  <si>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</si>
  <si>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</si>
  <si>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</si>
  <si>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</si>
  <si>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</si>
  <si>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</si>
  <si>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</si>
  <si>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</si>
  <si>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</si>
  <si>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</si>
  <si>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</si>
  <si>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</si>
  <si>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</si>
  <si>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</si>
  <si>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</si>
  <si>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</si>
  <si>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</si>
  <si>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</si>
  <si>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</si>
  <si>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</si>
  <si>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</si>
  <si>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</si>
  <si>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</si>
  <si>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</si>
  <si>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</si>
  <si>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</si>
  <si>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</si>
  <si>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</si>
  <si>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</si>
  <si>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</si>
  <si>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</si>
  <si>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</si>
  <si>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</si>
  <si>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</si>
  <si>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</si>
  <si>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</si>
  <si>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</si>
  <si>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</si>
  <si>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</si>
  <si>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</si>
  <si>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</si>
  <si>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</si>
  <si>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</si>
  <si>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</si>
  <si>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</si>
  <si>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</si>
  <si>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</si>
  <si>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</si>
  <si>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</si>
  <si>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</si>
  <si>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</si>
  <si>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</si>
  <si>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</si>
  <si>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</si>
  <si>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</si>
  <si>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</si>
  <si>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</si>
  <si>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</si>
  <si>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</si>
  <si>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</si>
  <si>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</si>
  <si>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</si>
  <si>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</si>
  <si>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</si>
  <si>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</si>
  <si>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</si>
  <si>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</si>
  <si>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</si>
  <si>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</si>
  <si>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</si>
  <si>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</si>
  <si>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</si>
  <si>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</si>
  <si>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</si>
  <si>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</si>
  <si>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</si>
  <si>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</si>
  <si>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</si>
  <si>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</si>
  <si>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</si>
  <si>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</si>
  <si>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</si>
  <si>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</si>
  <si>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</si>
  <si>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</si>
  <si>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</si>
  <si>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</si>
  <si>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</si>
  <si>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</si>
  <si>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</si>
  <si>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</si>
  <si>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</si>
  <si>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</si>
  <si>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</si>
  <si>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</si>
  <si>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</si>
  <si>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</si>
  <si>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</si>
  <si>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</si>
  <si>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</si>
  <si>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</si>
  <si>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</si>
  <si>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</si>
  <si>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</si>
  <si>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</si>
  <si>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</si>
  <si>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</si>
  <si>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</si>
  <si>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</si>
  <si>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</si>
  <si>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</si>
  <si>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</si>
  <si>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</si>
  <si>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</si>
  <si>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</si>
  <si>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</si>
  <si>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</si>
  <si>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</si>
  <si>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</si>
  <si>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</si>
  <si>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</si>
  <si>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</si>
  <si>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</si>
  <si>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</si>
  <si>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</si>
  <si>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</si>
  <si>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</si>
  <si>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</si>
  <si>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</si>
  <si>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</si>
  <si>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</si>
  <si>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</si>
  <si>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</si>
  <si>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</si>
  <si>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</si>
  <si>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</si>
  <si>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</si>
  <si>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</si>
  <si>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</si>
  <si>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</si>
  <si>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</si>
  <si>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</si>
  <si>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</si>
  <si>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</si>
  <si>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</si>
  <si>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</si>
  <si>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</si>
  <si>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</si>
  <si>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</si>
  <si>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</si>
  <si>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</si>
  <si>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</si>
  <si>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</si>
  <si>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</si>
  <si>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</si>
  <si>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</si>
  <si>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</si>
  <si>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</si>
  <si>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</si>
  <si>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</si>
  <si>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</si>
  <si>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</si>
  <si>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</si>
  <si>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</si>
  <si>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</si>
  <si>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</si>
  <si>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</si>
  <si>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</si>
  <si>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</si>
  <si>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</si>
  <si>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</si>
  <si>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</si>
  <si>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</si>
  <si>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</si>
  <si>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</si>
  <si>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</si>
  <si>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</si>
  <si>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</si>
  <si>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</si>
  <si>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</si>
  <si>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</si>
  <si>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</si>
  <si>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</si>
  <si>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</si>
  <si>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</si>
  <si>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</si>
  <si>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</si>
  <si>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</si>
  <si>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</si>
  <si>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</si>
  <si>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</si>
  <si>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</si>
  <si>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</si>
  <si>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</si>
  <si>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</si>
  <si>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</si>
  <si>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</si>
  <si>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</si>
  <si>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</si>
  <si>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</si>
  <si>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</si>
  <si>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</si>
  <si>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</si>
  <si>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</si>
  <si>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</si>
  <si>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</si>
  <si>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</si>
  <si>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</si>
  <si>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</si>
  <si>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</si>
  <si>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</si>
  <si>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</si>
  <si>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</si>
  <si>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</si>
  <si>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</si>
  <si>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</si>
  <si>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</si>
  <si>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</si>
  <si>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</si>
  <si>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</si>
  <si>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</si>
  <si>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</si>
  <si>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</si>
  <si>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</si>
  <si>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</si>
  <si>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</si>
  <si>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</si>
  <si>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</si>
  <si>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</si>
  <si>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</si>
  <si>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</si>
  <si>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</si>
  <si>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</si>
  <si>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</si>
  <si>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</si>
  <si>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</si>
  <si>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</si>
  <si>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</si>
  <si>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</si>
  <si>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</si>
  <si>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</si>
  <si>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</si>
  <si>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</si>
  <si>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</si>
  <si>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</si>
  <si>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</si>
  <si>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</si>
  <si>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</si>
  <si>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</si>
  <si>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</si>
  <si>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</si>
  <si>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</si>
  <si>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</si>
  <si>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</si>
  <si>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</si>
  <si>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</si>
  <si>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</si>
  <si>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</si>
  <si>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</si>
  <si>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</si>
  <si>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</si>
  <si>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</si>
  <si>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</si>
  <si>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</si>
  <si>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</si>
  <si>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</si>
  <si>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</si>
  <si>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</si>
  <si>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</si>
  <si>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</si>
  <si>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</si>
  <si>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</si>
  <si>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</si>
  <si>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</si>
  <si>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</si>
  <si>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</si>
  <si>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</si>
  <si>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是</t>
  </si>
  <si>
    <t>地上</t>
  </si>
  <si>
    <t>住宅</t>
    <phoneticPr fontId="7" type="noConversion"/>
  </si>
  <si>
    <t>成新度</t>
  </si>
  <si>
    <t>利息：取LPR加浮动点数</t>
  </si>
  <si>
    <t>楼层</t>
    <phoneticPr fontId="24" type="noConversion"/>
  </si>
  <si>
    <t>售价</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</si>
  <si>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</si>
  <si>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</si>
  <si>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</si>
  <si>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</si>
  <si>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</si>
  <si>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</si>
  <si>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</si>
  <si>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</si>
  <si>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</si>
  <si>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</si>
  <si>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</si>
  <si>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</si>
  <si>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</si>
  <si>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</si>
  <si>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</si>
  <si>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</si>
  <si>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</si>
  <si>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</si>
  <si>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</si>
  <si>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</si>
  <si>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</si>
  <si>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</si>
  <si>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</si>
  <si>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</si>
  <si>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</si>
  <si>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</si>
  <si>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正常</t>
  </si>
  <si>
    <t>LOFT住宅</t>
  </si>
  <si>
    <t>南北</t>
  </si>
  <si>
    <t>住宅</t>
    <phoneticPr fontId="24" type="noConversion"/>
  </si>
  <si>
    <r>
      <t>60-70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</si>
  <si>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</si>
  <si>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</si>
  <si>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</si>
  <si>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</si>
  <si>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</si>
  <si>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</si>
  <si>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</si>
  <si>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</si>
  <si>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</si>
  <si>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</si>
  <si>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</si>
  <si>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</si>
  <si>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</si>
  <si>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</si>
  <si>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</si>
  <si>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</si>
  <si>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估价对象所在区域基础设施水平</t>
    <phoneticPr fontId="24" type="noConversion"/>
  </si>
  <si>
    <t>城市支路</t>
    <phoneticPr fontId="24" type="noConversion"/>
  </si>
  <si>
    <t>城市支路</t>
    <phoneticPr fontId="24" type="noConversion"/>
  </si>
  <si>
    <t>居委会管理</t>
  </si>
  <si>
    <t>居委会管理</t>
    <phoneticPr fontId="24" type="noConversion"/>
  </si>
  <si>
    <t>砖混</t>
  </si>
  <si>
    <t>砖混</t>
    <phoneticPr fontId="2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</si>
  <si>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</si>
  <si>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</si>
  <si>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</si>
  <si>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</si>
  <si>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</si>
  <si>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多层板楼</t>
    <phoneticPr fontId="24"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</si>
  <si>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</si>
  <si>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</si>
  <si>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</si>
  <si>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</si>
  <si>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</si>
  <si>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</si>
  <si>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</si>
  <si>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</si>
  <si>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</si>
  <si>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</si>
  <si>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</si>
  <si>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</si>
  <si>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</si>
  <si>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</si>
  <si>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</si>
  <si>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</si>
  <si>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</si>
  <si>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</si>
  <si>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</si>
  <si>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</si>
  <si>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</si>
  <si>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</si>
  <si>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</si>
  <si>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</si>
  <si>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</si>
  <si>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</si>
  <si>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</si>
  <si>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</si>
  <si>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</si>
  <si>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</si>
  <si>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</si>
  <si>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</si>
  <si>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</si>
  <si>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</si>
  <si>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</si>
  <si>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</si>
  <si>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</si>
  <si>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</si>
  <si>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</si>
  <si>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</si>
  <si>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</si>
  <si>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</si>
  <si>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</si>
  <si>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</si>
  <si>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</si>
  <si>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</si>
  <si>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</si>
  <si>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</si>
  <si>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</si>
  <si>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</si>
  <si>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</si>
  <si>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</si>
  <si>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</si>
  <si>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</si>
  <si>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</si>
  <si>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</si>
  <si>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</si>
  <si>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</si>
  <si>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</si>
  <si>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</si>
  <si>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</si>
  <si>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</si>
  <si>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</si>
  <si>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</si>
  <si>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</si>
  <si>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</si>
  <si>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2006-21-P-02383-U</t>
    <phoneticPr fontId="3" type="noConversion"/>
  </si>
  <si>
    <t>王晓光</t>
    <phoneticPr fontId="3" type="noConversion"/>
  </si>
  <si>
    <t>230827197804251226</t>
    <phoneticPr fontId="3" type="noConversion"/>
  </si>
  <si>
    <t>北洼西里</t>
    <phoneticPr fontId="3" type="noConversion"/>
  </si>
  <si>
    <t>11号楼</t>
    <phoneticPr fontId="3" type="noConversion"/>
  </si>
  <si>
    <t>6号</t>
    <phoneticPr fontId="3" type="noConversion"/>
  </si>
  <si>
    <t>三室二厅一卫一厨</t>
    <phoneticPr fontId="3" type="noConversion"/>
  </si>
  <si>
    <t>复式、平层√、跃层、错层</t>
    <phoneticPr fontId="3" type="noConversion"/>
  </si>
  <si>
    <t>北京住房公积金管理中心中央国家机关分中心</t>
  </si>
  <si>
    <t>魏伯欣</t>
  </si>
  <si>
    <t>现房</t>
    <phoneticPr fontId="3" type="noConversion"/>
  </si>
  <si>
    <t>可抵押商品住宅</t>
  </si>
  <si>
    <t>刘朝阳</t>
    <phoneticPr fontId="3" type="noConversion"/>
  </si>
  <si>
    <t>六</t>
    <phoneticPr fontId="3" type="noConversion"/>
  </si>
  <si>
    <t xml:space="preserve">二 </t>
    <phoneticPr fontId="3" type="noConversion"/>
  </si>
  <si>
    <t>杨红英</t>
    <phoneticPr fontId="3" type="noConversion"/>
  </si>
  <si>
    <t>新增</t>
    <phoneticPr fontId="3" type="noConversion"/>
  </si>
  <si>
    <t>抵押人错</t>
    <phoneticPr fontId="3" type="noConversion"/>
  </si>
  <si>
    <t>合同</t>
    <phoneticPr fontId="3" type="noConversion"/>
  </si>
  <si>
    <t>王光清</t>
    <phoneticPr fontId="3" type="noConversion"/>
  </si>
  <si>
    <t>刘锫</t>
    <phoneticPr fontId="3" type="noConversion"/>
  </si>
  <si>
    <t>二手房</t>
    <phoneticPr fontId="3" type="noConversion"/>
  </si>
  <si>
    <t>正常</t>
    <phoneticPr fontId="3" type="noConversion"/>
  </si>
  <si>
    <t>双方</t>
    <phoneticPr fontId="3" type="noConversion"/>
  </si>
  <si>
    <t>不含任何税费</t>
    <phoneticPr fontId="3" type="noConversion"/>
  </si>
  <si>
    <t>2006-2-CP-01057-U</t>
    <phoneticPr fontId="3" type="noConversion"/>
  </si>
  <si>
    <t>陈静</t>
    <phoneticPr fontId="3" type="noConversion"/>
  </si>
  <si>
    <t>110109197304240020</t>
    <phoneticPr fontId="3" type="noConversion"/>
  </si>
  <si>
    <t>88196340</t>
    <phoneticPr fontId="3" type="noConversion"/>
  </si>
  <si>
    <t>7号楼</t>
    <phoneticPr fontId="3" type="noConversion"/>
  </si>
  <si>
    <t>3单元</t>
    <phoneticPr fontId="3" type="noConversion"/>
  </si>
  <si>
    <t>1004号</t>
    <phoneticPr fontId="3" type="noConversion"/>
  </si>
  <si>
    <t>王紫薇</t>
    <phoneticPr fontId="3" type="noConversion"/>
  </si>
  <si>
    <t>一室一厅一卫一厨</t>
    <phoneticPr fontId="3" type="noConversion"/>
  </si>
  <si>
    <t>北京住房公积金管理中心住房公积金贷款中心</t>
    <phoneticPr fontId="3" type="noConversion"/>
  </si>
  <si>
    <t>李晓岩</t>
  </si>
  <si>
    <t>二</t>
    <phoneticPr fontId="3" type="noConversion"/>
  </si>
  <si>
    <t>2006-3-1D1-00350CJD</t>
    <phoneticPr fontId="3" type="noConversion"/>
  </si>
  <si>
    <t>裴蓓</t>
  </si>
  <si>
    <t>初审换正式</t>
  </si>
  <si>
    <t>裴蓓</t>
    <phoneticPr fontId="3" type="noConversion"/>
  </si>
  <si>
    <t>现售</t>
    <phoneticPr fontId="3" type="noConversion"/>
  </si>
  <si>
    <t>中介</t>
    <phoneticPr fontId="3" type="noConversion"/>
  </si>
  <si>
    <t>2005-22-P-08647-U</t>
    <phoneticPr fontId="3" type="noConversion"/>
  </si>
  <si>
    <t>吕刚</t>
    <phoneticPr fontId="3" type="noConversion"/>
  </si>
  <si>
    <t>630104761220201</t>
    <phoneticPr fontId="3" type="noConversion"/>
  </si>
  <si>
    <t>13521440810</t>
    <phoneticPr fontId="3" type="noConversion"/>
  </si>
  <si>
    <t>北洼西里22号中海雅园</t>
    <phoneticPr fontId="3" type="noConversion"/>
  </si>
  <si>
    <t>中7号楼</t>
    <phoneticPr fontId="3" type="noConversion"/>
  </si>
  <si>
    <t>6层</t>
    <phoneticPr fontId="3" type="noConversion"/>
  </si>
  <si>
    <t>701号</t>
    <phoneticPr fontId="3" type="noConversion"/>
  </si>
  <si>
    <t>三室一厅二卫一厨</t>
    <phoneticPr fontId="3" type="noConversion"/>
  </si>
  <si>
    <t>北京住房公积金管理中心海淀管理部</t>
    <phoneticPr fontId="3" type="noConversion"/>
  </si>
  <si>
    <t>魏伯欣</t>
    <phoneticPr fontId="3" type="noConversion"/>
  </si>
  <si>
    <t>邹晓鸣</t>
    <phoneticPr fontId="3" type="noConversion"/>
  </si>
  <si>
    <t>新增</t>
  </si>
  <si>
    <t>不含税费</t>
    <phoneticPr fontId="3" type="noConversion"/>
  </si>
  <si>
    <t>2005-22-P-18979-U</t>
    <phoneticPr fontId="3" type="noConversion"/>
  </si>
  <si>
    <t>孟淼</t>
    <phoneticPr fontId="3" type="noConversion"/>
  </si>
  <si>
    <t>120221197909260026</t>
    <phoneticPr fontId="3" type="noConversion"/>
  </si>
  <si>
    <t>13366851432</t>
    <phoneticPr fontId="3" type="noConversion"/>
  </si>
  <si>
    <t>2单元</t>
    <phoneticPr fontId="3" type="noConversion"/>
  </si>
  <si>
    <t>1404号</t>
    <phoneticPr fontId="3" type="noConversion"/>
  </si>
  <si>
    <t>李晓岩</t>
    <phoneticPr fontId="3" type="noConversion"/>
  </si>
  <si>
    <t>十一</t>
    <phoneticPr fontId="3" type="noConversion"/>
  </si>
  <si>
    <t>五</t>
    <phoneticPr fontId="3" type="noConversion"/>
  </si>
  <si>
    <t>正式报告</t>
    <phoneticPr fontId="3" type="noConversion"/>
  </si>
  <si>
    <t>王德华</t>
    <phoneticPr fontId="3" type="noConversion"/>
  </si>
  <si>
    <t>张国威</t>
    <phoneticPr fontId="3" type="noConversion"/>
  </si>
  <si>
    <t>含装修</t>
    <phoneticPr fontId="3" type="noConversion"/>
  </si>
  <si>
    <t>成本法 (元)</t>
  </si>
  <si>
    <t>2002基准地价</t>
  </si>
  <si>
    <t>建筑面积</t>
  </si>
  <si>
    <t>土地面积</t>
  </si>
  <si>
    <t>总价</t>
  </si>
  <si>
    <t>元</t>
  </si>
  <si>
    <t>用途/地上主用途</t>
  </si>
  <si>
    <t>位置</t>
  </si>
  <si>
    <t>楼面单价</t>
  </si>
  <si>
    <t>用途类别</t>
  </si>
  <si>
    <t>居住用地（指二类居住用地）</t>
  </si>
  <si>
    <t>设定容积率</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</si>
  <si>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</si>
  <si>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</si>
  <si>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</si>
  <si>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</si>
  <si>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</si>
  <si>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</si>
  <si>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</si>
  <si>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</si>
  <si>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</si>
  <si>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</si>
  <si>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</si>
  <si>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</si>
  <si>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</si>
  <si>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土地还原率</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</si>
  <si>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</si>
  <si>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</si>
  <si>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</si>
  <si>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</si>
  <si>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</si>
  <si>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</si>
  <si>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</si>
  <si>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</si>
  <si>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</si>
  <si>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</si>
  <si>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</si>
  <si>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</si>
  <si>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七通一平</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</si>
  <si>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</si>
  <si>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</si>
  <si>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</si>
  <si>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</si>
  <si>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</si>
  <si>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</si>
  <si>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</si>
  <si>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</si>
  <si>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</si>
  <si>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</si>
  <si>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</si>
  <si>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</si>
  <si>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</si>
  <si>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</si>
  <si>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</si>
  <si>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</si>
  <si>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</si>
  <si>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</si>
  <si>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</si>
  <si>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综合平均</t>
  </si>
  <si>
    <t>办公/综合</t>
  </si>
  <si>
    <t>住宅/居住</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</si>
  <si>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</si>
  <si>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</si>
  <si>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</si>
  <si>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</si>
  <si>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</si>
  <si>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合计</t>
  </si>
  <si>
    <t>较差</t>
  </si>
  <si>
    <t>差</t>
  </si>
  <si>
    <t xml:space="preserve"> 商业繁华程度</t>
  </si>
  <si>
    <t>交通便捷度</t>
  </si>
  <si>
    <t>区域土地利用方向</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</si>
  <si>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</si>
  <si>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</si>
  <si>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</si>
  <si>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</si>
  <si>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</si>
  <si>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</si>
  <si>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</si>
  <si>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</si>
  <si>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</si>
  <si>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</si>
  <si>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</si>
  <si>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</si>
  <si>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</si>
  <si>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</si>
  <si>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</si>
  <si>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</si>
  <si>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</si>
  <si>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</si>
  <si>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</si>
  <si>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</si>
  <si>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</si>
  <si>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</si>
  <si>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</si>
  <si>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</si>
  <si>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t>成本法</t>
  </si>
  <si>
    <t>基础信息</t>
  </si>
  <si>
    <t>一、房屋重置成本价</t>
  </si>
  <si>
    <t>建筑物耐用年限</t>
  </si>
  <si>
    <t>序号</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</si>
  <si>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</si>
  <si>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</si>
  <si>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</si>
  <si>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</si>
  <si>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</si>
  <si>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</si>
  <si>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</si>
  <si>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</si>
  <si>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</si>
  <si>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</si>
  <si>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</si>
  <si>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</si>
  <si>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</si>
  <si>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</si>
  <si>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</si>
  <si>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</si>
  <si>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</si>
  <si>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</si>
  <si>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</si>
  <si>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</si>
  <si>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</si>
  <si>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</si>
  <si>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</si>
  <si>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</si>
  <si>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</si>
  <si>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</si>
  <si>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</si>
  <si>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</si>
  <si>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</si>
  <si>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</si>
  <si>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</si>
  <si>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</si>
  <si>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</si>
  <si>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</si>
  <si>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</si>
  <si>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</si>
  <si>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</si>
  <si>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</si>
  <si>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</si>
  <si>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</si>
  <si>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</si>
  <si>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</si>
  <si>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</si>
  <si>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</si>
  <si>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</si>
  <si>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</si>
  <si>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</si>
  <si>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</si>
  <si>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</si>
  <si>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</si>
  <si>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</si>
  <si>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（3）</t>
  </si>
  <si>
    <t>室外工程费</t>
  </si>
  <si>
    <t>公共配套设施建设费</t>
  </si>
  <si>
    <t>10%-15%计取</t>
  </si>
  <si>
    <t>（非住宅不计）</t>
  </si>
  <si>
    <t>基础设施建设费</t>
  </si>
  <si>
    <t>5%-15%计取</t>
  </si>
  <si>
    <t>建筑物结构</t>
  </si>
  <si>
    <t>2%-5%计取</t>
  </si>
  <si>
    <t>建筑使用方向</t>
  </si>
  <si>
    <t>建成年代</t>
  </si>
  <si>
    <t>建设期</t>
  </si>
  <si>
    <t>（三）</t>
  </si>
  <si>
    <t>房屋重置成本价</t>
  </si>
  <si>
    <t>土地开发期</t>
  </si>
  <si>
    <t>单价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</si>
  <si>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</si>
  <si>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</si>
  <si>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</si>
  <si>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</si>
  <si>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</si>
  <si>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</si>
  <si>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</si>
  <si>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</si>
  <si>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</si>
  <si>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</si>
  <si>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</si>
  <si>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</si>
  <si>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</si>
  <si>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</si>
  <si>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</si>
  <si>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</si>
  <si>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</si>
  <si>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</si>
  <si>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</si>
  <si>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</si>
  <si>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</si>
  <si>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</si>
  <si>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</si>
  <si>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</si>
  <si>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</si>
  <si>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</si>
  <si>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</si>
  <si>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</si>
  <si>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</si>
  <si>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</si>
  <si>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</si>
  <si>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</si>
  <si>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</si>
  <si>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</si>
  <si>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城镇土地纳税等级分级范围</t>
  </si>
  <si>
    <t>周边有中海雅园、北洼西里等住宅小区，居住社区成熟度较好。</t>
    <phoneticPr fontId="40" type="noConversion"/>
  </si>
  <si>
    <t>周边有601路、709路等多条公交线路，综合评价交通便捷度一般</t>
    <phoneticPr fontId="40" type="noConversion"/>
  </si>
  <si>
    <t>银行：等金融机构；
医院：中国人民解放军第304医院等医疗机构；
学校：首都师范大学、首都师范大学附属中学等教育机构；
商业：社区级商业设施；
综合评价公共服务设施齐备度一般。</t>
    <phoneticPr fontId="40" type="noConversion"/>
  </si>
  <si>
    <t>人文环境：首都师范大学等人文场所；
综合评价环境状况一般。</t>
    <phoneticPr fontId="40" type="noConversion"/>
  </si>
  <si>
    <t>颐安嘉园</t>
    <phoneticPr fontId="3" type="noConversion"/>
  </si>
  <si>
    <t>5/7（中楼层）</t>
    <phoneticPr fontId="24" type="noConversion"/>
  </si>
  <si>
    <t>物业公司管理</t>
  </si>
  <si>
    <t>居室</t>
  </si>
  <si>
    <t>厨房</t>
  </si>
  <si>
    <t>卫生间</t>
  </si>
  <si>
    <t>公共部分</t>
  </si>
  <si>
    <t>录入修改时间</t>
  </si>
  <si>
    <t>小区名称</t>
  </si>
  <si>
    <t>楼号</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</si>
  <si>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</si>
  <si>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</si>
  <si>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</si>
  <si>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</si>
  <si>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</si>
  <si>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</si>
  <si>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</si>
  <si>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</si>
  <si>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</si>
  <si>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</si>
  <si>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</si>
  <si>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</si>
  <si>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</si>
  <si>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</si>
  <si>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</si>
  <si>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</si>
  <si>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</si>
  <si>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</si>
  <si>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通讯</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</si>
  <si>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</si>
  <si>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</si>
  <si>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</si>
  <si>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</si>
  <si>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</si>
  <si>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</si>
  <si>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</si>
  <si>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</si>
  <si>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</si>
  <si>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</si>
  <si>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</si>
  <si>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</si>
  <si>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</si>
  <si>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</si>
  <si>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</si>
  <si>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</si>
  <si>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</si>
  <si>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</si>
  <si>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</si>
  <si>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</si>
  <si>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</si>
  <si>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</si>
  <si>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</si>
  <si>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年</t>
  </si>
  <si>
    <t>月</t>
  </si>
  <si>
    <t>日</t>
  </si>
  <si>
    <t>周次</t>
  </si>
  <si>
    <t>变更类型</t>
  </si>
  <si>
    <t>建成年代</t>
    <phoneticPr fontId="3" type="noConversion"/>
  </si>
  <si>
    <t>朝向</t>
    <phoneticPr fontId="3" type="noConversion"/>
  </si>
  <si>
    <t>贷款额度</t>
    <phoneticPr fontId="3" type="noConversion"/>
  </si>
  <si>
    <t>贷款年限</t>
    <phoneticPr fontId="3" type="noConversion"/>
  </si>
  <si>
    <t>11号楼6号</t>
    <phoneticPr fontId="3" type="noConversion"/>
  </si>
  <si>
    <t>不上人屋面</t>
  </si>
  <si>
    <t>外墙涂料</t>
    <phoneticPr fontId="3" type="noConversion"/>
  </si>
  <si>
    <t>外窗：钢窗；户门：防盗门</t>
    <phoneticPr fontId="3" type="noConversion"/>
  </si>
  <si>
    <t>涂料</t>
  </si>
  <si>
    <t>瓷砖</t>
    <phoneticPr fontId="3" type="noConversion"/>
  </si>
  <si>
    <t>地砖</t>
  </si>
  <si>
    <t>木门</t>
  </si>
  <si>
    <t>洗菜池、灶具、抽油烟机等</t>
    <phoneticPr fontId="3" type="noConversion"/>
  </si>
  <si>
    <t>座便器、面盆</t>
    <phoneticPr fontId="3" type="noConversion"/>
  </si>
  <si>
    <t>水泥地面，涂料墙面</t>
    <phoneticPr fontId="3" type="noConversion"/>
  </si>
  <si>
    <t>市政供水</t>
  </si>
  <si>
    <t>市政排水</t>
  </si>
  <si>
    <t>市政供电</t>
  </si>
  <si>
    <t>小区集中供暖</t>
    <phoneticPr fontId="3" type="noConversion"/>
  </si>
  <si>
    <t>管道天然气</t>
  </si>
  <si>
    <t>有线电视、电话线入户</t>
    <phoneticPr fontId="3" type="noConversion"/>
  </si>
  <si>
    <t>消防栓</t>
    <phoneticPr fontId="3" type="noConversion"/>
  </si>
  <si>
    <t>电表磁卡计费</t>
  </si>
  <si>
    <t>电子门禁</t>
    <phoneticPr fontId="3" type="noConversion"/>
  </si>
  <si>
    <t>2部</t>
    <phoneticPr fontId="3" type="noConversion"/>
  </si>
  <si>
    <t>楼前楼后停车</t>
    <phoneticPr fontId="3" type="noConversion"/>
  </si>
  <si>
    <t>自管</t>
    <phoneticPr fontId="3" type="noConversion"/>
  </si>
  <si>
    <t>标准居住区</t>
  </si>
  <si>
    <t>市级、区级、小区级√、街区级</t>
    <phoneticPr fontId="3" type="noConversion"/>
  </si>
  <si>
    <t>城市主干道、城市次干道√、支路</t>
    <phoneticPr fontId="3" type="noConversion"/>
  </si>
  <si>
    <t>有601、709路等公交线路经过</t>
    <phoneticPr fontId="3" type="noConversion"/>
  </si>
  <si>
    <t>利用周围配套设施</t>
  </si>
  <si>
    <t>天然气√、煤气</t>
  </si>
  <si>
    <t>塔楼</t>
    <phoneticPr fontId="3" type="noConversion"/>
  </si>
  <si>
    <t>中等</t>
  </si>
  <si>
    <t>中等</t>
    <phoneticPr fontId="3" type="noConversion"/>
  </si>
  <si>
    <t>七通一平</t>
    <phoneticPr fontId="3" type="noConversion"/>
  </si>
  <si>
    <t>西北</t>
    <phoneticPr fontId="3" type="noConversion"/>
  </si>
  <si>
    <t>2006-2-CP-01057-U</t>
  </si>
  <si>
    <t>7#3-1004</t>
    <phoneticPr fontId="3" type="noConversion"/>
  </si>
  <si>
    <t>不上人屋面</t>
    <phoneticPr fontId="3" type="noConversion"/>
  </si>
  <si>
    <t>涂料</t>
    <phoneticPr fontId="3" type="noConversion"/>
  </si>
  <si>
    <t>外窗：铝合金窗；户门：防盗门</t>
    <phoneticPr fontId="3" type="noConversion"/>
  </si>
  <si>
    <t>铝扣板</t>
    <phoneticPr fontId="3" type="noConversion"/>
  </si>
  <si>
    <t>地砖，卧室木地板</t>
    <phoneticPr fontId="3" type="noConversion"/>
  </si>
  <si>
    <t>地砖</t>
    <phoneticPr fontId="3" type="noConversion"/>
  </si>
  <si>
    <t>木门</t>
    <phoneticPr fontId="3" type="noConversion"/>
  </si>
  <si>
    <t>吊柜</t>
    <phoneticPr fontId="3" type="noConversion"/>
  </si>
  <si>
    <t>洗菜池、橱柜、灶具、抽油烟机</t>
    <phoneticPr fontId="3" type="noConversion"/>
  </si>
  <si>
    <t>水泥地面，涂料墙面</t>
    <phoneticPr fontId="174" type="noConversion"/>
  </si>
  <si>
    <t>市政供水</t>
    <phoneticPr fontId="174" type="noConversion"/>
  </si>
  <si>
    <t>市政排水</t>
    <phoneticPr fontId="3" type="noConversion"/>
  </si>
  <si>
    <t>市政供电</t>
    <phoneticPr fontId="3" type="noConversion"/>
  </si>
  <si>
    <t>集中供暖</t>
    <phoneticPr fontId="174" type="noConversion"/>
  </si>
  <si>
    <t>电表磁卡计量、水表读数计量</t>
    <phoneticPr fontId="3" type="noConversion"/>
  </si>
  <si>
    <t>小区门卫</t>
    <phoneticPr fontId="3" type="noConversion"/>
  </si>
  <si>
    <t>地上停车</t>
    <phoneticPr fontId="3" type="noConversion"/>
  </si>
  <si>
    <t>普通物业管理</t>
    <phoneticPr fontId="3" type="noConversion"/>
  </si>
  <si>
    <t>标准居住区</t>
    <phoneticPr fontId="3" type="noConversion"/>
  </si>
  <si>
    <t>城市主干道√、城市次干道、支路</t>
    <phoneticPr fontId="3" type="noConversion"/>
  </si>
  <si>
    <t>有601路、709路等多条公交线路经过</t>
    <phoneticPr fontId="3" type="noConversion"/>
  </si>
  <si>
    <t>利用周围配套设施</t>
    <phoneticPr fontId="3" type="noConversion"/>
  </si>
  <si>
    <t>天然气√、煤气</t>
    <phoneticPr fontId="3" type="noConversion"/>
  </si>
  <si>
    <t>中</t>
    <phoneticPr fontId="3" type="noConversion"/>
  </si>
  <si>
    <t>七通</t>
    <phoneticPr fontId="3" type="noConversion"/>
  </si>
  <si>
    <t>四</t>
    <phoneticPr fontId="3" type="noConversion"/>
  </si>
  <si>
    <t>东南</t>
    <phoneticPr fontId="3" type="noConversion"/>
  </si>
  <si>
    <t>25.5万</t>
    <phoneticPr fontId="3" type="noConversion"/>
  </si>
  <si>
    <t>15年</t>
    <phoneticPr fontId="3" type="noConversion"/>
  </si>
  <si>
    <r>
      <t>北洼西里</t>
    </r>
    <r>
      <rPr>
        <sz val="10"/>
        <color indexed="8"/>
        <rFont val="宋体"/>
        <family val="3"/>
        <charset val="134"/>
      </rPr>
      <t>22号中海雅园</t>
    </r>
    <phoneticPr fontId="3" type="noConversion"/>
  </si>
  <si>
    <r>
      <t>中</t>
    </r>
    <r>
      <rPr>
        <sz val="10"/>
        <color indexed="8"/>
        <rFont val="宋体"/>
        <family val="3"/>
        <charset val="134"/>
      </rPr>
      <t>7</t>
    </r>
    <phoneticPr fontId="3" type="noConversion"/>
  </si>
  <si>
    <t>外窗：铝合金喷塑窗；外门：防盗门</t>
    <phoneticPr fontId="3" type="noConversion"/>
  </si>
  <si>
    <t>铝扣板吊顶</t>
    <phoneticPr fontId="3" type="noConversion"/>
  </si>
  <si>
    <t>木地板</t>
    <phoneticPr fontId="3" type="noConversion"/>
  </si>
  <si>
    <t>燃气灶、抽油烟机、不锈钢洗菜池、厨柜</t>
    <phoneticPr fontId="3" type="noConversion"/>
  </si>
  <si>
    <t>陶瓷坐便器、洗面盆、浴缸、淋浴房</t>
    <phoneticPr fontId="3" type="noConversion"/>
  </si>
  <si>
    <t>地砖地面，墙砖墙面</t>
    <phoneticPr fontId="3" type="noConversion"/>
  </si>
  <si>
    <t>管道天然气</t>
    <phoneticPr fontId="3" type="noConversion"/>
  </si>
  <si>
    <t>电表出户计量</t>
    <phoneticPr fontId="3" type="noConversion"/>
  </si>
  <si>
    <t>24小时保安值勤；单元对讲</t>
    <phoneticPr fontId="174" type="noConversion"/>
  </si>
  <si>
    <t>合资电梯</t>
    <phoneticPr fontId="3" type="noConversion"/>
  </si>
  <si>
    <t>地上车位</t>
    <phoneticPr fontId="3" type="noConversion"/>
  </si>
  <si>
    <t>专业物业管理</t>
    <phoneticPr fontId="3" type="noConversion"/>
  </si>
  <si>
    <t>市级、区级、小区级、街区级√</t>
    <phoneticPr fontId="3" type="noConversion"/>
  </si>
  <si>
    <r>
      <t>有</t>
    </r>
    <r>
      <rPr>
        <sz val="10"/>
        <color indexed="8"/>
        <rFont val="宋体"/>
        <family val="3"/>
        <charset val="134"/>
      </rPr>
      <t>601、709路等多条公交线路经过</t>
    </r>
    <phoneticPr fontId="3" type="noConversion"/>
  </si>
  <si>
    <t>塔式小高层</t>
    <phoneticPr fontId="3" type="noConversion"/>
  </si>
  <si>
    <t>较好</t>
    <phoneticPr fontId="3" type="noConversion"/>
  </si>
  <si>
    <t>较高</t>
    <phoneticPr fontId="3" type="noConversion"/>
  </si>
  <si>
    <t>高</t>
    <phoneticPr fontId="3" type="noConversion"/>
  </si>
  <si>
    <t>一</t>
    <phoneticPr fontId="3" type="noConversion"/>
  </si>
  <si>
    <t>海淀区北洼西里7号楼</t>
    <phoneticPr fontId="3" type="noConversion"/>
  </si>
  <si>
    <t>2单元1404号</t>
    <phoneticPr fontId="3" type="noConversion"/>
  </si>
  <si>
    <t>外窗：塑钢窗；外门：防盗门</t>
    <phoneticPr fontId="3" type="noConversion"/>
  </si>
  <si>
    <t>无</t>
    <phoneticPr fontId="3" type="noConversion"/>
  </si>
  <si>
    <t>燃气灶、洗菜池、厨柜、抽油烟机</t>
    <phoneticPr fontId="3" type="noConversion"/>
  </si>
  <si>
    <t>座便器、洗面盆</t>
    <phoneticPr fontId="3" type="noConversion"/>
  </si>
  <si>
    <t>电表磁卡计费</t>
    <phoneticPr fontId="3" type="noConversion"/>
  </si>
  <si>
    <t>无</t>
    <phoneticPr fontId="174" type="noConversion"/>
  </si>
  <si>
    <t>1部电梯</t>
    <phoneticPr fontId="3" type="noConversion"/>
  </si>
  <si>
    <t>有601、709、360路等多条公交线路经过</t>
    <phoneticPr fontId="3" type="noConversion"/>
  </si>
  <si>
    <t>高层塔楼</t>
    <phoneticPr fontId="3" type="noConversion"/>
  </si>
  <si>
    <t>中上</t>
    <phoneticPr fontId="3" type="noConversion"/>
  </si>
  <si>
    <t>一般</t>
    <phoneticPr fontId="3" type="noConversion"/>
  </si>
  <si>
    <t>房屋状况</t>
  </si>
  <si>
    <t>新产权证</t>
    <phoneticPr fontId="19" type="noConversion"/>
  </si>
  <si>
    <t>他项权利</t>
  </si>
  <si>
    <t>编号</t>
  </si>
  <si>
    <t>房屋所有权证号</t>
  </si>
  <si>
    <t>房屋座落</t>
  </si>
  <si>
    <t>地号</t>
  </si>
  <si>
    <t>产别</t>
  </si>
  <si>
    <t>幢号</t>
  </si>
  <si>
    <t>房号</t>
  </si>
  <si>
    <t>结构</t>
  </si>
  <si>
    <t>房屋总层数</t>
  </si>
  <si>
    <t>设计用途</t>
  </si>
  <si>
    <t>朝向</t>
  </si>
  <si>
    <t>卖方房屋所有权证号</t>
    <phoneticPr fontId="3" type="noConversion"/>
  </si>
  <si>
    <t>房屋所有权人</t>
    <phoneticPr fontId="3" type="noConversion"/>
  </si>
  <si>
    <t>共有情况</t>
    <phoneticPr fontId="3" type="noConversion"/>
  </si>
  <si>
    <t>登记时间</t>
    <phoneticPr fontId="3" type="noConversion"/>
  </si>
  <si>
    <t>房屋性质</t>
    <phoneticPr fontId="3" type="noConversion"/>
  </si>
  <si>
    <t>至年</t>
  </si>
  <si>
    <t>权利人</t>
  </si>
  <si>
    <t>权利种类</t>
  </si>
  <si>
    <t>权利范围</t>
  </si>
  <si>
    <t>权利价值</t>
  </si>
  <si>
    <t>设定日期</t>
  </si>
  <si>
    <t>约定期限</t>
  </si>
  <si>
    <t>注销日期</t>
  </si>
  <si>
    <t>土地使用年限</t>
  </si>
  <si>
    <t>录入修改人</t>
  </si>
  <si>
    <t>房屋耐用年限</t>
    <phoneticPr fontId="19" type="noConversion"/>
  </si>
  <si>
    <t>剩余使用年限</t>
    <phoneticPr fontId="19" type="noConversion"/>
  </si>
  <si>
    <t>2006-21-P-02383-U</t>
    <phoneticPr fontId="19" type="noConversion"/>
  </si>
  <si>
    <t>京房权证海私移字第0074535号</t>
    <phoneticPr fontId="19" type="noConversion"/>
  </si>
  <si>
    <t>海淀区北洼西里11号楼</t>
    <phoneticPr fontId="3" type="noConversion"/>
  </si>
  <si>
    <t>IV-1-2-2(4)</t>
    <phoneticPr fontId="19" type="noConversion"/>
  </si>
  <si>
    <t>私产</t>
    <phoneticPr fontId="3" type="noConversion"/>
  </si>
  <si>
    <t>6号</t>
    <phoneticPr fontId="19" type="noConversion"/>
  </si>
  <si>
    <t>钢混</t>
    <phoneticPr fontId="3" type="noConversion"/>
  </si>
  <si>
    <t>住宅</t>
    <phoneticPr fontId="19" type="noConversion"/>
  </si>
  <si>
    <t>西北</t>
    <phoneticPr fontId="19" type="noConversion"/>
  </si>
  <si>
    <t>张国威</t>
    <phoneticPr fontId="19" type="noConversion"/>
  </si>
  <si>
    <t>二</t>
    <phoneticPr fontId="19" type="noConversion"/>
  </si>
  <si>
    <t>2006-2-CP-01057-U</t>
    <phoneticPr fontId="19" type="noConversion"/>
  </si>
  <si>
    <t>京房权证海私移字第0046596号</t>
    <phoneticPr fontId="19" type="noConversion"/>
  </si>
  <si>
    <t>海淀区北洼西里7号楼</t>
    <phoneticPr fontId="19" type="noConversion"/>
  </si>
  <si>
    <t>Ⅳ-1-2-1-（4）</t>
    <phoneticPr fontId="19" type="noConversion"/>
  </si>
  <si>
    <t>私产</t>
    <phoneticPr fontId="19" type="noConversion"/>
  </si>
  <si>
    <t>3单元1004</t>
    <phoneticPr fontId="19" type="noConversion"/>
  </si>
  <si>
    <t>钢混</t>
    <phoneticPr fontId="19" type="noConversion"/>
  </si>
  <si>
    <t>一十七</t>
    <phoneticPr fontId="19" type="noConversion"/>
  </si>
  <si>
    <t>东南</t>
    <phoneticPr fontId="19" type="noConversion"/>
  </si>
  <si>
    <t xml:space="preserve"> </t>
    <phoneticPr fontId="19" type="noConversion"/>
  </si>
  <si>
    <t>原产权证</t>
    <phoneticPr fontId="19" type="noConversion"/>
  </si>
  <si>
    <t>京房权证海私移字第0028698号</t>
    <phoneticPr fontId="3" type="noConversion"/>
  </si>
  <si>
    <t>海淀区北洼西里22号中海雅园中7号楼</t>
    <phoneticPr fontId="19" type="noConversion"/>
  </si>
  <si>
    <t>IV-2-3-50（3）</t>
    <phoneticPr fontId="19" type="noConversion"/>
  </si>
  <si>
    <t>中7</t>
    <phoneticPr fontId="19" type="noConversion"/>
  </si>
  <si>
    <t>6层701</t>
    <phoneticPr fontId="19" type="noConversion"/>
  </si>
  <si>
    <t>魏伯欣</t>
    <phoneticPr fontId="19" type="noConversion"/>
  </si>
  <si>
    <t>一</t>
    <phoneticPr fontId="19" type="noConversion"/>
  </si>
  <si>
    <t>2005-22-P-18979-U</t>
    <phoneticPr fontId="19" type="noConversion"/>
  </si>
  <si>
    <t>京房权证海私移字第0051883号</t>
    <phoneticPr fontId="19" type="noConversion"/>
  </si>
  <si>
    <t>IV-1-2-1(4)</t>
    <phoneticPr fontId="19" type="noConversion"/>
  </si>
  <si>
    <t>私有产</t>
    <phoneticPr fontId="3" type="noConversion"/>
  </si>
  <si>
    <t>2单元1404</t>
    <phoneticPr fontId="19" type="noConversion"/>
  </si>
  <si>
    <t>五</t>
    <phoneticPr fontId="19" type="noConversion"/>
  </si>
  <si>
    <t>14/17（高楼层）</t>
    <phoneticPr fontId="24" type="noConversion"/>
  </si>
  <si>
    <t>6/17（低楼层）</t>
    <phoneticPr fontId="24" type="noConversion"/>
  </si>
  <si>
    <t>8/18（中楼层）</t>
    <phoneticPr fontId="24" type="noConversion"/>
  </si>
  <si>
    <t>西北</t>
  </si>
  <si>
    <t>东南</t>
  </si>
  <si>
    <t>塔楼</t>
  </si>
  <si>
    <t>建成年代</t>
    <phoneticPr fontId="24" type="noConversion"/>
  </si>
  <si>
    <t>简单装修</t>
  </si>
  <si>
    <t>简单装修</t>
    <phoneticPr fontId="24" type="noConversion"/>
  </si>
</sst>
</file>

<file path=xl/styles.xml><?xml version="1.0" encoding="utf-8"?>
<styleSheet xmlns="http://schemas.openxmlformats.org/spreadsheetml/2006/main">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DBNum2][$-804]General"/>
    <numFmt numFmtId="198" formatCode="000000"/>
    <numFmt numFmtId="199" formatCode="[DBNum1][$-804]General"/>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1"/>
      <color theme="1"/>
      <name val="宋体"/>
      <family val="3"/>
      <charset val="134"/>
      <scheme val="minor"/>
    </font>
    <font>
      <sz val="12"/>
      <color indexed="8"/>
      <name val="Times New Roman"/>
      <family val="1"/>
    </font>
    <font>
      <b/>
      <sz val="9"/>
      <color indexed="81"/>
      <name val="Times New Roman"/>
      <family val="1"/>
    </font>
    <font>
      <b/>
      <sz val="16"/>
      <color indexed="10"/>
      <name val="宋体"/>
      <family val="3"/>
      <charset val="134"/>
      <scheme val="minor"/>
    </font>
    <font>
      <b/>
      <sz val="12"/>
      <name val="宋体"/>
      <family val="3"/>
      <charset val="134"/>
      <scheme val="minor"/>
    </font>
    <font>
      <sz val="10"/>
      <name val="宋体"/>
      <family val="3"/>
      <charset val="134"/>
      <scheme val="minor"/>
    </font>
    <font>
      <sz val="12"/>
      <name val="宋体"/>
      <family val="3"/>
      <charset val="134"/>
      <scheme val="minor"/>
    </font>
    <font>
      <sz val="11"/>
      <name val="宋体"/>
      <family val="3"/>
      <charset val="134"/>
      <scheme val="minor"/>
    </font>
    <font>
      <b/>
      <sz val="11"/>
      <name val="宋体"/>
      <family val="3"/>
      <charset val="134"/>
      <scheme val="minor"/>
    </font>
    <font>
      <sz val="12"/>
      <color indexed="8"/>
      <name val="宋体"/>
      <family val="3"/>
      <charset val="134"/>
      <scheme val="minor"/>
    </font>
    <font>
      <i/>
      <sz val="12"/>
      <name val="宋体"/>
      <family val="3"/>
      <charset val="134"/>
      <scheme val="minor"/>
    </font>
    <font>
      <sz val="10"/>
      <color indexed="8"/>
      <name val="宋体"/>
      <family val="3"/>
      <charset val="134"/>
      <scheme val="minor"/>
    </font>
    <font>
      <sz val="10"/>
      <color theme="9" tint="-0.249977111117893"/>
      <name val="宋体"/>
      <family val="3"/>
      <charset val="134"/>
      <scheme val="minor"/>
    </font>
    <font>
      <b/>
      <sz val="16"/>
      <color rgb="FFFF0000"/>
      <name val="楷体_GB2312"/>
      <family val="3"/>
      <charset val="134"/>
    </font>
    <font>
      <sz val="12"/>
      <name val="楷体_GB2312"/>
      <family val="3"/>
      <charset val="134"/>
    </font>
    <font>
      <b/>
      <sz val="10"/>
      <name val="宋体"/>
      <family val="3"/>
      <charset val="134"/>
      <scheme val="minor"/>
    </font>
    <font>
      <sz val="10"/>
      <color rgb="FFFF0000"/>
      <name val="宋体"/>
      <family val="3"/>
      <charset val="134"/>
      <scheme val="minor"/>
    </font>
    <font>
      <sz val="10"/>
      <color theme="1"/>
      <name val="楷体_GB2312"/>
      <family val="3"/>
      <charset val="134"/>
    </font>
    <font>
      <sz val="12"/>
      <color rgb="FFFF0000"/>
      <name val="楷体_GB2312"/>
      <family val="3"/>
      <charset val="134"/>
    </font>
    <font>
      <sz val="10"/>
      <name val="仿宋_GB2312"/>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thin">
        <color auto="1"/>
      </left>
      <right style="double">
        <color auto="1"/>
      </right>
      <top style="thin">
        <color auto="1"/>
      </top>
      <bottom style="thin">
        <color auto="1"/>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70" fillId="0" borderId="0" applyFont="0" applyFill="0" applyBorder="0" applyAlignment="0" applyProtection="0">
      <alignment vertical="center"/>
    </xf>
  </cellStyleXfs>
  <cellXfs count="39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49" fontId="94" fillId="0" borderId="14" xfId="0" applyNumberFormat="1"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00" fillId="0" borderId="78" xfId="0" applyFont="1" applyBorder="1" applyAlignment="1" applyProtection="1">
      <alignment horizontal="center" vertical="center" wrapText="1"/>
      <protection locked="0"/>
    </xf>
    <xf numFmtId="0" fontId="128" fillId="6" borderId="57" xfId="0" applyFont="1" applyFill="1" applyBorder="1" applyAlignment="1">
      <alignment horizontal="center" vertical="center" wrapText="1"/>
    </xf>
    <xf numFmtId="0" fontId="44" fillId="9" borderId="5" xfId="0" applyFont="1" applyFill="1" applyBorder="1" applyAlignment="1">
      <alignment horizontal="center" vertical="center" wrapText="1"/>
    </xf>
    <xf numFmtId="0" fontId="44" fillId="9" borderId="28" xfId="0" applyFont="1" applyFill="1" applyBorder="1" applyAlignment="1">
      <alignment horizontal="center" vertical="center" wrapText="1"/>
    </xf>
    <xf numFmtId="0" fontId="128" fillId="9" borderId="5"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176" fontId="80" fillId="22" borderId="1" xfId="0" applyNumberFormat="1" applyFont="1" applyFill="1" applyBorder="1" applyAlignment="1" applyProtection="1">
      <alignment horizontal="center"/>
      <protection locked="0"/>
    </xf>
    <xf numFmtId="185" fontId="80" fillId="22" borderId="1" xfId="0" applyNumberFormat="1" applyFont="1" applyFill="1" applyBorder="1" applyAlignment="1" applyProtection="1">
      <alignment horizontal="center"/>
      <protection locked="0"/>
    </xf>
    <xf numFmtId="197"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22" borderId="1" xfId="0" applyFont="1" applyFill="1" applyBorder="1" applyAlignment="1">
      <alignment horizontal="center"/>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8"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183" fontId="80" fillId="22"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0" fontId="80" fillId="0" borderId="0" xfId="0" applyFont="1" applyAlignment="1" applyProtection="1">
      <alignment horizontal="center"/>
      <protection locked="0"/>
    </xf>
    <xf numFmtId="0" fontId="19" fillId="0" borderId="1" xfId="0" applyFont="1" applyBorder="1" applyAlignment="1"/>
    <xf numFmtId="49" fontId="19" fillId="0" borderId="1" xfId="0" applyNumberFormat="1" applyFont="1" applyBorder="1" applyAlignment="1"/>
    <xf numFmtId="2" fontId="19" fillId="0" borderId="1" xfId="0" applyNumberFormat="1" applyFont="1" applyBorder="1" applyAlignment="1">
      <alignment horizontal="right"/>
    </xf>
    <xf numFmtId="197" fontId="19" fillId="0" borderId="1" xfId="0" applyNumberFormat="1" applyFont="1" applyBorder="1" applyAlignment="1"/>
    <xf numFmtId="9" fontId="19" fillId="0" borderId="1" xfId="0" applyNumberFormat="1" applyFont="1" applyBorder="1" applyAlignment="1">
      <alignment horizontal="right"/>
    </xf>
    <xf numFmtId="197" fontId="19" fillId="0" borderId="1" xfId="0" applyNumberFormat="1" applyFont="1" applyBorder="1" applyAlignment="1">
      <alignment horizontal="right"/>
    </xf>
    <xf numFmtId="0" fontId="19" fillId="0" borderId="1" xfId="0" applyFont="1" applyBorder="1" applyAlignment="1" applyProtection="1">
      <protection locked="0"/>
    </xf>
    <xf numFmtId="31" fontId="19" fillId="0" borderId="1" xfId="0" applyNumberFormat="1" applyFont="1" applyBorder="1" applyAlignment="1"/>
    <xf numFmtId="31" fontId="19" fillId="0" borderId="1" xfId="0" applyNumberFormat="1" applyFont="1" applyBorder="1" applyAlignment="1">
      <alignment horizontal="left"/>
    </xf>
    <xf numFmtId="183" fontId="19" fillId="0" borderId="1" xfId="0" applyNumberFormat="1" applyFont="1" applyBorder="1" applyAlignment="1" applyProtection="1">
      <protection locked="0"/>
    </xf>
    <xf numFmtId="0" fontId="77" fillId="0" borderId="0" xfId="0" applyFont="1" applyAlignment="1"/>
    <xf numFmtId="0" fontId="19" fillId="0" borderId="0" xfId="0" applyFont="1" applyAlignment="1"/>
    <xf numFmtId="0" fontId="19" fillId="0" borderId="1" xfId="0" applyFont="1" applyBorder="1" applyAlignment="1">
      <alignment horizontal="left"/>
    </xf>
    <xf numFmtId="1"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Border="1" applyAlignment="1">
      <alignment horizontal="center"/>
    </xf>
    <xf numFmtId="199" fontId="19" fillId="0" borderId="1" xfId="0" applyNumberFormat="1" applyFont="1" applyBorder="1" applyAlignment="1">
      <alignment horizontal="left"/>
    </xf>
    <xf numFmtId="49" fontId="19" fillId="0" borderId="1" xfId="0" applyNumberFormat="1" applyFont="1" applyBorder="1" applyAlignment="1" applyProtection="1">
      <protection locked="0"/>
    </xf>
    <xf numFmtId="0" fontId="19" fillId="0" borderId="1" xfId="0" applyFont="1" applyBorder="1" applyAlignment="1" applyProtection="1">
      <alignment horizontal="left"/>
      <protection locked="0"/>
    </xf>
    <xf numFmtId="198" fontId="19" fillId="0" borderId="1" xfId="0" applyNumberFormat="1" applyFont="1" applyBorder="1" applyAlignment="1" applyProtection="1">
      <alignment horizontal="left"/>
      <protection locked="0"/>
    </xf>
    <xf numFmtId="198" fontId="19" fillId="0" borderId="1" xfId="0" applyNumberFormat="1" applyFont="1" applyBorder="1" applyAlignment="1" applyProtection="1">
      <alignment horizontal="right"/>
      <protection locked="0"/>
    </xf>
    <xf numFmtId="179" fontId="19" fillId="0" borderId="1" xfId="0" applyNumberFormat="1" applyFont="1" applyBorder="1" applyAlignment="1" applyProtection="1">
      <protection locked="0"/>
    </xf>
    <xf numFmtId="31" fontId="19" fillId="0" borderId="1" xfId="0" applyNumberFormat="1" applyFont="1" applyBorder="1" applyAlignment="1" applyProtection="1">
      <alignment horizontal="right"/>
      <protection locked="0"/>
    </xf>
    <xf numFmtId="0" fontId="19" fillId="0" borderId="1" xfId="0" applyFont="1" applyBorder="1" applyAlignment="1" applyProtection="1">
      <alignment horizontal="center"/>
      <protection locked="0"/>
    </xf>
    <xf numFmtId="0" fontId="77" fillId="0" borderId="1" xfId="0" applyFont="1" applyBorder="1" applyAlignment="1"/>
    <xf numFmtId="49" fontId="77" fillId="0" borderId="1" xfId="0" applyNumberFormat="1" applyFont="1" applyBorder="1" applyAlignment="1"/>
    <xf numFmtId="44" fontId="77" fillId="0" borderId="1" xfId="19" applyFont="1" applyFill="1" applyBorder="1" applyAlignment="1">
      <alignment horizontal="left"/>
    </xf>
    <xf numFmtId="179" fontId="77" fillId="0" borderId="1" xfId="0" applyNumberFormat="1" applyFont="1" applyBorder="1" applyAlignment="1">
      <alignment horizontal="right"/>
    </xf>
    <xf numFmtId="1" fontId="77" fillId="0" borderId="1" xfId="0" applyNumberFormat="1" applyFont="1" applyBorder="1" applyAlignment="1">
      <alignment horizontal="center"/>
    </xf>
    <xf numFmtId="2" fontId="77" fillId="0" borderId="1" xfId="0" applyNumberFormat="1" applyFont="1" applyBorder="1" applyAlignment="1">
      <alignment horizontal="right"/>
    </xf>
    <xf numFmtId="197" fontId="77" fillId="0" borderId="1" xfId="0" applyNumberFormat="1" applyFont="1" applyBorder="1" applyAlignment="1"/>
    <xf numFmtId="9" fontId="77" fillId="0" borderId="1" xfId="0" applyNumberFormat="1" applyFont="1" applyBorder="1" applyAlignment="1"/>
    <xf numFmtId="197" fontId="77" fillId="0" borderId="1" xfId="0" applyNumberFormat="1" applyFont="1" applyBorder="1" applyAlignment="1">
      <alignment horizontal="right"/>
    </xf>
    <xf numFmtId="0" fontId="77" fillId="0" borderId="1" xfId="0" applyFont="1" applyBorder="1" applyAlignment="1" applyProtection="1">
      <protection locked="0"/>
    </xf>
    <xf numFmtId="31" fontId="77" fillId="0" borderId="1" xfId="0" applyNumberFormat="1" applyFont="1" applyBorder="1" applyAlignment="1"/>
    <xf numFmtId="199" fontId="77" fillId="0" borderId="1" xfId="0" applyNumberFormat="1" applyFont="1" applyBorder="1" applyAlignment="1">
      <alignment horizontal="center"/>
    </xf>
    <xf numFmtId="49" fontId="77" fillId="0" borderId="1" xfId="0" applyNumberFormat="1" applyFont="1" applyBorder="1" applyAlignment="1" applyProtection="1">
      <protection locked="0"/>
    </xf>
    <xf numFmtId="198" fontId="77" fillId="0" borderId="1" xfId="0" applyNumberFormat="1" applyFont="1" applyBorder="1" applyAlignment="1" applyProtection="1">
      <protection locked="0"/>
    </xf>
    <xf numFmtId="179" fontId="77" fillId="0" borderId="1" xfId="0" applyNumberFormat="1" applyFont="1" applyBorder="1" applyAlignment="1" applyProtection="1">
      <protection locked="0"/>
    </xf>
    <xf numFmtId="31" fontId="77" fillId="0" borderId="1" xfId="0" applyNumberFormat="1" applyFont="1" applyBorder="1" applyAlignment="1" applyProtection="1">
      <protection locked="0"/>
    </xf>
    <xf numFmtId="183" fontId="77" fillId="0" borderId="1" xfId="0" applyNumberFormat="1" applyFont="1" applyBorder="1" applyAlignment="1" applyProtection="1">
      <protection locked="0"/>
    </xf>
    <xf numFmtId="0" fontId="77" fillId="0" borderId="0" xfId="0" applyFont="1" applyAlignment="1" applyProtection="1">
      <protection locked="0"/>
    </xf>
    <xf numFmtId="0" fontId="19" fillId="0" borderId="0" xfId="0" applyFont="1" applyAlignment="1" applyProtection="1">
      <protection locked="0"/>
    </xf>
    <xf numFmtId="0" fontId="273" fillId="6" borderId="51" xfId="1" applyFont="1" applyFill="1" applyBorder="1">
      <alignment vertical="center"/>
    </xf>
    <xf numFmtId="0" fontId="274" fillId="6" borderId="19" xfId="1" applyFont="1" applyFill="1" applyBorder="1">
      <alignment vertical="center"/>
    </xf>
    <xf numFmtId="0" fontId="275" fillId="6" borderId="0" xfId="10" applyFont="1" applyFill="1" applyAlignment="1">
      <alignment vertical="center" wrapText="1"/>
    </xf>
    <xf numFmtId="0" fontId="274" fillId="6" borderId="1" xfId="1" applyFont="1" applyFill="1" applyBorder="1">
      <alignment vertical="center"/>
    </xf>
    <xf numFmtId="49" fontId="54" fillId="6" borderId="1" xfId="10" applyNumberFormat="1" applyFont="1" applyFill="1" applyBorder="1" applyAlignment="1">
      <alignment horizontal="center" vertical="center" wrapText="1"/>
    </xf>
    <xf numFmtId="0" fontId="275" fillId="7" borderId="0" xfId="10" applyFont="1" applyFill="1" applyAlignment="1" applyProtection="1">
      <alignment vertical="center" wrapText="1"/>
      <protection locked="0"/>
    </xf>
    <xf numFmtId="0" fontId="275" fillId="0" borderId="0" xfId="10" applyFont="1" applyAlignment="1">
      <alignment vertical="center" wrapText="1"/>
    </xf>
    <xf numFmtId="0" fontId="275" fillId="0" borderId="0" xfId="10" applyFont="1" applyAlignment="1">
      <alignment horizontal="center" vertical="center" wrapText="1"/>
    </xf>
    <xf numFmtId="0" fontId="275" fillId="7" borderId="0" xfId="10" applyFont="1" applyFill="1" applyAlignment="1">
      <alignment horizontal="center" vertical="center" wrapText="1"/>
    </xf>
    <xf numFmtId="0" fontId="275" fillId="7" borderId="0" xfId="10" applyFont="1" applyFill="1" applyAlignment="1" applyProtection="1">
      <alignment horizontal="center" vertical="center" wrapText="1"/>
      <protection locked="0"/>
    </xf>
    <xf numFmtId="0" fontId="274" fillId="6" borderId="5" xfId="1" applyFont="1" applyFill="1" applyBorder="1">
      <alignment vertical="center"/>
    </xf>
    <xf numFmtId="0" fontId="274" fillId="6" borderId="54" xfId="1" applyFont="1" applyFill="1" applyBorder="1">
      <alignment vertical="center"/>
    </xf>
    <xf numFmtId="0" fontId="275" fillId="6" borderId="1" xfId="10" applyFont="1" applyFill="1" applyBorder="1" applyAlignment="1">
      <alignment horizontal="left" vertical="center" wrapText="1"/>
    </xf>
    <xf numFmtId="0" fontId="275" fillId="6" borderId="1" xfId="10" applyFont="1" applyFill="1" applyBorder="1" applyAlignment="1">
      <alignment vertical="center" wrapText="1"/>
    </xf>
    <xf numFmtId="0" fontId="275" fillId="6" borderId="1" xfId="10" applyFont="1" applyFill="1" applyBorder="1" applyAlignment="1">
      <alignment horizontal="center" vertical="center" wrapText="1"/>
    </xf>
    <xf numFmtId="0" fontId="275" fillId="5" borderId="1" xfId="10" applyFont="1" applyFill="1" applyBorder="1" applyAlignment="1" applyProtection="1">
      <alignment horizontal="center" vertical="center" wrapText="1"/>
      <protection locked="0"/>
    </xf>
    <xf numFmtId="0" fontId="274" fillId="6" borderId="46" xfId="1" applyFont="1" applyFill="1" applyBorder="1">
      <alignment vertical="center"/>
    </xf>
    <xf numFmtId="0" fontId="57" fillId="6" borderId="58" xfId="1" applyFont="1" applyFill="1" applyBorder="1" applyAlignment="1">
      <alignment horizontal="right" vertical="center"/>
    </xf>
    <xf numFmtId="0" fontId="275" fillId="5" borderId="1" xfId="10" applyFont="1" applyFill="1" applyBorder="1" applyAlignment="1" applyProtection="1">
      <alignment vertical="center" wrapText="1"/>
      <protection locked="0"/>
    </xf>
    <xf numFmtId="0" fontId="275" fillId="5" borderId="1" xfId="10" applyFont="1" applyFill="1" applyBorder="1" applyAlignment="1" applyProtection="1">
      <alignment horizontal="left" vertical="center"/>
      <protection locked="0"/>
    </xf>
    <xf numFmtId="0" fontId="51" fillId="6" borderId="1" xfId="10" applyFont="1" applyFill="1" applyBorder="1" applyAlignment="1">
      <alignment horizontal="center" vertical="center" wrapText="1"/>
    </xf>
    <xf numFmtId="0" fontId="275" fillId="6" borderId="1" xfId="10" applyFont="1" applyFill="1" applyBorder="1" applyAlignment="1">
      <alignment horizontal="left" vertical="center"/>
    </xf>
    <xf numFmtId="0" fontId="53" fillId="6" borderId="1" xfId="10" applyFont="1" applyFill="1" applyBorder="1" applyAlignment="1">
      <alignment horizontal="center" vertical="center" wrapText="1"/>
    </xf>
    <xf numFmtId="0" fontId="274" fillId="6" borderId="3" xfId="1" applyFont="1" applyFill="1" applyBorder="1">
      <alignment vertical="center"/>
    </xf>
    <xf numFmtId="0" fontId="275" fillId="6" borderId="0" xfId="10" applyFont="1" applyFill="1" applyAlignment="1">
      <alignment horizontal="left" vertical="center" wrapText="1"/>
    </xf>
    <xf numFmtId="0" fontId="275" fillId="6" borderId="0" xfId="10" applyFont="1" applyFill="1" applyAlignment="1" applyProtection="1">
      <alignment horizontal="left" vertical="center"/>
      <protection locked="0"/>
    </xf>
    <xf numFmtId="0" fontId="51" fillId="6" borderId="0" xfId="10" applyFont="1" applyFill="1" applyAlignment="1">
      <alignment horizontal="center" vertical="center" wrapText="1"/>
    </xf>
    <xf numFmtId="0" fontId="275" fillId="6" borderId="0" xfId="10" applyFont="1" applyFill="1" applyAlignment="1">
      <alignment horizontal="left" vertical="center"/>
    </xf>
    <xf numFmtId="0" fontId="53" fillId="6" borderId="0" xfId="10" applyFont="1" applyFill="1" applyAlignment="1">
      <alignment horizontal="center" vertical="center" wrapText="1"/>
    </xf>
    <xf numFmtId="0" fontId="57" fillId="6" borderId="47" xfId="10" applyFont="1" applyFill="1" applyBorder="1" applyAlignment="1">
      <alignment vertical="center" wrapText="1"/>
    </xf>
    <xf numFmtId="0" fontId="274" fillId="6" borderId="66" xfId="10" applyFont="1" applyFill="1" applyBorder="1" applyAlignment="1">
      <alignment vertical="center" wrapText="1"/>
    </xf>
    <xf numFmtId="0" fontId="274" fillId="6" borderId="47" xfId="10" applyFont="1" applyFill="1" applyBorder="1" applyAlignment="1">
      <alignment vertical="center" wrapText="1"/>
    </xf>
    <xf numFmtId="0" fontId="274" fillId="6" borderId="73" xfId="10" applyFont="1" applyFill="1" applyBorder="1" applyAlignment="1">
      <alignment vertical="center" wrapText="1"/>
    </xf>
    <xf numFmtId="0" fontId="274" fillId="6" borderId="40" xfId="10" applyFont="1" applyFill="1" applyBorder="1" applyAlignment="1">
      <alignment horizontal="center" vertical="center" wrapText="1"/>
    </xf>
    <xf numFmtId="0" fontId="274" fillId="6" borderId="17" xfId="10" applyFont="1" applyFill="1" applyBorder="1" applyAlignment="1">
      <alignment horizontal="left" vertical="center" wrapText="1"/>
    </xf>
    <xf numFmtId="0" fontId="116" fillId="6" borderId="9" xfId="10" applyFont="1" applyFill="1" applyBorder="1" applyAlignment="1">
      <alignment horizontal="center" vertical="center"/>
    </xf>
    <xf numFmtId="0" fontId="274" fillId="6" borderId="19" xfId="10" applyFont="1" applyFill="1" applyBorder="1" applyAlignment="1">
      <alignment vertical="center" wrapText="1"/>
    </xf>
    <xf numFmtId="0" fontId="276" fillId="6" borderId="19" xfId="10" applyFont="1" applyFill="1" applyBorder="1" applyAlignment="1">
      <alignment vertical="center" wrapText="1"/>
    </xf>
    <xf numFmtId="0" fontId="276" fillId="6" borderId="31" xfId="10" applyFont="1" applyFill="1" applyBorder="1" applyAlignment="1">
      <alignment vertical="center" wrapText="1"/>
    </xf>
    <xf numFmtId="0" fontId="277" fillId="7" borderId="0" xfId="10" applyFont="1" applyFill="1" applyProtection="1">
      <alignment vertical="center"/>
      <protection locked="0"/>
    </xf>
    <xf numFmtId="0" fontId="277" fillId="0" borderId="0" xfId="10" applyFont="1" applyAlignment="1">
      <alignment vertical="center" wrapText="1"/>
    </xf>
    <xf numFmtId="0" fontId="277" fillId="7" borderId="0" xfId="10" applyFont="1" applyFill="1" applyAlignment="1" applyProtection="1">
      <alignment horizontal="center" vertical="center" wrapText="1"/>
      <protection locked="0"/>
    </xf>
    <xf numFmtId="0" fontId="277" fillId="0" borderId="0" xfId="10" applyFont="1" applyAlignment="1">
      <alignment horizontal="center" vertical="center" wrapText="1"/>
    </xf>
    <xf numFmtId="0" fontId="274" fillId="6" borderId="23" xfId="10" applyFont="1" applyFill="1" applyBorder="1" applyAlignment="1">
      <alignment horizontal="center" vertical="center" wrapText="1"/>
    </xf>
    <xf numFmtId="0" fontId="274" fillId="6" borderId="1" xfId="10" applyFont="1" applyFill="1" applyBorder="1" applyAlignment="1">
      <alignment horizontal="left" vertical="center" wrapText="1"/>
    </xf>
    <xf numFmtId="0" fontId="124" fillId="6" borderId="1" xfId="10" applyFont="1" applyFill="1" applyBorder="1" applyAlignment="1">
      <alignment horizontal="center" vertical="center"/>
    </xf>
    <xf numFmtId="0" fontId="274" fillId="6" borderId="5" xfId="10" applyFont="1" applyFill="1" applyBorder="1">
      <alignment vertical="center"/>
    </xf>
    <xf numFmtId="0" fontId="274" fillId="6" borderId="54" xfId="10" applyFont="1" applyFill="1" applyBorder="1" applyAlignment="1">
      <alignment vertical="center" wrapText="1"/>
    </xf>
    <xf numFmtId="0" fontId="276" fillId="6" borderId="54" xfId="10" applyFont="1" applyFill="1" applyBorder="1" applyAlignment="1">
      <alignment vertical="center" wrapText="1"/>
    </xf>
    <xf numFmtId="0" fontId="276" fillId="6" borderId="48" xfId="10" applyFont="1" applyFill="1" applyBorder="1" applyAlignment="1">
      <alignment vertical="center" wrapText="1"/>
    </xf>
    <xf numFmtId="0" fontId="275" fillId="7" borderId="0" xfId="10" applyFont="1" applyFill="1" applyProtection="1">
      <alignment vertical="center"/>
      <protection locked="0"/>
    </xf>
    <xf numFmtId="0" fontId="274" fillId="6" borderId="25" xfId="10" applyFont="1" applyFill="1" applyBorder="1" applyAlignment="1">
      <alignment horizontal="center" vertical="center" wrapText="1"/>
    </xf>
    <xf numFmtId="0" fontId="274" fillId="6" borderId="32" xfId="10" applyFont="1" applyFill="1" applyBorder="1" applyAlignment="1">
      <alignment horizontal="left" vertical="center" wrapText="1"/>
    </xf>
    <xf numFmtId="0" fontId="57" fillId="0" borderId="32" xfId="10" applyFont="1" applyBorder="1" applyAlignment="1" applyProtection="1">
      <alignment horizontal="center" vertical="center" wrapText="1"/>
      <protection locked="0"/>
    </xf>
    <xf numFmtId="0" fontId="278" fillId="6" borderId="32" xfId="10" applyFont="1" applyFill="1" applyBorder="1" applyAlignment="1">
      <alignment horizontal="left" vertical="center"/>
    </xf>
    <xf numFmtId="0" fontId="278" fillId="6" borderId="32" xfId="10" applyFont="1" applyFill="1" applyBorder="1" applyAlignment="1">
      <alignment vertical="center" wrapText="1"/>
    </xf>
    <xf numFmtId="0" fontId="274" fillId="6" borderId="47" xfId="10" applyFont="1" applyFill="1" applyBorder="1">
      <alignment vertical="center"/>
    </xf>
    <xf numFmtId="0" fontId="276" fillId="6" borderId="47" xfId="10" applyFont="1" applyFill="1" applyBorder="1" applyAlignment="1">
      <alignment vertical="center" wrapText="1"/>
    </xf>
    <xf numFmtId="0" fontId="276" fillId="6" borderId="43" xfId="10" applyFont="1" applyFill="1" applyBorder="1" applyAlignment="1">
      <alignment vertical="center" wrapText="1"/>
    </xf>
    <xf numFmtId="0" fontId="274" fillId="6" borderId="14" xfId="10" applyFont="1" applyFill="1" applyBorder="1" applyAlignment="1">
      <alignment horizontal="center" vertical="center" wrapText="1"/>
    </xf>
    <xf numFmtId="0" fontId="274" fillId="6" borderId="15" xfId="10" applyFont="1" applyFill="1" applyBorder="1" applyAlignment="1">
      <alignment horizontal="left" vertical="center" wrapText="1"/>
    </xf>
    <xf numFmtId="186" fontId="57" fillId="6" borderId="58" xfId="10" applyNumberFormat="1" applyFont="1" applyFill="1" applyBorder="1" applyAlignment="1">
      <alignment horizontal="center" vertical="center" wrapText="1"/>
    </xf>
    <xf numFmtId="0" fontId="276" fillId="6" borderId="176" xfId="10" applyFont="1" applyFill="1" applyBorder="1" applyAlignment="1">
      <alignment horizontal="center" vertical="center" wrapText="1"/>
    </xf>
    <xf numFmtId="14" fontId="58" fillId="6" borderId="29" xfId="10" applyNumberFormat="1" applyFont="1" applyFill="1" applyBorder="1" applyAlignment="1">
      <alignment horizontal="center" vertical="center" wrapText="1"/>
    </xf>
    <xf numFmtId="0" fontId="58" fillId="6" borderId="177" xfId="10" applyFont="1" applyFill="1" applyBorder="1" applyAlignment="1">
      <alignment horizontal="center" vertical="center" wrapText="1"/>
    </xf>
    <xf numFmtId="0" fontId="276" fillId="6" borderId="35" xfId="10" applyFont="1" applyFill="1" applyBorder="1" applyAlignment="1">
      <alignment horizontal="center" vertical="center" wrapText="1"/>
    </xf>
    <xf numFmtId="14" fontId="58" fillId="6" borderId="0" xfId="10" applyNumberFormat="1" applyFont="1" applyFill="1" applyAlignment="1">
      <alignment horizontal="center" vertical="center" wrapText="1"/>
    </xf>
    <xf numFmtId="0" fontId="58" fillId="6" borderId="15" xfId="10" applyFont="1" applyFill="1" applyBorder="1" applyAlignment="1">
      <alignment horizontal="center" vertical="center" wrapText="1"/>
    </xf>
    <xf numFmtId="0" fontId="276" fillId="6" borderId="56" xfId="10" applyFont="1" applyFill="1" applyBorder="1" applyAlignment="1">
      <alignment vertical="center" wrapText="1"/>
    </xf>
    <xf numFmtId="0" fontId="274" fillId="6" borderId="26" xfId="10" applyFont="1" applyFill="1" applyBorder="1" applyAlignment="1">
      <alignment horizontal="center" vertical="center" wrapText="1"/>
    </xf>
    <xf numFmtId="0" fontId="274" fillId="6" borderId="84" xfId="10" applyFont="1" applyFill="1" applyBorder="1" applyAlignment="1">
      <alignment horizontal="left" vertical="center" wrapText="1"/>
    </xf>
    <xf numFmtId="186" fontId="57" fillId="6" borderId="34" xfId="10" applyNumberFormat="1" applyFont="1" applyFill="1" applyBorder="1" applyAlignment="1">
      <alignment horizontal="center" vertical="center" wrapText="1"/>
    </xf>
    <xf numFmtId="0" fontId="276" fillId="6" borderId="178" xfId="10" applyFont="1" applyFill="1" applyBorder="1" applyAlignment="1">
      <alignment horizontal="center" vertical="center" wrapText="1"/>
    </xf>
    <xf numFmtId="181" fontId="125" fillId="0" borderId="179" xfId="10" applyNumberFormat="1" applyFont="1" applyBorder="1" applyAlignment="1" applyProtection="1">
      <alignment horizontal="center" vertical="center" wrapText="1"/>
      <protection locked="0"/>
    </xf>
    <xf numFmtId="0" fontId="275" fillId="5" borderId="70" xfId="10" applyFont="1" applyFill="1" applyBorder="1" applyAlignment="1" applyProtection="1">
      <alignment horizontal="center" vertical="center" wrapText="1"/>
      <protection locked="0"/>
    </xf>
    <xf numFmtId="0" fontId="58" fillId="6" borderId="34" xfId="10" applyFont="1" applyFill="1" applyBorder="1" applyAlignment="1">
      <alignment horizontal="center" vertical="center" wrapText="1"/>
    </xf>
    <xf numFmtId="0" fontId="276" fillId="6" borderId="34" xfId="10" applyFont="1" applyFill="1" applyBorder="1" applyAlignment="1">
      <alignment vertical="center" wrapText="1"/>
    </xf>
    <xf numFmtId="0" fontId="276" fillId="6" borderId="65" xfId="10" applyFont="1" applyFill="1" applyBorder="1" applyAlignment="1">
      <alignment vertical="center" wrapText="1"/>
    </xf>
    <xf numFmtId="0" fontId="274" fillId="6" borderId="6" xfId="10" applyFont="1" applyFill="1" applyBorder="1" applyAlignment="1">
      <alignment horizontal="center" vertical="center" wrapText="1"/>
    </xf>
    <xf numFmtId="0" fontId="274" fillId="6" borderId="19" xfId="10" applyFont="1" applyFill="1" applyBorder="1" applyAlignment="1" applyProtection="1">
      <alignment vertical="center" wrapText="1"/>
      <protection locked="0"/>
    </xf>
    <xf numFmtId="0" fontId="58" fillId="6" borderId="9" xfId="10" applyFont="1" applyFill="1" applyBorder="1" applyAlignment="1">
      <alignment horizontal="center" vertical="center" wrapText="1"/>
    </xf>
    <xf numFmtId="0" fontId="276" fillId="5" borderId="9" xfId="10" applyFont="1" applyFill="1" applyBorder="1" applyAlignment="1" applyProtection="1">
      <alignment horizontal="center" vertical="center" wrapText="1"/>
      <protection locked="0"/>
    </xf>
    <xf numFmtId="0" fontId="276" fillId="6" borderId="62" xfId="10" applyFont="1" applyFill="1" applyBorder="1" applyAlignment="1">
      <alignment vertical="center" wrapText="1"/>
    </xf>
    <xf numFmtId="0" fontId="276" fillId="6" borderId="23" xfId="10" applyFont="1" applyFill="1" applyBorder="1" applyAlignment="1">
      <alignment horizontal="center" vertical="center" wrapText="1"/>
    </xf>
    <xf numFmtId="0" fontId="276" fillId="6" borderId="1" xfId="10" applyFont="1" applyFill="1" applyBorder="1" applyAlignment="1">
      <alignment horizontal="left" vertical="center" wrapText="1"/>
    </xf>
    <xf numFmtId="0" fontId="58" fillId="6" borderId="1" xfId="10" applyFont="1" applyFill="1" applyBorder="1" applyAlignment="1">
      <alignment horizontal="center" vertical="center" wrapText="1"/>
    </xf>
    <xf numFmtId="0" fontId="58" fillId="6" borderId="5" xfId="10" applyFont="1" applyFill="1" applyBorder="1" applyAlignment="1">
      <alignment horizontal="center" vertical="center" wrapText="1"/>
    </xf>
    <xf numFmtId="179" fontId="58" fillId="6" borderId="156" xfId="10" applyNumberFormat="1" applyFont="1" applyFill="1" applyBorder="1" applyAlignment="1">
      <alignment horizontal="center" vertical="center" wrapText="1"/>
    </xf>
    <xf numFmtId="0" fontId="58" fillId="6" borderId="180" xfId="10" applyFont="1" applyFill="1" applyBorder="1" applyAlignment="1">
      <alignment horizontal="center" vertical="center" wrapText="1"/>
    </xf>
    <xf numFmtId="179" fontId="58" fillId="6" borderId="3" xfId="10" applyNumberFormat="1" applyFont="1" applyFill="1" applyBorder="1" applyAlignment="1">
      <alignment horizontal="center" vertical="center" wrapText="1"/>
    </xf>
    <xf numFmtId="0" fontId="276" fillId="6" borderId="1" xfId="10" applyFont="1" applyFill="1" applyBorder="1" applyAlignment="1">
      <alignment vertical="center" wrapText="1"/>
    </xf>
    <xf numFmtId="0" fontId="276" fillId="6" borderId="24" xfId="10" applyFont="1" applyFill="1" applyBorder="1" applyAlignment="1">
      <alignment vertical="center" wrapText="1"/>
    </xf>
    <xf numFmtId="0" fontId="276" fillId="6" borderId="1" xfId="10" applyFont="1" applyFill="1" applyBorder="1" applyAlignment="1">
      <alignment horizontal="center" vertical="center" wrapText="1"/>
    </xf>
    <xf numFmtId="0" fontId="276" fillId="6" borderId="24" xfId="10" applyFont="1" applyFill="1" applyBorder="1" applyAlignment="1">
      <alignment horizontal="center" vertical="center" wrapText="1"/>
    </xf>
    <xf numFmtId="0" fontId="276" fillId="6" borderId="12" xfId="10" applyFont="1" applyFill="1" applyBorder="1" applyAlignment="1">
      <alignment horizontal="center" vertical="center" wrapText="1"/>
    </xf>
    <xf numFmtId="0" fontId="276" fillId="6" borderId="74" xfId="10" applyFont="1" applyFill="1" applyBorder="1" applyAlignment="1">
      <alignment horizontal="left" vertical="center" wrapText="1"/>
    </xf>
    <xf numFmtId="0" fontId="58" fillId="6" borderId="74" xfId="10" applyFont="1" applyFill="1" applyBorder="1" applyAlignment="1">
      <alignment horizontal="center" vertical="center" wrapText="1"/>
    </xf>
    <xf numFmtId="0" fontId="58" fillId="6" borderId="32" xfId="10" applyFont="1" applyFill="1" applyBorder="1" applyAlignment="1">
      <alignment horizontal="center" vertical="center" wrapText="1"/>
    </xf>
    <xf numFmtId="179" fontId="58" fillId="6" borderId="73" xfId="10" applyNumberFormat="1" applyFont="1" applyFill="1" applyBorder="1" applyAlignment="1">
      <alignment horizontal="center" vertical="center" wrapText="1"/>
    </xf>
    <xf numFmtId="179" fontId="58" fillId="6" borderId="74" xfId="10" applyNumberFormat="1" applyFont="1" applyFill="1" applyBorder="1" applyAlignment="1">
      <alignment horizontal="center" vertical="center" wrapText="1"/>
    </xf>
    <xf numFmtId="0" fontId="276" fillId="6" borderId="74" xfId="10" applyFont="1" applyFill="1" applyBorder="1" applyAlignment="1">
      <alignment horizontal="center" vertical="center" wrapText="1"/>
    </xf>
    <xf numFmtId="0" fontId="276" fillId="6" borderId="76" xfId="10" applyFont="1" applyFill="1" applyBorder="1" applyAlignment="1">
      <alignment horizontal="center" vertical="center" wrapText="1"/>
    </xf>
    <xf numFmtId="0" fontId="274" fillId="6" borderId="12" xfId="10" applyFont="1" applyFill="1" applyBorder="1" applyAlignment="1">
      <alignment horizontal="center" vertical="center" wrapText="1"/>
    </xf>
    <xf numFmtId="0" fontId="274" fillId="6" borderId="74" xfId="10" applyFont="1" applyFill="1" applyBorder="1" applyAlignment="1">
      <alignment horizontal="left" vertical="center" wrapText="1"/>
    </xf>
    <xf numFmtId="186" fontId="57" fillId="6" borderId="74" xfId="10" applyNumberFormat="1" applyFont="1" applyFill="1" applyBorder="1" applyAlignment="1">
      <alignment horizontal="center" vertical="center" wrapText="1"/>
    </xf>
    <xf numFmtId="0" fontId="276" fillId="6" borderId="47" xfId="10" applyFont="1" applyFill="1" applyBorder="1">
      <alignment vertical="center"/>
    </xf>
    <xf numFmtId="0" fontId="276" fillId="6" borderId="74" xfId="10" applyFont="1" applyFill="1" applyBorder="1" applyAlignment="1">
      <alignment vertical="center" wrapText="1"/>
    </xf>
    <xf numFmtId="0" fontId="276" fillId="6" borderId="76" xfId="10" applyFont="1" applyFill="1" applyBorder="1" applyAlignment="1">
      <alignment vertical="center" wrapText="1"/>
    </xf>
    <xf numFmtId="0" fontId="57" fillId="0" borderId="84" xfId="10" applyFont="1" applyBorder="1" applyAlignment="1" applyProtection="1">
      <alignment horizontal="center" vertical="center" wrapText="1"/>
      <protection locked="0"/>
    </xf>
    <xf numFmtId="0" fontId="248" fillId="6" borderId="64" xfId="10" applyFont="1" applyFill="1" applyBorder="1" applyAlignment="1">
      <alignment vertical="center" wrapText="1"/>
    </xf>
    <xf numFmtId="0" fontId="276" fillId="6" borderId="178" xfId="10" applyFont="1" applyFill="1" applyBorder="1" applyAlignment="1">
      <alignment horizontal="left" vertical="center" wrapText="1"/>
    </xf>
    <xf numFmtId="0" fontId="276" fillId="5" borderId="179" xfId="10" applyFont="1" applyFill="1" applyBorder="1" applyAlignment="1" applyProtection="1">
      <alignment horizontal="center" vertical="center" wrapText="1"/>
      <protection locked="0"/>
    </xf>
    <xf numFmtId="0" fontId="276" fillId="6" borderId="70" xfId="10" applyFont="1" applyFill="1" applyBorder="1" applyAlignment="1">
      <alignment vertical="center" wrapText="1"/>
    </xf>
    <xf numFmtId="0" fontId="276" fillId="6" borderId="84" xfId="10" applyFont="1" applyFill="1" applyBorder="1" applyAlignment="1">
      <alignment horizontal="center" vertical="center" wrapText="1"/>
    </xf>
    <xf numFmtId="0" fontId="274" fillId="6" borderId="84" xfId="10" applyFont="1" applyFill="1" applyBorder="1" applyAlignment="1">
      <alignment vertical="center" wrapText="1"/>
    </xf>
    <xf numFmtId="0" fontId="274" fillId="6" borderId="65" xfId="10" applyFont="1" applyFill="1" applyBorder="1" applyAlignment="1">
      <alignment vertical="center" wrapText="1"/>
    </xf>
    <xf numFmtId="0" fontId="274" fillId="6" borderId="28" xfId="10" applyFont="1" applyFill="1" applyBorder="1" applyAlignment="1">
      <alignment horizontal="left" vertical="center" wrapText="1"/>
    </xf>
    <xf numFmtId="0" fontId="57" fillId="6" borderId="9" xfId="10" applyFont="1" applyFill="1" applyBorder="1" applyAlignment="1">
      <alignment horizontal="center" vertical="center" wrapText="1"/>
    </xf>
    <xf numFmtId="0" fontId="274" fillId="6" borderId="9" xfId="10" applyFont="1" applyFill="1" applyBorder="1" applyAlignment="1">
      <alignment horizontal="center" vertical="center" wrapText="1"/>
    </xf>
    <xf numFmtId="0" fontId="274" fillId="6" borderId="28" xfId="10" applyFont="1" applyFill="1" applyBorder="1" applyAlignment="1">
      <alignment horizontal="center" vertical="center" wrapText="1"/>
    </xf>
    <xf numFmtId="0" fontId="276" fillId="6" borderId="3" xfId="10" applyFont="1" applyFill="1" applyBorder="1" applyAlignment="1">
      <alignment horizontal="left" vertical="center" wrapText="1"/>
    </xf>
    <xf numFmtId="0" fontId="57" fillId="6" borderId="1" xfId="10" applyFont="1" applyFill="1" applyBorder="1" applyAlignment="1">
      <alignment horizontal="center" vertical="center" wrapText="1"/>
    </xf>
    <xf numFmtId="49" fontId="58" fillId="6" borderId="1" xfId="10" applyNumberFormat="1" applyFont="1" applyFill="1" applyBorder="1" applyAlignment="1">
      <alignment horizontal="center" vertical="center" wrapText="1"/>
    </xf>
    <xf numFmtId="0" fontId="125" fillId="6" borderId="1" xfId="10" applyFont="1" applyFill="1" applyBorder="1" applyAlignment="1">
      <alignment horizontal="center" vertical="center"/>
    </xf>
    <xf numFmtId="0" fontId="279" fillId="6" borderId="5" xfId="10" applyFont="1" applyFill="1" applyBorder="1">
      <alignment vertical="center"/>
    </xf>
    <xf numFmtId="0" fontId="147" fillId="6" borderId="54" xfId="10" applyFont="1" applyFill="1" applyBorder="1">
      <alignment vertical="center"/>
    </xf>
    <xf numFmtId="0" fontId="147" fillId="6" borderId="48" xfId="10" applyFont="1" applyFill="1" applyBorder="1">
      <alignment vertical="center"/>
    </xf>
    <xf numFmtId="0" fontId="277" fillId="7" borderId="0" xfId="10" applyFont="1" applyFill="1" applyAlignment="1" applyProtection="1">
      <alignment vertical="center" wrapText="1"/>
      <protection locked="0"/>
    </xf>
    <xf numFmtId="0" fontId="280" fillId="6" borderId="3" xfId="10" applyFont="1" applyFill="1" applyBorder="1" applyAlignment="1">
      <alignment horizontal="left" vertical="center" wrapText="1"/>
    </xf>
    <xf numFmtId="0" fontId="276" fillId="6" borderId="1" xfId="10" applyFont="1" applyFill="1" applyBorder="1">
      <alignment vertical="center"/>
    </xf>
    <xf numFmtId="0" fontId="58" fillId="6" borderId="2" xfId="10" applyFont="1" applyFill="1" applyBorder="1" applyAlignment="1">
      <alignment horizontal="center" vertical="center" wrapText="1"/>
    </xf>
    <xf numFmtId="49" fontId="58" fillId="6" borderId="2" xfId="10" applyNumberFormat="1" applyFont="1" applyFill="1" applyBorder="1" applyAlignment="1">
      <alignment horizontal="center" vertical="center" wrapText="1"/>
    </xf>
    <xf numFmtId="0" fontId="125" fillId="6" borderId="2" xfId="10" applyFont="1" applyFill="1" applyBorder="1" applyAlignment="1">
      <alignment horizontal="center" vertical="center"/>
    </xf>
    <xf numFmtId="0" fontId="279" fillId="6" borderId="4" xfId="10" applyFont="1" applyFill="1" applyBorder="1">
      <alignment vertical="center"/>
    </xf>
    <xf numFmtId="0" fontId="276" fillId="6" borderId="0" xfId="10" applyFont="1" applyFill="1" applyAlignment="1">
      <alignment vertical="center" wrapText="1"/>
    </xf>
    <xf numFmtId="0" fontId="280" fillId="6" borderId="35" xfId="10" applyFont="1" applyFill="1" applyBorder="1" applyAlignment="1">
      <alignment horizontal="left" vertical="center" wrapText="1"/>
    </xf>
    <xf numFmtId="0" fontId="58" fillId="6" borderId="13" xfId="10" applyFont="1" applyFill="1" applyBorder="1" applyAlignment="1">
      <alignment horizontal="center" vertical="center" wrapText="1"/>
    </xf>
    <xf numFmtId="49" fontId="58" fillId="6" borderId="13" xfId="10" applyNumberFormat="1" applyFont="1" applyFill="1" applyBorder="1" applyAlignment="1">
      <alignment horizontal="center" vertical="center" wrapText="1"/>
    </xf>
    <xf numFmtId="0" fontId="125" fillId="6" borderId="13" xfId="10" applyFont="1" applyFill="1" applyBorder="1" applyAlignment="1">
      <alignment horizontal="center" vertical="center"/>
    </xf>
    <xf numFmtId="0" fontId="276" fillId="6" borderId="13" xfId="10" applyFont="1" applyFill="1" applyBorder="1">
      <alignment vertical="center"/>
    </xf>
    <xf numFmtId="10" fontId="275" fillId="7" borderId="0" xfId="10" applyNumberFormat="1" applyFont="1" applyFill="1" applyAlignment="1" applyProtection="1">
      <alignment horizontal="center" vertical="center" wrapText="1"/>
      <protection locked="0"/>
    </xf>
    <xf numFmtId="10" fontId="275" fillId="0" borderId="0" xfId="10" applyNumberFormat="1" applyFont="1" applyAlignment="1">
      <alignment horizontal="center" vertical="center" wrapText="1"/>
    </xf>
    <xf numFmtId="0" fontId="274" fillId="6" borderId="38" xfId="10" applyFont="1" applyFill="1" applyBorder="1" applyAlignment="1" applyProtection="1">
      <alignment horizontal="center" vertical="center" wrapText="1"/>
      <protection locked="0"/>
    </xf>
    <xf numFmtId="0" fontId="276" fillId="6" borderId="66" xfId="10" applyFont="1" applyFill="1" applyBorder="1" applyAlignment="1" applyProtection="1">
      <alignment vertical="center" wrapText="1"/>
      <protection locked="0"/>
    </xf>
    <xf numFmtId="0" fontId="58" fillId="18" borderId="32" xfId="10" applyFont="1" applyFill="1" applyBorder="1" applyAlignment="1">
      <alignment horizontal="center" vertical="center" wrapText="1"/>
    </xf>
    <xf numFmtId="0" fontId="276" fillId="5" borderId="32" xfId="10" applyFont="1" applyFill="1" applyBorder="1" applyAlignment="1" applyProtection="1">
      <alignment horizontal="center" vertical="center" wrapText="1"/>
      <protection locked="0"/>
    </xf>
    <xf numFmtId="0" fontId="275" fillId="6" borderId="52" xfId="10" applyFont="1" applyFill="1" applyBorder="1" applyAlignment="1" applyProtection="1">
      <alignment vertical="center" wrapText="1"/>
      <protection locked="0"/>
    </xf>
    <xf numFmtId="0" fontId="275" fillId="6" borderId="68" xfId="10" applyFont="1" applyFill="1" applyBorder="1" applyAlignment="1" applyProtection="1">
      <alignment vertical="center" wrapText="1"/>
      <protection locked="0"/>
    </xf>
    <xf numFmtId="0" fontId="275" fillId="0" borderId="0" xfId="10" applyFont="1" applyAlignment="1">
      <alignment horizontal="left" vertical="center" wrapText="1"/>
    </xf>
    <xf numFmtId="0" fontId="53" fillId="0" borderId="0" xfId="10" applyFont="1" applyAlignment="1">
      <alignment vertical="center" wrapText="1"/>
    </xf>
    <xf numFmtId="0" fontId="275" fillId="6" borderId="63" xfId="10" applyFont="1" applyFill="1" applyBorder="1" applyAlignment="1">
      <alignment horizontal="center" vertical="center" wrapText="1"/>
    </xf>
    <xf numFmtId="0" fontId="99" fillId="6" borderId="67" xfId="10" applyFont="1" applyFill="1" applyBorder="1" applyAlignment="1">
      <alignment horizontal="center" vertical="center" wrapText="1"/>
    </xf>
    <xf numFmtId="0" fontId="277" fillId="6" borderId="6" xfId="10" applyFont="1" applyFill="1" applyBorder="1" applyAlignment="1">
      <alignment horizontal="center" vertical="center" wrapText="1"/>
    </xf>
    <xf numFmtId="0" fontId="51" fillId="6" borderId="30" xfId="10" applyFont="1" applyFill="1" applyBorder="1" applyAlignment="1">
      <alignment horizontal="center" vertical="center" wrapText="1"/>
    </xf>
    <xf numFmtId="0" fontId="53" fillId="5" borderId="10" xfId="10" applyFont="1" applyFill="1" applyBorder="1" applyAlignment="1" applyProtection="1">
      <alignment horizontal="center" vertical="center" wrapText="1"/>
      <protection locked="0"/>
    </xf>
    <xf numFmtId="0" fontId="277" fillId="6" borderId="23" xfId="10" applyFont="1" applyFill="1" applyBorder="1" applyAlignment="1">
      <alignment horizontal="center" vertical="center" wrapText="1"/>
    </xf>
    <xf numFmtId="0" fontId="51" fillId="6" borderId="3" xfId="10" applyFont="1" applyFill="1" applyBorder="1" applyAlignment="1">
      <alignment horizontal="center" vertical="center" wrapText="1"/>
    </xf>
    <xf numFmtId="10" fontId="53" fillId="6" borderId="24" xfId="10" applyNumberFormat="1" applyFont="1" applyFill="1" applyBorder="1" applyAlignment="1">
      <alignment horizontal="center" vertical="center" wrapText="1"/>
    </xf>
    <xf numFmtId="10" fontId="51" fillId="0" borderId="3" xfId="10" applyNumberFormat="1" applyFont="1" applyBorder="1" applyAlignment="1" applyProtection="1">
      <alignment horizontal="center" vertical="center" wrapText="1"/>
      <protection locked="0"/>
    </xf>
    <xf numFmtId="0" fontId="277" fillId="6" borderId="25" xfId="10" applyFont="1" applyFill="1" applyBorder="1" applyAlignment="1">
      <alignment horizontal="center" vertical="center" wrapText="1"/>
    </xf>
    <xf numFmtId="10" fontId="51" fillId="0" borderId="66" xfId="10" applyNumberFormat="1" applyFont="1" applyBorder="1" applyAlignment="1" applyProtection="1">
      <alignment horizontal="center" vertical="center" wrapText="1"/>
      <protection locked="0"/>
    </xf>
    <xf numFmtId="10" fontId="53" fillId="6" borderId="49" xfId="10" applyNumberFormat="1" applyFont="1" applyFill="1" applyBorder="1" applyAlignment="1">
      <alignment horizontal="center" vertical="center" wrapText="1"/>
    </xf>
    <xf numFmtId="0" fontId="275" fillId="7" borderId="0" xfId="10" applyFont="1" applyFill="1" applyAlignment="1" applyProtection="1">
      <alignment horizontal="left" vertical="center" wrapText="1"/>
      <protection locked="0"/>
    </xf>
    <xf numFmtId="0" fontId="108" fillId="6" borderId="0" xfId="10" applyFont="1" applyFill="1">
      <alignment vertical="center"/>
    </xf>
    <xf numFmtId="186" fontId="95" fillId="6" borderId="0" xfId="10" applyNumberFormat="1" applyFill="1" applyAlignment="1">
      <alignment horizontal="center" vertical="center" wrapText="1"/>
    </xf>
    <xf numFmtId="0" fontId="95" fillId="6" borderId="0" xfId="10" applyFill="1">
      <alignment vertical="center"/>
    </xf>
    <xf numFmtId="0" fontId="95" fillId="6" borderId="0" xfId="10" applyFill="1" applyAlignment="1">
      <alignment horizontal="center" vertical="center"/>
    </xf>
    <xf numFmtId="0" fontId="108" fillId="6" borderId="51" xfId="10" applyFont="1" applyFill="1" applyBorder="1">
      <alignment vertical="center"/>
    </xf>
    <xf numFmtId="186" fontId="96" fillId="6" borderId="19" xfId="10" applyNumberFormat="1" applyFont="1" applyFill="1" applyBorder="1" applyAlignment="1">
      <alignment horizontal="center" vertical="center" wrapText="1"/>
    </xf>
    <xf numFmtId="0" fontId="95" fillId="6" borderId="19" xfId="10" applyFill="1" applyBorder="1">
      <alignment vertical="center"/>
    </xf>
    <xf numFmtId="0" fontId="108" fillId="6" borderId="20" xfId="10" applyFont="1" applyFill="1" applyBorder="1">
      <alignment vertical="center"/>
    </xf>
    <xf numFmtId="0" fontId="108" fillId="6" borderId="21" xfId="10" applyFont="1" applyFill="1" applyBorder="1" applyAlignment="1">
      <alignment horizontal="center" vertical="center"/>
    </xf>
    <xf numFmtId="0" fontId="107" fillId="6" borderId="23" xfId="10" applyFont="1" applyFill="1" applyBorder="1" applyAlignment="1">
      <alignment horizontal="center" vertical="center" wrapText="1"/>
    </xf>
    <xf numFmtId="0" fontId="107" fillId="6" borderId="1" xfId="10" applyFont="1" applyFill="1" applyBorder="1" applyAlignment="1">
      <alignment horizontal="center" vertical="center" wrapText="1"/>
    </xf>
    <xf numFmtId="0" fontId="275" fillId="6" borderId="24" xfId="10" applyFont="1" applyFill="1" applyBorder="1" applyAlignment="1">
      <alignment horizontal="center" vertical="center" wrapText="1"/>
    </xf>
    <xf numFmtId="0" fontId="217" fillId="6" borderId="1" xfId="10" applyFont="1" applyFill="1" applyBorder="1" applyAlignment="1">
      <alignment horizontal="center" vertical="center" wrapText="1"/>
    </xf>
    <xf numFmtId="49" fontId="107" fillId="6" borderId="1" xfId="10" applyNumberFormat="1" applyFont="1" applyFill="1" applyBorder="1" applyAlignment="1">
      <alignment horizontal="center" vertical="center" wrapText="1"/>
    </xf>
    <xf numFmtId="0" fontId="107" fillId="5" borderId="1" xfId="10" applyFont="1" applyFill="1" applyBorder="1" applyAlignment="1" applyProtection="1">
      <alignment horizontal="center" vertical="center" wrapText="1"/>
      <protection locked="0"/>
    </xf>
    <xf numFmtId="10" fontId="99" fillId="6" borderId="1" xfId="10" applyNumberFormat="1" applyFont="1" applyFill="1" applyBorder="1" applyAlignment="1">
      <alignment horizontal="center" vertical="center" wrapText="1"/>
    </xf>
    <xf numFmtId="10" fontId="53" fillId="6" borderId="61" xfId="10" applyNumberFormat="1" applyFont="1" applyFill="1" applyBorder="1" applyAlignment="1">
      <alignment horizontal="center" vertical="center" wrapText="1"/>
    </xf>
    <xf numFmtId="182" fontId="51" fillId="6" borderId="1" xfId="10" applyNumberFormat="1" applyFont="1" applyFill="1" applyBorder="1" applyAlignment="1">
      <alignment horizontal="center" vertical="center" wrapText="1"/>
    </xf>
    <xf numFmtId="9" fontId="51" fillId="6" borderId="1" xfId="10" applyNumberFormat="1" applyFont="1" applyFill="1" applyBorder="1" applyAlignment="1">
      <alignment horizontal="center" vertical="center" wrapText="1"/>
    </xf>
    <xf numFmtId="0" fontId="275" fillId="7" borderId="0" xfId="10" applyFont="1" applyFill="1" applyAlignment="1">
      <alignment vertical="center" wrapText="1"/>
    </xf>
    <xf numFmtId="10" fontId="53" fillId="6" borderId="53" xfId="10" applyNumberFormat="1" applyFont="1" applyFill="1" applyBorder="1" applyAlignment="1">
      <alignment vertical="center" wrapText="1"/>
    </xf>
    <xf numFmtId="0" fontId="282" fillId="0" borderId="1" xfId="10" applyFont="1" applyBorder="1" applyAlignment="1" applyProtection="1">
      <alignment horizontal="center" vertical="center" wrapText="1"/>
      <protection locked="0"/>
    </xf>
    <xf numFmtId="0" fontId="282" fillId="0" borderId="13" xfId="10" applyFont="1" applyBorder="1" applyAlignment="1" applyProtection="1">
      <alignment horizontal="center" vertical="center" wrapText="1"/>
      <protection locked="0"/>
    </xf>
    <xf numFmtId="0" fontId="107" fillId="6" borderId="37" xfId="10" applyFont="1" applyFill="1" applyBorder="1" applyAlignment="1">
      <alignment horizontal="center" vertical="center" wrapText="1"/>
    </xf>
    <xf numFmtId="0" fontId="96" fillId="6" borderId="19" xfId="10" applyFont="1" applyFill="1" applyBorder="1" applyAlignment="1">
      <alignment horizontal="center" vertical="center" wrapText="1"/>
    </xf>
    <xf numFmtId="0" fontId="109" fillId="6" borderId="20" xfId="10" applyFont="1" applyFill="1" applyBorder="1">
      <alignment vertical="center"/>
    </xf>
    <xf numFmtId="0" fontId="109" fillId="6" borderId="21" xfId="10" applyFont="1" applyFill="1" applyBorder="1" applyAlignment="1">
      <alignment horizontal="center" vertical="center"/>
    </xf>
    <xf numFmtId="0" fontId="98" fillId="6" borderId="0" xfId="10" applyFont="1" applyFill="1">
      <alignment vertical="center"/>
    </xf>
    <xf numFmtId="0" fontId="99" fillId="6" borderId="1" xfId="10" applyFont="1" applyFill="1" applyBorder="1" applyAlignment="1">
      <alignment horizontal="center" vertical="center" wrapText="1"/>
    </xf>
    <xf numFmtId="0" fontId="53" fillId="6" borderId="24" xfId="10" applyFont="1" applyFill="1" applyBorder="1" applyAlignment="1">
      <alignment horizontal="center" vertical="center" wrapText="1"/>
    </xf>
    <xf numFmtId="0" fontId="44" fillId="6" borderId="1" xfId="10" applyFont="1" applyFill="1" applyBorder="1" applyAlignment="1">
      <alignment horizontal="center" vertical="center" wrapText="1"/>
    </xf>
    <xf numFmtId="0" fontId="107" fillId="6" borderId="13" xfId="10" applyFont="1" applyFill="1" applyBorder="1" applyAlignment="1">
      <alignment horizontal="center" vertical="center" wrapText="1"/>
    </xf>
    <xf numFmtId="10" fontId="53" fillId="6" borderId="53" xfId="10" applyNumberFormat="1" applyFont="1" applyFill="1" applyBorder="1" applyAlignment="1">
      <alignment horizontal="center" vertical="center" wrapText="1"/>
    </xf>
    <xf numFmtId="0" fontId="107" fillId="6" borderId="25" xfId="10" applyFont="1" applyFill="1" applyBorder="1" applyAlignment="1">
      <alignment horizontal="center" vertical="center" wrapText="1"/>
    </xf>
    <xf numFmtId="0" fontId="107" fillId="0" borderId="32" xfId="10" applyFont="1" applyBorder="1" applyAlignment="1" applyProtection="1">
      <alignment horizontal="center" vertical="center" wrapText="1"/>
      <protection locked="0"/>
    </xf>
    <xf numFmtId="10" fontId="53" fillId="6" borderId="76" xfId="10" applyNumberFormat="1" applyFont="1" applyFill="1" applyBorder="1" applyAlignment="1">
      <alignment horizontal="center" vertical="center" wrapText="1"/>
    </xf>
    <xf numFmtId="0" fontId="107" fillId="6" borderId="32" xfId="10" applyFont="1" applyFill="1" applyBorder="1" applyAlignment="1">
      <alignment horizontal="center" vertical="center" wrapText="1"/>
    </xf>
    <xf numFmtId="179" fontId="99" fillId="6" borderId="1" xfId="10" applyNumberFormat="1" applyFont="1" applyFill="1" applyBorder="1" applyAlignment="1">
      <alignment horizontal="center" vertical="center" wrapText="1"/>
    </xf>
    <xf numFmtId="0" fontId="95" fillId="0" borderId="0" xfId="10">
      <alignment vertical="center"/>
    </xf>
    <xf numFmtId="0" fontId="275" fillId="6" borderId="23" xfId="10" applyFont="1" applyFill="1" applyBorder="1" applyAlignment="1">
      <alignment horizontal="center" vertical="center" wrapText="1"/>
    </xf>
    <xf numFmtId="0" fontId="275" fillId="6" borderId="25" xfId="10" applyFont="1" applyFill="1" applyBorder="1" applyAlignment="1">
      <alignment horizontal="center" vertical="center" wrapText="1"/>
    </xf>
    <xf numFmtId="0" fontId="99" fillId="6" borderId="32" xfId="10" applyFont="1" applyFill="1" applyBorder="1" applyAlignment="1">
      <alignment horizontal="center" vertical="center" wrapText="1"/>
    </xf>
    <xf numFmtId="0" fontId="95" fillId="6" borderId="40" xfId="10" applyFill="1" applyBorder="1" applyAlignment="1">
      <alignment horizontal="right" vertical="center"/>
    </xf>
    <xf numFmtId="0" fontId="95" fillId="6" borderId="17" xfId="10" applyFill="1" applyBorder="1" applyAlignment="1">
      <alignment horizontal="center" vertical="center"/>
    </xf>
    <xf numFmtId="0" fontId="95" fillId="6" borderId="6" xfId="10" applyFill="1" applyBorder="1" applyAlignment="1">
      <alignment horizontal="center" vertical="center"/>
    </xf>
    <xf numFmtId="178" fontId="95" fillId="6" borderId="9" xfId="10" applyNumberFormat="1" applyFill="1" applyBorder="1" applyAlignment="1">
      <alignment horizontal="center" vertical="center"/>
    </xf>
    <xf numFmtId="178" fontId="95" fillId="6" borderId="28" xfId="10" applyNumberFormat="1" applyFill="1" applyBorder="1" applyAlignment="1">
      <alignment horizontal="center" vertical="center"/>
    </xf>
    <xf numFmtId="0" fontId="95" fillId="6" borderId="23" xfId="10" applyFill="1" applyBorder="1" applyAlignment="1">
      <alignment horizontal="center" vertical="center"/>
    </xf>
    <xf numFmtId="178" fontId="95" fillId="6" borderId="1" xfId="10" applyNumberFormat="1" applyFill="1" applyBorder="1" applyAlignment="1">
      <alignment horizontal="center" vertical="center"/>
    </xf>
    <xf numFmtId="178" fontId="95" fillId="6" borderId="5" xfId="10" applyNumberFormat="1" applyFill="1" applyBorder="1" applyAlignment="1">
      <alignment horizontal="center" vertical="center"/>
    </xf>
    <xf numFmtId="0" fontId="95" fillId="6" borderId="25" xfId="10" applyFill="1" applyBorder="1" applyAlignment="1">
      <alignment horizontal="center" vertical="center"/>
    </xf>
    <xf numFmtId="178" fontId="95" fillId="6" borderId="33" xfId="10" applyNumberFormat="1" applyFill="1" applyBorder="1" applyAlignment="1">
      <alignment horizontal="center" vertical="center"/>
    </xf>
    <xf numFmtId="0" fontId="283" fillId="6" borderId="103" xfId="1" applyFont="1" applyFill="1" applyBorder="1" applyAlignment="1">
      <alignment horizontal="left" vertical="center" wrapText="1"/>
    </xf>
    <xf numFmtId="0" fontId="193" fillId="6" borderId="87" xfId="1" applyFont="1" applyFill="1" applyBorder="1" applyAlignment="1">
      <alignment horizontal="center" vertical="center" wrapText="1"/>
    </xf>
    <xf numFmtId="0" fontId="193" fillId="6" borderId="87" xfId="1" applyFont="1" applyFill="1" applyBorder="1" applyAlignment="1">
      <alignment vertical="center" wrapText="1"/>
    </xf>
    <xf numFmtId="14" fontId="112" fillId="6" borderId="87" xfId="1" applyNumberFormat="1" applyFont="1" applyFill="1" applyBorder="1" applyAlignment="1">
      <alignment vertical="center" wrapText="1"/>
    </xf>
    <xf numFmtId="0" fontId="107" fillId="6" borderId="87" xfId="1" applyFont="1" applyFill="1" applyBorder="1" applyAlignment="1">
      <alignment horizontal="center" vertical="center" wrapText="1"/>
    </xf>
    <xf numFmtId="0" fontId="107" fillId="6" borderId="0" xfId="1" applyFont="1" applyFill="1" applyAlignment="1">
      <alignment horizontal="center" vertical="center" wrapText="1"/>
    </xf>
    <xf numFmtId="0" fontId="107" fillId="0" borderId="0" xfId="1" applyFont="1" applyAlignment="1">
      <alignment horizontal="center" vertical="center" wrapText="1"/>
    </xf>
    <xf numFmtId="0" fontId="116" fillId="6" borderId="58" xfId="1" applyFont="1" applyFill="1" applyBorder="1" applyAlignment="1">
      <alignment horizontal="left" vertical="center" wrapText="1"/>
    </xf>
    <xf numFmtId="0" fontId="193" fillId="6" borderId="0" xfId="1" applyFont="1" applyFill="1" applyAlignment="1">
      <alignment horizontal="center" vertical="center" wrapText="1"/>
    </xf>
    <xf numFmtId="0" fontId="193" fillId="6" borderId="0" xfId="1" applyFont="1" applyFill="1" applyAlignment="1">
      <alignment vertical="center" wrapText="1"/>
    </xf>
    <xf numFmtId="0" fontId="107" fillId="6" borderId="0" xfId="1" applyFont="1" applyFill="1" applyAlignment="1">
      <alignment vertical="center" wrapText="1"/>
    </xf>
    <xf numFmtId="0" fontId="284" fillId="6" borderId="23" xfId="10" applyFont="1" applyFill="1" applyBorder="1" applyAlignment="1">
      <alignment horizontal="left" vertical="center"/>
    </xf>
    <xf numFmtId="0" fontId="125" fillId="6" borderId="24" xfId="10" applyFont="1" applyFill="1" applyBorder="1" applyAlignment="1">
      <alignment horizontal="center"/>
    </xf>
    <xf numFmtId="0" fontId="107" fillId="6" borderId="1" xfId="1" applyFont="1" applyFill="1" applyBorder="1" applyAlignment="1">
      <alignment horizontal="left" vertical="center" wrapText="1"/>
    </xf>
    <xf numFmtId="14" fontId="107" fillId="0" borderId="1" xfId="1" applyNumberFormat="1" applyFont="1" applyBorder="1" applyAlignment="1" applyProtection="1">
      <alignment horizontal="center" vertical="center" wrapText="1"/>
      <protection locked="0"/>
    </xf>
    <xf numFmtId="49" fontId="275" fillId="6" borderId="6" xfId="1" applyNumberFormat="1" applyFont="1" applyFill="1" applyBorder="1" applyAlignment="1">
      <alignment horizontal="center" vertical="center" wrapText="1"/>
    </xf>
    <xf numFmtId="49" fontId="275" fillId="6" borderId="9" xfId="1" applyNumberFormat="1" applyFont="1" applyFill="1" applyBorder="1" applyAlignment="1">
      <alignment horizontal="center" vertical="center" wrapText="1"/>
    </xf>
    <xf numFmtId="49" fontId="275" fillId="6" borderId="21" xfId="1" applyNumberFormat="1" applyFont="1" applyFill="1" applyBorder="1" applyAlignment="1">
      <alignment vertical="center" wrapText="1"/>
    </xf>
    <xf numFmtId="49" fontId="275" fillId="6" borderId="0" xfId="1" applyNumberFormat="1" applyFont="1" applyFill="1" applyAlignment="1">
      <alignment horizontal="center" vertical="center" wrapText="1"/>
    </xf>
    <xf numFmtId="49" fontId="275" fillId="6" borderId="0" xfId="1" applyNumberFormat="1" applyFont="1" applyFill="1" applyAlignment="1">
      <alignment vertical="center" wrapText="1"/>
    </xf>
    <xf numFmtId="49" fontId="284" fillId="6" borderId="23" xfId="10" applyNumberFormat="1" applyFont="1" applyFill="1" applyBorder="1" applyAlignment="1">
      <alignment horizontal="left" vertical="center"/>
    </xf>
    <xf numFmtId="0" fontId="58" fillId="6" borderId="24" xfId="10" applyFont="1" applyFill="1" applyBorder="1" applyAlignment="1">
      <alignment horizontal="center" vertical="center"/>
    </xf>
    <xf numFmtId="0" fontId="107" fillId="6" borderId="2" xfId="1" applyFont="1" applyFill="1" applyBorder="1" applyAlignment="1">
      <alignment horizontal="left" vertical="center" wrapText="1"/>
    </xf>
    <xf numFmtId="0" fontId="112" fillId="6" borderId="23" xfId="1" applyFont="1" applyFill="1" applyBorder="1" applyAlignment="1">
      <alignment horizontal="center" vertical="center" wrapText="1"/>
    </xf>
    <xf numFmtId="0" fontId="112" fillId="6" borderId="1" xfId="1" applyFont="1" applyFill="1" applyBorder="1" applyAlignment="1">
      <alignment horizontal="center" vertical="center" wrapText="1"/>
    </xf>
    <xf numFmtId="0" fontId="102" fillId="6" borderId="2" xfId="1" applyFont="1" applyFill="1" applyBorder="1" applyAlignment="1">
      <alignment horizontal="center" vertical="center" wrapText="1"/>
    </xf>
    <xf numFmtId="49" fontId="102" fillId="6" borderId="54" xfId="1" applyNumberFormat="1" applyFont="1" applyFill="1" applyBorder="1" applyAlignment="1">
      <alignment vertical="center" wrapText="1"/>
    </xf>
    <xf numFmtId="49" fontId="112" fillId="6" borderId="24" xfId="1" applyNumberFormat="1" applyFont="1" applyFill="1" applyBorder="1" applyAlignment="1">
      <alignment horizontal="center" vertical="center"/>
    </xf>
    <xf numFmtId="0" fontId="107" fillId="6" borderId="0" xfId="1" applyFont="1" applyFill="1" applyAlignment="1">
      <alignment horizontal="left" vertical="center" wrapText="1"/>
    </xf>
    <xf numFmtId="9" fontId="58" fillId="6" borderId="0" xfId="10" applyNumberFormat="1" applyFont="1" applyFill="1" applyAlignment="1">
      <alignment horizontal="center" vertical="center"/>
    </xf>
    <xf numFmtId="0" fontId="58" fillId="7" borderId="0" xfId="10" applyFont="1" applyFill="1">
      <alignment vertical="center"/>
    </xf>
    <xf numFmtId="0" fontId="193" fillId="6" borderId="58" xfId="1" applyFont="1" applyFill="1" applyBorder="1" applyAlignment="1">
      <alignment horizontal="left" vertical="center" wrapText="1"/>
    </xf>
    <xf numFmtId="0" fontId="107" fillId="6" borderId="23" xfId="1" applyFont="1" applyFill="1" applyBorder="1" applyAlignment="1">
      <alignment horizontal="center" vertical="center" wrapText="1"/>
    </xf>
    <xf numFmtId="0" fontId="99" fillId="6" borderId="1" xfId="1" applyFont="1" applyFill="1" applyBorder="1" applyAlignment="1">
      <alignment horizontal="center" vertical="center" wrapText="1"/>
    </xf>
    <xf numFmtId="49" fontId="99" fillId="6" borderId="54" xfId="1" applyNumberFormat="1" applyFont="1" applyFill="1" applyBorder="1" applyAlignment="1">
      <alignment vertical="center" wrapText="1"/>
    </xf>
    <xf numFmtId="49" fontId="107" fillId="6" borderId="24" xfId="1" applyNumberFormat="1" applyFont="1" applyFill="1" applyBorder="1" applyAlignment="1">
      <alignment horizontal="center" vertical="center"/>
    </xf>
    <xf numFmtId="0" fontId="284" fillId="6" borderId="1" xfId="10" applyFont="1" applyFill="1" applyBorder="1" applyAlignment="1">
      <alignment horizontal="left" vertical="center"/>
    </xf>
    <xf numFmtId="0" fontId="284" fillId="6" borderId="1" xfId="10" applyFont="1" applyFill="1" applyBorder="1" applyAlignment="1">
      <alignment horizontal="center" vertical="center"/>
    </xf>
    <xf numFmtId="0" fontId="285" fillId="0" borderId="1" xfId="1" applyFont="1" applyBorder="1" applyAlignment="1" applyProtection="1">
      <alignment horizontal="center" vertical="center" wrapText="1"/>
      <protection locked="0"/>
    </xf>
    <xf numFmtId="49" fontId="107" fillId="6" borderId="23" xfId="1" applyNumberFormat="1" applyFont="1" applyFill="1" applyBorder="1" applyAlignment="1">
      <alignment horizontal="center" vertical="center" wrapText="1"/>
    </xf>
    <xf numFmtId="0" fontId="107" fillId="6" borderId="24" xfId="1" applyFont="1" applyFill="1" applyBorder="1" applyAlignment="1">
      <alignment horizontal="center" vertical="center" wrapText="1"/>
    </xf>
    <xf numFmtId="0" fontId="286" fillId="6" borderId="0" xfId="1" applyFont="1" applyFill="1" applyAlignment="1">
      <alignment horizontal="left" vertical="center"/>
    </xf>
    <xf numFmtId="0" fontId="58" fillId="6" borderId="1" xfId="10" applyFont="1" applyFill="1" applyBorder="1" applyAlignment="1">
      <alignment horizontal="center" vertical="center"/>
    </xf>
    <xf numFmtId="9" fontId="125" fillId="6" borderId="1" xfId="1" applyNumberFormat="1" applyFont="1" applyFill="1" applyBorder="1" applyAlignment="1">
      <alignment horizontal="center" vertical="center" wrapText="1"/>
    </xf>
    <xf numFmtId="49" fontId="99" fillId="6" borderId="1" xfId="1" applyNumberFormat="1" applyFont="1" applyFill="1" applyBorder="1" applyAlignment="1">
      <alignment vertical="center" wrapText="1"/>
    </xf>
    <xf numFmtId="49" fontId="107" fillId="5" borderId="48" xfId="1" applyNumberFormat="1" applyFont="1" applyFill="1" applyBorder="1" applyAlignment="1" applyProtection="1">
      <alignment horizontal="center" vertical="center" wrapText="1"/>
      <protection locked="0"/>
    </xf>
    <xf numFmtId="49" fontId="107" fillId="6" borderId="0" xfId="1" applyNumberFormat="1" applyFont="1" applyFill="1" applyAlignment="1">
      <alignment horizontal="left" vertical="center"/>
    </xf>
    <xf numFmtId="0" fontId="285" fillId="6" borderId="1" xfId="1" applyFont="1" applyFill="1" applyBorder="1" applyAlignment="1">
      <alignment horizontal="center" vertical="center" wrapText="1"/>
    </xf>
    <xf numFmtId="0" fontId="107" fillId="6" borderId="41" xfId="1" applyFont="1" applyFill="1" applyBorder="1" applyAlignment="1">
      <alignment horizontal="center" vertical="center" wrapText="1"/>
    </xf>
    <xf numFmtId="0" fontId="99" fillId="6" borderId="2" xfId="1" applyFont="1" applyFill="1" applyBorder="1" applyAlignment="1">
      <alignment horizontal="center" vertical="center" wrapText="1"/>
    </xf>
    <xf numFmtId="181" fontId="53" fillId="0" borderId="1" xfId="1" applyNumberFormat="1" applyFont="1" applyBorder="1" applyAlignment="1" applyProtection="1">
      <alignment horizontal="center" vertical="center" wrapText="1"/>
      <protection locked="0"/>
    </xf>
    <xf numFmtId="49" fontId="275" fillId="6" borderId="24" xfId="1" applyNumberFormat="1" applyFont="1" applyFill="1" applyBorder="1" applyAlignment="1">
      <alignment horizontal="center" vertical="center" wrapText="1"/>
    </xf>
    <xf numFmtId="10" fontId="53" fillId="6" borderId="1" xfId="1" applyNumberFormat="1" applyFont="1" applyFill="1" applyBorder="1" applyAlignment="1">
      <alignment horizontal="center" vertical="center" wrapText="1"/>
    </xf>
    <xf numFmtId="0" fontId="107" fillId="6" borderId="56" xfId="1" applyFont="1" applyFill="1" applyBorder="1" applyAlignment="1">
      <alignment horizontal="center" vertical="center"/>
    </xf>
    <xf numFmtId="49" fontId="275" fillId="6" borderId="0" xfId="1" applyNumberFormat="1" applyFont="1" applyFill="1" applyAlignment="1">
      <alignment horizontal="left" vertical="center" wrapText="1"/>
    </xf>
    <xf numFmtId="0" fontId="285" fillId="6" borderId="0" xfId="1" applyFont="1" applyFill="1" applyAlignment="1">
      <alignment horizontal="center" vertical="center" wrapText="1"/>
    </xf>
    <xf numFmtId="0" fontId="275" fillId="5" borderId="1" xfId="1" applyFont="1" applyFill="1" applyBorder="1" applyAlignment="1" applyProtection="1">
      <alignment horizontal="center" vertical="center" wrapText="1"/>
      <protection locked="0"/>
    </xf>
    <xf numFmtId="0" fontId="107" fillId="6" borderId="91" xfId="1" applyFont="1" applyFill="1" applyBorder="1" applyAlignment="1">
      <alignment horizontal="center" vertical="center" wrapText="1"/>
    </xf>
    <xf numFmtId="0" fontId="107" fillId="6" borderId="78" xfId="1" applyFont="1" applyFill="1" applyBorder="1" applyAlignment="1">
      <alignment horizontal="left" vertical="center" wrapText="1"/>
    </xf>
    <xf numFmtId="0" fontId="99" fillId="6" borderId="78" xfId="1" applyFont="1" applyFill="1" applyBorder="1" applyAlignment="1">
      <alignment horizontal="center" vertical="center" wrapText="1"/>
    </xf>
    <xf numFmtId="10" fontId="53" fillId="0" borderId="78" xfId="1" applyNumberFormat="1" applyFont="1" applyBorder="1" applyAlignment="1" applyProtection="1">
      <alignment horizontal="center" vertical="center" wrapText="1"/>
      <protection locked="0"/>
    </xf>
    <xf numFmtId="0" fontId="275" fillId="6" borderId="79" xfId="1" applyFont="1" applyFill="1" applyBorder="1" applyAlignment="1">
      <alignment horizontal="center" vertical="center" wrapText="1"/>
    </xf>
    <xf numFmtId="49" fontId="275" fillId="6" borderId="0" xfId="1" applyNumberFormat="1" applyFont="1" applyFill="1" applyAlignment="1">
      <alignment horizontal="left" vertical="center"/>
    </xf>
    <xf numFmtId="0" fontId="275" fillId="6" borderId="0" xfId="1" applyFont="1" applyFill="1" applyAlignment="1">
      <alignment vertical="center" wrapText="1"/>
    </xf>
    <xf numFmtId="49" fontId="281" fillId="5" borderId="13" xfId="10" applyNumberFormat="1" applyFont="1" applyFill="1" applyBorder="1" applyAlignment="1" applyProtection="1">
      <alignment horizontal="center" vertical="center" wrapText="1"/>
      <protection locked="0"/>
    </xf>
    <xf numFmtId="0" fontId="112" fillId="6" borderId="41" xfId="1" applyFont="1" applyFill="1" applyBorder="1" applyAlignment="1">
      <alignment horizontal="center" vertical="center" wrapText="1"/>
    </xf>
    <xf numFmtId="0" fontId="112" fillId="6" borderId="2" xfId="1" applyFont="1" applyFill="1" applyBorder="1" applyAlignment="1">
      <alignment horizontal="left" vertical="center" wrapText="1"/>
    </xf>
    <xf numFmtId="49" fontId="102" fillId="6" borderId="60" xfId="1" applyNumberFormat="1" applyFont="1" applyFill="1" applyBorder="1" applyAlignment="1">
      <alignment horizontal="center" vertical="center" wrapText="1"/>
    </xf>
    <xf numFmtId="49" fontId="112" fillId="6" borderId="8" xfId="1" applyNumberFormat="1" applyFont="1" applyFill="1" applyBorder="1" applyAlignment="1">
      <alignment horizontal="center" vertical="center" wrapText="1"/>
    </xf>
    <xf numFmtId="177" fontId="217" fillId="2" borderId="1" xfId="1" applyNumberFormat="1" applyFont="1" applyFill="1" applyBorder="1" applyAlignment="1" applyProtection="1">
      <alignment horizontal="center" vertical="center"/>
      <protection locked="0"/>
    </xf>
    <xf numFmtId="49" fontId="99" fillId="6" borderId="54" xfId="1" applyNumberFormat="1" applyFont="1" applyFill="1" applyBorder="1" applyAlignment="1">
      <alignment horizontal="center" vertical="center" wrapText="1"/>
    </xf>
    <xf numFmtId="49" fontId="107" fillId="6" borderId="24" xfId="1" applyNumberFormat="1" applyFont="1" applyFill="1" applyBorder="1" applyAlignment="1">
      <alignment horizontal="center" vertical="center" wrapText="1"/>
    </xf>
    <xf numFmtId="177" fontId="281" fillId="5" borderId="1" xfId="1" applyNumberFormat="1" applyFont="1" applyFill="1" applyBorder="1" applyAlignment="1" applyProtection="1">
      <alignment horizontal="center" vertical="center"/>
      <protection locked="0"/>
    </xf>
    <xf numFmtId="183" fontId="281" fillId="0" borderId="1" xfId="10" applyNumberFormat="1" applyFont="1" applyBorder="1" applyAlignment="1" applyProtection="1">
      <alignment horizontal="center" vertical="center"/>
      <protection locked="0"/>
    </xf>
    <xf numFmtId="0" fontId="99" fillId="0" borderId="2" xfId="1" applyFont="1" applyBorder="1" applyAlignment="1" applyProtection="1">
      <alignment horizontal="center" vertical="center" wrapText="1"/>
      <protection locked="0"/>
    </xf>
    <xf numFmtId="0" fontId="53" fillId="6" borderId="1" xfId="1" applyFont="1" applyFill="1" applyBorder="1" applyAlignment="1">
      <alignment horizontal="center" vertical="center" wrapText="1"/>
    </xf>
    <xf numFmtId="179" fontId="277" fillId="6" borderId="1" xfId="1" applyNumberFormat="1" applyFont="1" applyFill="1" applyBorder="1" applyAlignment="1">
      <alignment horizontal="center" vertical="center"/>
    </xf>
    <xf numFmtId="10" fontId="53" fillId="0" borderId="1" xfId="1" applyNumberFormat="1" applyFont="1" applyBorder="1" applyAlignment="1" applyProtection="1">
      <alignment horizontal="center" vertical="center" wrapText="1"/>
      <protection locked="0"/>
    </xf>
    <xf numFmtId="0" fontId="275" fillId="6" borderId="24" xfId="1" applyFont="1" applyFill="1" applyBorder="1" applyAlignment="1">
      <alignment horizontal="center" vertical="center" wrapText="1"/>
    </xf>
    <xf numFmtId="10" fontId="277" fillId="6" borderId="1" xfId="1" applyNumberFormat="1" applyFont="1" applyFill="1" applyBorder="1" applyAlignment="1">
      <alignment horizontal="center" vertical="center" wrapText="1"/>
    </xf>
    <xf numFmtId="180" fontId="277" fillId="6" borderId="1" xfId="1" applyNumberFormat="1" applyFont="1" applyFill="1" applyBorder="1" applyAlignment="1">
      <alignment horizontal="center" vertical="center"/>
    </xf>
    <xf numFmtId="0" fontId="276" fillId="5" borderId="1" xfId="10" applyFont="1" applyFill="1" applyBorder="1" applyAlignment="1" applyProtection="1">
      <alignment horizontal="center" vertical="center"/>
      <protection locked="0"/>
    </xf>
    <xf numFmtId="0" fontId="147" fillId="5" borderId="1" xfId="10" applyFont="1" applyFill="1" applyBorder="1" applyAlignment="1" applyProtection="1">
      <alignment horizontal="center"/>
      <protection locked="0"/>
    </xf>
    <xf numFmtId="0" fontId="107" fillId="6" borderId="14" xfId="1" applyFont="1" applyFill="1" applyBorder="1" applyAlignment="1">
      <alignment horizontal="center" vertical="center" wrapText="1"/>
    </xf>
    <xf numFmtId="0" fontId="107" fillId="6" borderId="15" xfId="1" applyFont="1" applyFill="1" applyBorder="1" applyAlignment="1">
      <alignment horizontal="left" vertical="center" wrapText="1"/>
    </xf>
    <xf numFmtId="0" fontId="99" fillId="6" borderId="15" xfId="1" applyFont="1" applyFill="1" applyBorder="1" applyAlignment="1">
      <alignment horizontal="center" vertical="center" wrapText="1"/>
    </xf>
    <xf numFmtId="10" fontId="53" fillId="6" borderId="13" xfId="1" applyNumberFormat="1" applyFont="1" applyFill="1" applyBorder="1" applyAlignment="1">
      <alignment horizontal="center" vertical="center" wrapText="1"/>
    </xf>
    <xf numFmtId="0" fontId="107" fillId="6" borderId="0" xfId="1" applyFont="1" applyFill="1" applyAlignment="1">
      <alignment horizontal="left" vertical="center"/>
    </xf>
    <xf numFmtId="0" fontId="276" fillId="0" borderId="1" xfId="10" applyFont="1" applyBorder="1" applyAlignment="1" applyProtection="1">
      <alignment horizontal="center" vertical="center"/>
      <protection locked="0"/>
    </xf>
    <xf numFmtId="0" fontId="147" fillId="0" borderId="1" xfId="1" applyFont="1" applyBorder="1" applyAlignment="1" applyProtection="1">
      <alignment horizontal="center" vertical="center" wrapText="1"/>
      <protection locked="0"/>
    </xf>
    <xf numFmtId="49" fontId="54" fillId="6" borderId="2" xfId="1" applyNumberFormat="1" applyFont="1" applyFill="1" applyBorder="1" applyAlignment="1">
      <alignment horizontal="center" vertical="center" wrapText="1"/>
    </xf>
    <xf numFmtId="49" fontId="285" fillId="6" borderId="8" xfId="1" applyNumberFormat="1" applyFont="1" applyFill="1" applyBorder="1" applyAlignment="1">
      <alignment horizontal="center" vertical="center" wrapText="1"/>
    </xf>
    <xf numFmtId="0" fontId="275" fillId="6" borderId="0" xfId="1" applyFont="1" applyFill="1" applyAlignment="1">
      <alignment horizontal="left" vertical="center" wrapText="1"/>
    </xf>
    <xf numFmtId="49" fontId="53" fillId="6" borderId="1" xfId="1" applyNumberFormat="1" applyFont="1" applyFill="1" applyBorder="1" applyAlignment="1">
      <alignment horizontal="center" vertical="center" wrapText="1"/>
    </xf>
    <xf numFmtId="0" fontId="287" fillId="6" borderId="0" xfId="1" applyFont="1" applyFill="1" applyAlignment="1">
      <alignment horizontal="left" vertical="center" wrapText="1"/>
    </xf>
    <xf numFmtId="0" fontId="107" fillId="6" borderId="25" xfId="1" applyFont="1" applyFill="1" applyBorder="1" applyAlignment="1">
      <alignment horizontal="center" vertical="center" wrapText="1"/>
    </xf>
    <xf numFmtId="0" fontId="107" fillId="6" borderId="32" xfId="1" applyFont="1" applyFill="1" applyBorder="1" applyAlignment="1">
      <alignment horizontal="left" vertical="center" wrapText="1"/>
    </xf>
    <xf numFmtId="186" fontId="99" fillId="6" borderId="32" xfId="1" applyNumberFormat="1" applyFont="1" applyFill="1" applyBorder="1" applyAlignment="1">
      <alignment horizontal="center" vertical="center" wrapText="1"/>
    </xf>
    <xf numFmtId="49" fontId="53" fillId="6" borderId="32" xfId="1" applyNumberFormat="1" applyFont="1" applyFill="1" applyBorder="1" applyAlignment="1">
      <alignment horizontal="center" vertical="center" wrapText="1"/>
    </xf>
    <xf numFmtId="49" fontId="275" fillId="6" borderId="49" xfId="1" applyNumberFormat="1" applyFont="1" applyFill="1" applyBorder="1" applyAlignment="1">
      <alignment horizontal="center" vertical="center" wrapText="1"/>
    </xf>
    <xf numFmtId="0" fontId="275" fillId="6" borderId="6" xfId="1" applyFont="1" applyFill="1" applyBorder="1" applyAlignment="1">
      <alignment horizontal="center" vertical="center" wrapText="1"/>
    </xf>
    <xf numFmtId="0" fontId="275" fillId="6" borderId="9" xfId="1" applyFont="1" applyFill="1" applyBorder="1" applyAlignment="1">
      <alignment horizontal="center" vertical="center" wrapText="1"/>
    </xf>
    <xf numFmtId="49" fontId="275" fillId="6" borderId="10" xfId="1" applyNumberFormat="1" applyFont="1" applyFill="1" applyBorder="1" applyAlignment="1">
      <alignment horizontal="center" vertical="center" wrapText="1"/>
    </xf>
    <xf numFmtId="49" fontId="107" fillId="6" borderId="0" xfId="1" applyNumberFormat="1" applyFont="1" applyFill="1" applyAlignment="1">
      <alignment horizontal="left" vertical="center" wrapText="1"/>
    </xf>
    <xf numFmtId="9" fontId="99" fillId="6" borderId="1" xfId="1" applyNumberFormat="1" applyFont="1" applyFill="1" applyBorder="1" applyAlignment="1">
      <alignment horizontal="center" vertical="center" wrapText="1"/>
    </xf>
    <xf numFmtId="9" fontId="99" fillId="0" borderId="1" xfId="1" applyNumberFormat="1" applyFont="1" applyBorder="1" applyAlignment="1" applyProtection="1">
      <alignment horizontal="center" vertical="center" wrapText="1"/>
      <protection locked="0"/>
    </xf>
    <xf numFmtId="0" fontId="107" fillId="6" borderId="56" xfId="1" applyFont="1" applyFill="1" applyBorder="1" applyAlignment="1">
      <alignment horizontal="center" vertical="center" wrapText="1"/>
    </xf>
    <xf numFmtId="0" fontId="107" fillId="6" borderId="16" xfId="1" applyFont="1" applyFill="1" applyBorder="1" applyAlignment="1" applyProtection="1">
      <alignment horizontal="center" vertical="center" wrapText="1"/>
      <protection locked="0"/>
    </xf>
    <xf numFmtId="0" fontId="107" fillId="6" borderId="19" xfId="1" applyFont="1" applyFill="1" applyBorder="1" applyAlignment="1" applyProtection="1">
      <alignment horizontal="center" vertical="center" wrapText="1"/>
      <protection locked="0"/>
    </xf>
    <xf numFmtId="0" fontId="107" fillId="6" borderId="31" xfId="1" applyFont="1" applyFill="1" applyBorder="1" applyAlignment="1" applyProtection="1">
      <alignment horizontal="center" vertical="center" wrapText="1"/>
      <protection locked="0"/>
    </xf>
    <xf numFmtId="0" fontId="275" fillId="6" borderId="1" xfId="1" applyFont="1" applyFill="1" applyBorder="1" applyAlignment="1">
      <alignment horizontal="left" vertical="center" wrapText="1" shrinkToFit="1"/>
    </xf>
    <xf numFmtId="0" fontId="99" fillId="0" borderId="1" xfId="1" applyFont="1" applyBorder="1" applyAlignment="1" applyProtection="1">
      <alignment horizontal="center" vertical="center" wrapText="1"/>
      <protection locked="0"/>
    </xf>
    <xf numFmtId="0" fontId="107" fillId="6" borderId="0" xfId="1" applyFont="1" applyFill="1" applyAlignment="1">
      <alignment horizontal="center" vertical="center"/>
    </xf>
    <xf numFmtId="0" fontId="107" fillId="6" borderId="18" xfId="1" applyFont="1" applyFill="1" applyBorder="1" applyAlignment="1" applyProtection="1">
      <alignment horizontal="center" vertical="center" wrapText="1"/>
      <protection locked="0"/>
    </xf>
    <xf numFmtId="9" fontId="107" fillId="0" borderId="0" xfId="1" applyNumberFormat="1" applyFont="1" applyAlignment="1" applyProtection="1">
      <alignment horizontal="center" vertical="center" wrapText="1"/>
      <protection locked="0"/>
    </xf>
    <xf numFmtId="9" fontId="107" fillId="0" borderId="56" xfId="1" applyNumberFormat="1" applyFont="1" applyBorder="1" applyAlignment="1" applyProtection="1">
      <alignment horizontal="center" vertical="center" wrapText="1"/>
      <protection locked="0"/>
    </xf>
    <xf numFmtId="0" fontId="107" fillId="6" borderId="12" xfId="1" applyFont="1" applyFill="1" applyBorder="1" applyAlignment="1">
      <alignment horizontal="center" vertical="center" wrapText="1"/>
    </xf>
    <xf numFmtId="9" fontId="99" fillId="6" borderId="74" xfId="1" applyNumberFormat="1" applyFont="1" applyFill="1" applyBorder="1" applyAlignment="1">
      <alignment horizontal="center" vertical="center" wrapText="1"/>
    </xf>
    <xf numFmtId="0" fontId="107" fillId="6" borderId="42" xfId="1" applyFont="1" applyFill="1" applyBorder="1" applyAlignment="1" applyProtection="1">
      <alignment horizontal="center" vertical="center" wrapText="1"/>
      <protection locked="0"/>
    </xf>
    <xf numFmtId="9" fontId="107" fillId="6" borderId="47" xfId="1" applyNumberFormat="1" applyFont="1" applyFill="1" applyBorder="1" applyAlignment="1">
      <alignment horizontal="center" vertical="center" wrapText="1"/>
    </xf>
    <xf numFmtId="9" fontId="107" fillId="6" borderId="43" xfId="1" applyNumberFormat="1" applyFont="1" applyFill="1" applyBorder="1" applyAlignment="1">
      <alignment horizontal="center" vertical="center" wrapText="1"/>
    </xf>
    <xf numFmtId="0" fontId="107" fillId="6" borderId="9" xfId="1" applyFont="1" applyFill="1" applyBorder="1" applyAlignment="1">
      <alignment horizontal="left" vertical="center" wrapText="1"/>
    </xf>
    <xf numFmtId="0" fontId="99" fillId="6" borderId="9" xfId="1" applyFont="1" applyFill="1" applyBorder="1" applyAlignment="1">
      <alignment horizontal="center" vertical="center" wrapText="1"/>
    </xf>
    <xf numFmtId="0" fontId="99" fillId="6" borderId="32" xfId="1" applyFont="1" applyFill="1" applyBorder="1" applyAlignment="1">
      <alignment horizontal="center" vertical="center" wrapText="1"/>
    </xf>
    <xf numFmtId="0" fontId="287" fillId="0" borderId="0" xfId="1" applyFont="1" applyAlignment="1">
      <alignment horizontal="left" vertical="center" wrapText="1"/>
    </xf>
    <xf numFmtId="0" fontId="289" fillId="0" borderId="0" xfId="1" applyFont="1" applyAlignment="1">
      <alignment horizontal="left" vertical="center" wrapText="1"/>
    </xf>
    <xf numFmtId="0" fontId="289" fillId="0" borderId="0" xfId="1" applyFont="1" applyAlignment="1">
      <alignment horizontal="left" vertical="center"/>
    </xf>
    <xf numFmtId="0" fontId="80" fillId="0" borderId="1" xfId="1" applyFont="1" applyBorder="1" applyAlignment="1">
      <alignment horizontal="center" vertical="center"/>
    </xf>
    <xf numFmtId="0" fontId="289" fillId="0" borderId="58" xfId="1" applyFont="1" applyBorder="1" applyAlignment="1">
      <alignment horizontal="left" vertical="center"/>
    </xf>
    <xf numFmtId="0" fontId="12" fillId="0" borderId="1" xfId="1" applyFont="1" applyBorder="1" applyAlignment="1">
      <alignment horizontal="left" vertical="center"/>
    </xf>
    <xf numFmtId="0" fontId="19" fillId="0" borderId="1" xfId="1" applyFont="1" applyBorder="1" applyAlignment="1">
      <alignment horizontal="center" vertical="center"/>
    </xf>
    <xf numFmtId="0" fontId="13" fillId="0" borderId="1" xfId="1" applyFont="1" applyBorder="1" applyAlignment="1">
      <alignment horizontal="left" vertical="center"/>
    </xf>
    <xf numFmtId="0" fontId="13" fillId="0" borderId="0" xfId="1" applyFont="1" applyAlignment="1">
      <alignment horizontal="left" vertical="center"/>
    </xf>
    <xf numFmtId="0" fontId="19" fillId="0" borderId="0" xfId="1" applyFont="1" applyAlignment="1">
      <alignment horizontal="center" vertical="center"/>
    </xf>
    <xf numFmtId="49" fontId="80" fillId="22" borderId="1" xfId="0" applyNumberFormat="1" applyFont="1" applyFill="1" applyBorder="1" applyAlignment="1">
      <alignment horizontal="center"/>
    </xf>
    <xf numFmtId="9" fontId="80" fillId="22" borderId="1" xfId="0" applyNumberFormat="1" applyFont="1" applyFill="1" applyBorder="1" applyAlignment="1">
      <alignment horizontal="center"/>
    </xf>
    <xf numFmtId="0" fontId="19" fillId="0" borderId="0" xfId="0" applyFont="1" applyAlignment="1">
      <alignment horizontal="left"/>
    </xf>
    <xf numFmtId="0" fontId="80" fillId="22" borderId="13" xfId="0" applyFont="1" applyFill="1" applyBorder="1" applyAlignment="1">
      <alignment horizontal="center"/>
    </xf>
    <xf numFmtId="49" fontId="80" fillId="22" borderId="13" xfId="0" applyNumberFormat="1" applyFont="1" applyFill="1" applyBorder="1" applyAlignment="1">
      <alignment horizontal="center"/>
    </xf>
    <xf numFmtId="9" fontId="80" fillId="22" borderId="13" xfId="0" applyNumberFormat="1" applyFont="1" applyFill="1" applyBorder="1" applyAlignment="1">
      <alignment horizontal="center"/>
    </xf>
    <xf numFmtId="0" fontId="19" fillId="23" borderId="1" xfId="0" applyFont="1" applyFill="1" applyBorder="1" applyAlignment="1"/>
    <xf numFmtId="49" fontId="19" fillId="23" borderId="1" xfId="0" applyNumberFormat="1" applyFont="1" applyFill="1" applyBorder="1" applyAlignment="1">
      <alignment horizontal="left"/>
    </xf>
    <xf numFmtId="0" fontId="19" fillId="23" borderId="1" xfId="0" applyFont="1" applyFill="1" applyBorder="1" applyAlignment="1">
      <alignment horizontal="left"/>
    </xf>
    <xf numFmtId="9" fontId="19" fillId="23" borderId="1" xfId="0" applyNumberFormat="1" applyFont="1" applyFill="1" applyBorder="1" applyAlignment="1">
      <alignment horizontal="left"/>
    </xf>
    <xf numFmtId="49" fontId="77" fillId="23" borderId="1" xfId="0" applyNumberFormat="1" applyFont="1" applyFill="1" applyBorder="1" applyAlignment="1"/>
    <xf numFmtId="0" fontId="77" fillId="23" borderId="1" xfId="0" applyFont="1" applyFill="1" applyBorder="1" applyAlignment="1"/>
    <xf numFmtId="0" fontId="77" fillId="23" borderId="1" xfId="0" applyFont="1" applyFill="1" applyBorder="1" applyAlignment="1">
      <alignment horizontal="left"/>
    </xf>
    <xf numFmtId="49" fontId="19" fillId="23" borderId="1" xfId="0" applyNumberFormat="1" applyFont="1" applyFill="1" applyBorder="1" applyAlignment="1"/>
    <xf numFmtId="0" fontId="80" fillId="22" borderId="1" xfId="0" applyFont="1" applyFill="1" applyBorder="1" applyAlignment="1" applyProtection="1">
      <protection locked="0"/>
    </xf>
    <xf numFmtId="0" fontId="80" fillId="22" borderId="1" xfId="0" applyFont="1" applyFill="1" applyBorder="1" applyAlignment="1"/>
    <xf numFmtId="0" fontId="19" fillId="0" borderId="0" xfId="0" applyFont="1" applyAlignment="1">
      <alignment horizontal="right"/>
    </xf>
    <xf numFmtId="49" fontId="80" fillId="22" borderId="1" xfId="0" applyNumberFormat="1" applyFont="1" applyFill="1" applyBorder="1" applyAlignment="1" applyProtection="1">
      <protection locked="0"/>
    </xf>
    <xf numFmtId="0" fontId="80" fillId="22" borderId="13" xfId="0" applyFont="1" applyFill="1" applyBorder="1" applyAlignment="1"/>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185" fontId="44" fillId="6" borderId="24" xfId="0" applyNumberFormat="1" applyFont="1" applyFill="1" applyBorder="1" applyAlignment="1">
      <alignment horizontal="center" vertical="center" wrapText="1"/>
    </xf>
    <xf numFmtId="185" fontId="44" fillId="6" borderId="5" xfId="0" applyNumberFormat="1"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49" fontId="208" fillId="0" borderId="3" xfId="0" applyNumberFormat="1"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49" fontId="166" fillId="0" borderId="23" xfId="0" applyNumberFormat="1"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80" fillId="22" borderId="5" xfId="0" applyFont="1" applyFill="1" applyBorder="1" applyAlignment="1" applyProtection="1">
      <alignment horizontal="center"/>
      <protection locked="0"/>
    </xf>
    <xf numFmtId="0" fontId="80" fillId="22" borderId="54" xfId="0" applyFont="1" applyFill="1" applyBorder="1" applyAlignment="1" applyProtection="1">
      <alignment horizontal="center"/>
      <protection locked="0"/>
    </xf>
    <xf numFmtId="0" fontId="80" fillId="22" borderId="3" xfId="0" applyFont="1" applyFill="1" applyBorder="1" applyAlignment="1" applyProtection="1">
      <alignment horizontal="center"/>
      <protection locked="0"/>
    </xf>
    <xf numFmtId="49" fontId="275" fillId="6" borderId="33" xfId="1" applyNumberFormat="1" applyFont="1" applyFill="1" applyBorder="1" applyAlignment="1">
      <alignment horizontal="center" vertical="center" wrapText="1"/>
    </xf>
    <xf numFmtId="49" fontId="275" fillId="6" borderId="68" xfId="1" applyNumberFormat="1" applyFont="1" applyFill="1" applyBorder="1" applyAlignment="1">
      <alignment horizontal="center" vertical="center" wrapText="1"/>
    </xf>
    <xf numFmtId="0" fontId="112" fillId="6" borderId="42" xfId="1" applyFont="1" applyFill="1" applyBorder="1" applyAlignment="1">
      <alignment horizontal="center" vertical="center" wrapText="1"/>
    </xf>
    <xf numFmtId="0" fontId="112" fillId="6" borderId="47" xfId="1" applyFont="1" applyFill="1" applyBorder="1" applyAlignment="1">
      <alignment horizontal="center" vertical="center" wrapText="1"/>
    </xf>
    <xf numFmtId="0" fontId="112" fillId="6" borderId="43" xfId="1" applyFont="1" applyFill="1" applyBorder="1" applyAlignment="1">
      <alignment horizontal="center" vertical="center" wrapText="1"/>
    </xf>
    <xf numFmtId="0" fontId="112" fillId="6" borderId="63" xfId="1" applyFont="1" applyFill="1" applyBorder="1" applyAlignment="1">
      <alignment horizontal="center" vertical="center" wrapText="1"/>
    </xf>
    <xf numFmtId="0" fontId="112" fillId="6" borderId="64" xfId="1" applyFont="1" applyFill="1" applyBorder="1" applyAlignment="1">
      <alignment horizontal="center" vertical="center" wrapText="1"/>
    </xf>
    <xf numFmtId="0" fontId="112" fillId="6" borderId="65" xfId="1" applyFont="1" applyFill="1" applyBorder="1" applyAlignment="1">
      <alignment horizontal="center" vertical="center" wrapText="1"/>
    </xf>
    <xf numFmtId="0" fontId="248" fillId="6" borderId="18" xfId="1" applyFont="1" applyFill="1" applyBorder="1" applyAlignment="1">
      <alignment horizontal="left" vertical="center" wrapText="1"/>
    </xf>
    <xf numFmtId="49" fontId="275" fillId="6" borderId="28" xfId="1" applyNumberFormat="1" applyFont="1" applyFill="1" applyBorder="1" applyAlignment="1">
      <alignment horizontal="center" vertical="center" wrapText="1"/>
    </xf>
    <xf numFmtId="49" fontId="275" fillId="6" borderId="21" xfId="1" applyNumberFormat="1" applyFont="1" applyFill="1" applyBorder="1" applyAlignment="1">
      <alignment horizontal="center" vertical="center" wrapText="1"/>
    </xf>
    <xf numFmtId="0" fontId="274" fillId="6" borderId="11" xfId="10" applyFont="1" applyFill="1" applyBorder="1" applyAlignment="1">
      <alignment horizontal="center" vertical="center" wrapText="1"/>
    </xf>
    <xf numFmtId="0" fontId="274" fillId="6" borderId="41" xfId="10" applyFont="1" applyFill="1" applyBorder="1" applyAlignment="1">
      <alignment horizontal="center" vertical="center" wrapText="1"/>
    </xf>
    <xf numFmtId="0" fontId="274" fillId="6" borderId="14" xfId="1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9" builtinId="4"/>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295275</xdr:colOff>
      <xdr:row>21</xdr:row>
      <xdr:rowOff>133350</xdr:rowOff>
    </xdr:from>
    <xdr:to>
      <xdr:col>6</xdr:col>
      <xdr:colOff>419100</xdr:colOff>
      <xdr:row>31</xdr:row>
      <xdr:rowOff>180975</xdr:rowOff>
    </xdr:to>
    <xdr:pic>
      <xdr:nvPicPr>
        <xdr:cNvPr id="24" name="图片 1">
          <a:extLst>
            <a:ext uri="{FF2B5EF4-FFF2-40B4-BE49-F238E27FC236}">
              <a16:creationId xmlns:a16="http://schemas.microsoft.com/office/drawing/2014/main" xmlns=""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590675" y="3457575"/>
          <a:ext cx="4419600" cy="3190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row r="1">
          <cell r="X1" t="str">
            <v>结构</v>
          </cell>
        </row>
        <row r="2">
          <cell r="X2" t="str">
            <v>钢</v>
          </cell>
        </row>
        <row r="3">
          <cell r="X3" t="str">
            <v>钢混</v>
          </cell>
        </row>
        <row r="4">
          <cell r="X4" t="str">
            <v>砖混</v>
          </cell>
        </row>
        <row r="5">
          <cell r="X5" t="str">
            <v>砖木（一等）</v>
          </cell>
        </row>
        <row r="6">
          <cell r="X6" t="str">
            <v>砖木（二等）</v>
          </cell>
        </row>
        <row r="7">
          <cell r="X7" t="str">
            <v>砖木（三等）</v>
          </cell>
        </row>
        <row r="8">
          <cell r="X8" t="str">
            <v>简易</v>
          </cell>
        </row>
      </sheetData>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row r="33">
          <cell r="B33" t="str">
            <v>地下第1层商业</v>
          </cell>
        </row>
        <row r="34">
          <cell r="B34" t="str">
            <v>地下第2层商业</v>
          </cell>
        </row>
        <row r="35">
          <cell r="B35" t="str">
            <v>地下第3层商业</v>
          </cell>
        </row>
        <row r="36">
          <cell r="B36" t="str">
            <v>地下第4层商业</v>
          </cell>
        </row>
        <row r="37">
          <cell r="B37" t="str">
            <v>地下办公</v>
          </cell>
        </row>
        <row r="38">
          <cell r="B38" t="str">
            <v>地下仓储</v>
          </cell>
        </row>
        <row r="39">
          <cell r="B39" t="str">
            <v>地下车库</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 xml:space="preserve"> 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 xml:space="preserve"> 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5.8499999999999996E-2</v>
          </cell>
        </row>
        <row r="2">
          <cell r="G2">
            <v>0.03</v>
          </cell>
        </row>
      </sheetData>
      <sheetData sheetId="18">
        <row r="3">
          <cell r="B3" t="str">
            <v>综合</v>
          </cell>
          <cell r="C3" t="str">
            <v>商业</v>
          </cell>
          <cell r="D3" t="str">
            <v>办公/综合</v>
          </cell>
          <cell r="E3" t="str">
            <v>住宅/居住</v>
          </cell>
          <cell r="F3" t="str">
            <v>工业</v>
          </cell>
        </row>
        <row r="4">
          <cell r="A4" t="str">
            <v>本行不参与计算</v>
          </cell>
        </row>
        <row r="6">
          <cell r="A6" t="str">
            <v>2022-1</v>
          </cell>
        </row>
        <row r="7">
          <cell r="A7" t="str">
            <v>2021-4</v>
          </cell>
        </row>
        <row r="8">
          <cell r="A8" t="str">
            <v>2021-3</v>
          </cell>
        </row>
        <row r="9">
          <cell r="A9" t="str">
            <v>2021-2</v>
          </cell>
        </row>
        <row r="10">
          <cell r="A10" t="str">
            <v>2021-1</v>
          </cell>
        </row>
        <row r="11">
          <cell r="A11" t="str">
            <v>2020-4</v>
          </cell>
        </row>
        <row r="12">
          <cell r="A12" t="str">
            <v>2020-3</v>
          </cell>
        </row>
        <row r="13">
          <cell r="A13" t="str">
            <v>2020-2</v>
          </cell>
        </row>
        <row r="14">
          <cell r="A14" t="str">
            <v>2020-1</v>
          </cell>
        </row>
        <row r="15">
          <cell r="A15" t="str">
            <v>2019-4</v>
          </cell>
        </row>
        <row r="16">
          <cell r="A16" t="str">
            <v>2019-3</v>
          </cell>
        </row>
        <row r="17">
          <cell r="A17" t="str">
            <v>2019-2</v>
          </cell>
        </row>
        <row r="18">
          <cell r="A18" t="str">
            <v>2019-1</v>
          </cell>
        </row>
        <row r="19">
          <cell r="A19" t="str">
            <v>2018-4</v>
          </cell>
        </row>
        <row r="20">
          <cell r="A20" t="str">
            <v>2018-3</v>
          </cell>
        </row>
        <row r="21">
          <cell r="A21" t="str">
            <v>2018-2</v>
          </cell>
        </row>
        <row r="22">
          <cell r="A22" t="str">
            <v>2018-1</v>
          </cell>
        </row>
        <row r="23">
          <cell r="A23" t="str">
            <v>2017-4</v>
          </cell>
        </row>
        <row r="24">
          <cell r="A24" t="str">
            <v>2017-3</v>
          </cell>
        </row>
        <row r="25">
          <cell r="A25" t="str">
            <v>2017-2</v>
          </cell>
        </row>
        <row r="26">
          <cell r="A26" t="str">
            <v>2017-1</v>
          </cell>
        </row>
        <row r="27">
          <cell r="A27" t="str">
            <v>2016-4</v>
          </cell>
        </row>
        <row r="28">
          <cell r="A28" t="str">
            <v>2016-3</v>
          </cell>
        </row>
        <row r="29">
          <cell r="A29" t="str">
            <v>2016-2</v>
          </cell>
        </row>
        <row r="30">
          <cell r="A30" t="str">
            <v>2016-1</v>
          </cell>
        </row>
        <row r="31">
          <cell r="A31" t="str">
            <v>2015-4</v>
          </cell>
        </row>
        <row r="32">
          <cell r="A32" t="str">
            <v>2015-3</v>
          </cell>
        </row>
        <row r="33">
          <cell r="A33" t="str">
            <v>2015-2</v>
          </cell>
        </row>
        <row r="34">
          <cell r="A34" t="str">
            <v>2015-1</v>
          </cell>
        </row>
        <row r="35">
          <cell r="A35" t="str">
            <v>2014-4</v>
          </cell>
        </row>
        <row r="36">
          <cell r="A36" t="str">
            <v>2014-3</v>
          </cell>
          <cell r="B36">
            <v>317.33359944117353</v>
          </cell>
          <cell r="C36">
            <v>266.90568668459315</v>
          </cell>
          <cell r="D36">
            <v>266.90568668459315</v>
          </cell>
          <cell r="E36">
            <v>436.47622852576905</v>
          </cell>
          <cell r="F36">
            <v>234.90930716622066</v>
          </cell>
        </row>
        <row r="37">
          <cell r="A37" t="str">
            <v>2014-2</v>
          </cell>
          <cell r="B37">
            <v>314.72141172386546</v>
          </cell>
          <cell r="C37">
            <v>263.03901319069001</v>
          </cell>
          <cell r="D37">
            <v>263.03901319069001</v>
          </cell>
          <cell r="E37">
            <v>433.65745506782821</v>
          </cell>
          <cell r="F37">
            <v>233.23005080045735</v>
          </cell>
        </row>
        <row r="38">
          <cell r="A38" t="str">
            <v>2014-1</v>
          </cell>
          <cell r="B38">
            <v>307.34512863658733</v>
          </cell>
          <cell r="C38">
            <v>257.80556031626975</v>
          </cell>
          <cell r="D38">
            <v>257.80556031626975</v>
          </cell>
          <cell r="E38">
            <v>422.70928459677179</v>
          </cell>
          <cell r="F38">
            <v>229.73803270336617</v>
          </cell>
        </row>
        <row r="39">
          <cell r="A39" t="str">
            <v>2013-4</v>
          </cell>
          <cell r="B39">
            <v>299</v>
          </cell>
          <cell r="C39">
            <v>252</v>
          </cell>
          <cell r="D39">
            <v>252</v>
          </cell>
          <cell r="E39">
            <v>409</v>
          </cell>
          <cell r="F39">
            <v>227</v>
          </cell>
        </row>
        <row r="40">
          <cell r="A40" t="str">
            <v>2013-3</v>
          </cell>
          <cell r="B40">
            <v>293.62663262299913</v>
          </cell>
          <cell r="C40">
            <v>247.83634933123525</v>
          </cell>
          <cell r="D40">
            <v>247.83634933123525</v>
          </cell>
          <cell r="E40">
            <v>401.09836226341076</v>
          </cell>
          <cell r="F40">
            <v>225.04213343908003</v>
          </cell>
        </row>
        <row r="41">
          <cell r="A41" t="str">
            <v>2013-2</v>
          </cell>
          <cell r="B41">
            <v>288.2649053828776</v>
          </cell>
          <cell r="C41">
            <v>243.64564425013293</v>
          </cell>
          <cell r="D41">
            <v>243.64564425013293</v>
          </cell>
          <cell r="E41">
            <v>393.31080825986544</v>
          </cell>
          <cell r="F41">
            <v>223.07903790551154</v>
          </cell>
        </row>
        <row r="42">
          <cell r="A42" t="str">
            <v>2013-1</v>
          </cell>
          <cell r="B42">
            <v>282.50186729015837</v>
          </cell>
          <cell r="C42">
            <v>238.09796174155468</v>
          </cell>
          <cell r="D42">
            <v>238.09796174155468</v>
          </cell>
          <cell r="E42">
            <v>385.33438646014054</v>
          </cell>
          <cell r="F42">
            <v>221.55034055567739</v>
          </cell>
        </row>
        <row r="43">
          <cell r="A43" t="str">
            <v>2012-4</v>
          </cell>
          <cell r="B43">
            <v>278</v>
          </cell>
          <cell r="C43">
            <v>234</v>
          </cell>
          <cell r="D43">
            <v>234</v>
          </cell>
          <cell r="E43">
            <v>379</v>
          </cell>
          <cell r="F43">
            <v>220</v>
          </cell>
        </row>
        <row r="44">
          <cell r="A44" t="str">
            <v>2012-3</v>
          </cell>
          <cell r="B44">
            <v>275.49301357645425</v>
          </cell>
          <cell r="C44">
            <v>232.41954707985698</v>
          </cell>
          <cell r="D44">
            <v>232.41954707985698</v>
          </cell>
          <cell r="E44">
            <v>375.32184591008121</v>
          </cell>
          <cell r="F44">
            <v>218.03766105054513</v>
          </cell>
        </row>
        <row r="45">
          <cell r="A45" t="str">
            <v>2012-2</v>
          </cell>
          <cell r="B45">
            <v>275.24529281292263</v>
          </cell>
          <cell r="C45">
            <v>231.74747938962707</v>
          </cell>
          <cell r="D45">
            <v>231.74747938962707</v>
          </cell>
          <cell r="E45">
            <v>375.35938184826603</v>
          </cell>
          <cell r="F45">
            <v>216.78033510692495</v>
          </cell>
        </row>
        <row r="46">
          <cell r="A46" t="str">
            <v>2012-1</v>
          </cell>
          <cell r="B46">
            <v>275.19025476197027</v>
          </cell>
          <cell r="C46">
            <v>232</v>
          </cell>
          <cell r="D46">
            <v>232</v>
          </cell>
          <cell r="E46">
            <v>375.65990977608692</v>
          </cell>
          <cell r="F46">
            <v>214.12518283971252</v>
          </cell>
        </row>
        <row r="47">
          <cell r="A47" t="str">
            <v>2011-4</v>
          </cell>
          <cell r="B47">
            <v>275</v>
          </cell>
          <cell r="C47">
            <v>232</v>
          </cell>
          <cell r="D47">
            <v>232</v>
          </cell>
          <cell r="E47">
            <v>376</v>
          </cell>
          <cell r="F47">
            <v>213</v>
          </cell>
        </row>
        <row r="48">
          <cell r="A48" t="str">
            <v>2011-3</v>
          </cell>
          <cell r="B48">
            <v>275.55110220440883</v>
          </cell>
          <cell r="C48">
            <v>231.90723710515795</v>
          </cell>
          <cell r="D48">
            <v>231.90723710515795</v>
          </cell>
          <cell r="E48">
            <v>377.28276138872161</v>
          </cell>
          <cell r="F48">
            <v>212.02468644236512</v>
          </cell>
        </row>
        <row r="49">
          <cell r="A49" t="str">
            <v>2011-2</v>
          </cell>
          <cell r="B49">
            <v>275.19335084830601</v>
          </cell>
          <cell r="C49">
            <v>230.18088050139744</v>
          </cell>
          <cell r="D49">
            <v>230.18088050139744</v>
          </cell>
          <cell r="E49">
            <v>377.58482925212331</v>
          </cell>
          <cell r="F49">
            <v>210.90687997847917</v>
          </cell>
        </row>
        <row r="50">
          <cell r="A50" t="str">
            <v>2011-1</v>
          </cell>
          <cell r="B50">
            <v>276.29854502841971</v>
          </cell>
          <cell r="C50">
            <v>229.79023709833027</v>
          </cell>
          <cell r="D50">
            <v>229.79023709833027</v>
          </cell>
          <cell r="E50">
            <v>379.78759731655936</v>
          </cell>
          <cell r="F50">
            <v>211.32953905659235</v>
          </cell>
        </row>
        <row r="51">
          <cell r="A51" t="str">
            <v>2010-4</v>
          </cell>
          <cell r="B51">
            <v>269</v>
          </cell>
          <cell r="C51">
            <v>221</v>
          </cell>
          <cell r="D51">
            <v>221</v>
          </cell>
          <cell r="E51">
            <v>373</v>
          </cell>
          <cell r="F51">
            <v>196</v>
          </cell>
        </row>
        <row r="52">
          <cell r="A52" t="str">
            <v>2010-3</v>
          </cell>
          <cell r="B52">
            <v>254.44570563753314</v>
          </cell>
          <cell r="C52">
            <v>207.37543398705074</v>
          </cell>
          <cell r="D52">
            <v>207.37543398705074</v>
          </cell>
          <cell r="E52">
            <v>352.81876655315932</v>
          </cell>
          <cell r="F52">
            <v>190.809968847352</v>
          </cell>
        </row>
        <row r="53">
          <cell r="A53" t="str">
            <v>2010-2</v>
          </cell>
          <cell r="B53">
            <v>242.95398227588385</v>
          </cell>
          <cell r="C53">
            <v>199.59137053614126</v>
          </cell>
          <cell r="D53">
            <v>199.59137053614126</v>
          </cell>
          <cell r="E53">
            <v>335.92189522342125</v>
          </cell>
          <cell r="F53">
            <v>183.10139991109489</v>
          </cell>
        </row>
        <row r="54">
          <cell r="A54" t="str">
            <v>2010-1</v>
          </cell>
          <cell r="B54">
            <v>232.06990378821649</v>
          </cell>
          <cell r="C54">
            <v>192.74878854286936</v>
          </cell>
          <cell r="D54">
            <v>192.74878854286936</v>
          </cell>
          <cell r="E54">
            <v>319.71247284992984</v>
          </cell>
          <cell r="F54">
            <v>175.67053622862409</v>
          </cell>
        </row>
        <row r="55">
          <cell r="A55" t="str">
            <v>2009-4</v>
          </cell>
          <cell r="B55">
            <v>220</v>
          </cell>
          <cell r="C55">
            <v>187</v>
          </cell>
          <cell r="D55">
            <v>187</v>
          </cell>
          <cell r="E55">
            <v>301</v>
          </cell>
          <cell r="F55">
            <v>168</v>
          </cell>
        </row>
        <row r="56">
          <cell r="A56" t="str">
            <v>2009-3</v>
          </cell>
          <cell r="B56">
            <v>215.05376344086022</v>
          </cell>
          <cell r="C56">
            <v>185.0752177355503</v>
          </cell>
          <cell r="D56">
            <v>185.0752177355503</v>
          </cell>
          <cell r="E56">
            <v>292.68767016725008</v>
          </cell>
          <cell r="F56">
            <v>166.88189132810174</v>
          </cell>
        </row>
        <row r="57">
          <cell r="A57" t="str">
            <v>2009-2</v>
          </cell>
          <cell r="B57">
            <v>210.630522469011</v>
          </cell>
          <cell r="C57">
            <v>181.69567812247232</v>
          </cell>
          <cell r="D57">
            <v>181.69567812247232</v>
          </cell>
          <cell r="E57">
            <v>286.13517466736738</v>
          </cell>
          <cell r="F57">
            <v>165.47535084591149</v>
          </cell>
        </row>
        <row r="58">
          <cell r="A58" t="str">
            <v>2009-1</v>
          </cell>
          <cell r="B58">
            <v>208.83454537875372</v>
          </cell>
          <cell r="C58">
            <v>183.77230517090351</v>
          </cell>
          <cell r="D58">
            <v>183.77230517090351</v>
          </cell>
          <cell r="E58">
            <v>281.10342338870947</v>
          </cell>
          <cell r="F58">
            <v>168.97309388942256</v>
          </cell>
        </row>
        <row r="59">
          <cell r="A59" t="str">
            <v>2008-4</v>
          </cell>
          <cell r="B59">
            <v>214</v>
          </cell>
          <cell r="C59">
            <v>188</v>
          </cell>
          <cell r="D59">
            <v>188</v>
          </cell>
          <cell r="E59">
            <v>289</v>
          </cell>
          <cell r="F59">
            <v>166</v>
          </cell>
        </row>
        <row r="60">
          <cell r="A60" t="str">
            <v>2008-3</v>
          </cell>
          <cell r="B60">
            <v>210.36075887152265</v>
          </cell>
          <cell r="C60">
            <v>187.94361691492554</v>
          </cell>
          <cell r="D60">
            <v>187.94361691492554</v>
          </cell>
          <cell r="E60">
            <v>281.70386977288234</v>
          </cell>
          <cell r="F60">
            <v>168.80211511083994</v>
          </cell>
        </row>
        <row r="61">
          <cell r="A61" t="str">
            <v>2008-2</v>
          </cell>
          <cell r="B61">
            <v>206.31694671589116</v>
          </cell>
          <cell r="C61">
            <v>183.61041121036101</v>
          </cell>
          <cell r="D61">
            <v>183.61041121036101</v>
          </cell>
          <cell r="E61">
            <v>276.66850301795557</v>
          </cell>
          <cell r="F61">
            <v>165.1360938278614</v>
          </cell>
        </row>
        <row r="62">
          <cell r="A62" t="str">
            <v>2008-1</v>
          </cell>
          <cell r="B62">
            <v>196.62341248059772</v>
          </cell>
          <cell r="C62">
            <v>170.99125648199012</v>
          </cell>
          <cell r="D62">
            <v>170.99125648199012</v>
          </cell>
          <cell r="E62">
            <v>266.07857570490052</v>
          </cell>
          <cell r="F62">
            <v>154.53499328828505</v>
          </cell>
        </row>
        <row r="63">
          <cell r="A63" t="str">
            <v>2007-4</v>
          </cell>
          <cell r="B63">
            <v>188</v>
          </cell>
          <cell r="C63">
            <v>165</v>
          </cell>
          <cell r="D63">
            <v>165</v>
          </cell>
          <cell r="E63">
            <v>254</v>
          </cell>
          <cell r="F63">
            <v>148</v>
          </cell>
        </row>
        <row r="64">
          <cell r="A64" t="str">
            <v>2007-3</v>
          </cell>
          <cell r="B64">
            <v>180.5366651097618</v>
          </cell>
          <cell r="C64">
            <v>158.60435967302453</v>
          </cell>
          <cell r="D64">
            <v>158.60435967302453</v>
          </cell>
          <cell r="E64">
            <v>239.25573260785075</v>
          </cell>
          <cell r="F64">
            <v>141.38899430740037</v>
          </cell>
        </row>
        <row r="65">
          <cell r="A65" t="str">
            <v>2007-2</v>
          </cell>
          <cell r="B65">
            <v>168.82017748715555</v>
          </cell>
          <cell r="C65">
            <v>148.06267029972753</v>
          </cell>
          <cell r="D65">
            <v>148.06267029972753</v>
          </cell>
          <cell r="E65">
            <v>216.46288379323747</v>
          </cell>
          <cell r="F65">
            <v>134.23529411764704</v>
          </cell>
        </row>
        <row r="66">
          <cell r="A66" t="str">
            <v>2007-1</v>
          </cell>
          <cell r="B66">
            <v>163.84913591779542</v>
          </cell>
          <cell r="C66">
            <v>145.0283378746594</v>
          </cell>
          <cell r="D66">
            <v>145.0283378746594</v>
          </cell>
          <cell r="E66">
            <v>204.95180722891567</v>
          </cell>
          <cell r="F66">
            <v>125.95920303605313</v>
          </cell>
        </row>
        <row r="67">
          <cell r="A67" t="str">
            <v>2006-4</v>
          </cell>
          <cell r="B67">
            <v>159</v>
          </cell>
          <cell r="C67">
            <v>141</v>
          </cell>
          <cell r="D67">
            <v>141</v>
          </cell>
          <cell r="E67">
            <v>195</v>
          </cell>
          <cell r="F67">
            <v>122</v>
          </cell>
        </row>
        <row r="68">
          <cell r="A68" t="str">
            <v>2006-3</v>
          </cell>
          <cell r="B68">
            <v>149.00125628140702</v>
          </cell>
          <cell r="C68">
            <v>137.95592286501378</v>
          </cell>
          <cell r="D68">
            <v>137.95592286501378</v>
          </cell>
          <cell r="E68">
            <v>169.97231450719823</v>
          </cell>
          <cell r="F68">
            <v>116.21390374331551</v>
          </cell>
        </row>
        <row r="69">
          <cell r="A69" t="str">
            <v>2006-2</v>
          </cell>
          <cell r="B69">
            <v>146.57412060301507</v>
          </cell>
          <cell r="C69">
            <v>136.46831955922866</v>
          </cell>
          <cell r="D69">
            <v>136.46831955922866</v>
          </cell>
          <cell r="E69">
            <v>166.73864894795128</v>
          </cell>
          <cell r="F69">
            <v>115.05882352941177</v>
          </cell>
        </row>
        <row r="70">
          <cell r="A70" t="str">
            <v>2006-1</v>
          </cell>
          <cell r="B70">
            <v>144.04145728643215</v>
          </cell>
          <cell r="C70">
            <v>136.12396694214877</v>
          </cell>
          <cell r="D70">
            <v>136.12396694214877</v>
          </cell>
          <cell r="E70">
            <v>158.32225913621264</v>
          </cell>
          <cell r="F70">
            <v>114.04278074866311</v>
          </cell>
        </row>
        <row r="71">
          <cell r="A71" t="str">
            <v>2005-4</v>
          </cell>
          <cell r="B71">
            <v>138</v>
          </cell>
          <cell r="C71">
            <v>131</v>
          </cell>
          <cell r="D71">
            <v>131</v>
          </cell>
          <cell r="E71">
            <v>155</v>
          </cell>
          <cell r="F71">
            <v>114</v>
          </cell>
        </row>
        <row r="72">
          <cell r="A72" t="str">
            <v>2005-3</v>
          </cell>
          <cell r="B72">
            <v>125.9720430107527</v>
          </cell>
          <cell r="C72">
            <v>125.1883408071749</v>
          </cell>
          <cell r="D72">
            <v>125.1883408071749</v>
          </cell>
          <cell r="E72">
            <v>144.61421319796952</v>
          </cell>
          <cell r="F72">
            <v>108.42008196721311</v>
          </cell>
        </row>
        <row r="73">
          <cell r="A73" t="str">
            <v>2005-2</v>
          </cell>
          <cell r="B73">
            <v>124.29032258064517</v>
          </cell>
          <cell r="C73">
            <v>123.8968609865471</v>
          </cell>
          <cell r="D73">
            <v>123.8968609865471</v>
          </cell>
          <cell r="E73">
            <v>138.00507614213197</v>
          </cell>
          <cell r="F73">
            <v>107.96106557377048</v>
          </cell>
        </row>
        <row r="74">
          <cell r="A74" t="str">
            <v>2005-1</v>
          </cell>
          <cell r="B74">
            <v>122.57204301075269</v>
          </cell>
          <cell r="C74">
            <v>123.4932735426009</v>
          </cell>
          <cell r="D74">
            <v>123.4932735426009</v>
          </cell>
          <cell r="E74">
            <v>129.82233502538071</v>
          </cell>
          <cell r="F74">
            <v>107.39446721311475</v>
          </cell>
        </row>
        <row r="75">
          <cell r="A75" t="str">
            <v>2004-4</v>
          </cell>
          <cell r="B75">
            <v>121</v>
          </cell>
          <cell r="C75">
            <v>122</v>
          </cell>
          <cell r="D75">
            <v>122</v>
          </cell>
          <cell r="E75">
            <v>124</v>
          </cell>
          <cell r="F75">
            <v>107</v>
          </cell>
        </row>
        <row r="76">
          <cell r="A76" t="str">
            <v>2004-3</v>
          </cell>
          <cell r="B76">
            <v>119.51351351351352</v>
          </cell>
          <cell r="C76">
            <v>120.7878787878788</v>
          </cell>
          <cell r="D76">
            <v>120.7878787878788</v>
          </cell>
          <cell r="E76">
            <v>121.5975975975976</v>
          </cell>
          <cell r="F76">
            <v>107</v>
          </cell>
        </row>
        <row r="77">
          <cell r="A77" t="str">
            <v>2004-2</v>
          </cell>
          <cell r="B77">
            <v>116.99099099099099</v>
          </cell>
          <cell r="C77">
            <v>118.84848484848486</v>
          </cell>
          <cell r="D77">
            <v>118.84848484848486</v>
          </cell>
          <cell r="E77">
            <v>117.60960960960961</v>
          </cell>
          <cell r="F77">
            <v>104</v>
          </cell>
        </row>
        <row r="78">
          <cell r="A78" t="str">
            <v>2004-1</v>
          </cell>
          <cell r="B78">
            <v>112.48648648648648</v>
          </cell>
          <cell r="C78">
            <v>115.21212121212122</v>
          </cell>
          <cell r="D78">
            <v>115.21212121212122</v>
          </cell>
          <cell r="E78">
            <v>110.4024024024024</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row r="17">
          <cell r="A17" t="str">
            <v>2014-3</v>
          </cell>
        </row>
        <row r="18">
          <cell r="A18" t="str">
            <v>2014-2</v>
          </cell>
        </row>
        <row r="19">
          <cell r="A19" t="str">
            <v>2014-1</v>
          </cell>
        </row>
        <row r="20">
          <cell r="A20" t="str">
            <v>2013-4</v>
          </cell>
        </row>
        <row r="21">
          <cell r="A21" t="str">
            <v>2013-3</v>
          </cell>
        </row>
        <row r="22">
          <cell r="A22" t="str">
            <v>2013-2</v>
          </cell>
        </row>
        <row r="23">
          <cell r="A23" t="str">
            <v>2013-1</v>
          </cell>
        </row>
        <row r="24">
          <cell r="A24" t="str">
            <v>2012-4</v>
          </cell>
        </row>
        <row r="25">
          <cell r="A25" t="str">
            <v>2012-3</v>
          </cell>
        </row>
        <row r="26">
          <cell r="A26" t="str">
            <v>2012-2</v>
          </cell>
        </row>
        <row r="27">
          <cell r="A27" t="str">
            <v>2012-1</v>
          </cell>
        </row>
        <row r="28">
          <cell r="A28" t="str">
            <v>2011-4</v>
          </cell>
        </row>
        <row r="29">
          <cell r="A29" t="str">
            <v>2011-3</v>
          </cell>
        </row>
        <row r="30">
          <cell r="A30" t="str">
            <v>2011-2</v>
          </cell>
        </row>
        <row r="31">
          <cell r="A31" t="str">
            <v>2011-1</v>
          </cell>
        </row>
        <row r="32">
          <cell r="A32" t="str">
            <v>2010-4</v>
          </cell>
        </row>
        <row r="33">
          <cell r="A33" t="str">
            <v>2010-3</v>
          </cell>
        </row>
        <row r="34">
          <cell r="A34" t="str">
            <v>2010-2</v>
          </cell>
        </row>
        <row r="35">
          <cell r="A35" t="str">
            <v>2010-1</v>
          </cell>
        </row>
        <row r="36">
          <cell r="A36" t="str">
            <v>2009-4</v>
          </cell>
        </row>
        <row r="37">
          <cell r="A37" t="str">
            <v>2009-3</v>
          </cell>
        </row>
        <row r="38">
          <cell r="A38" t="str">
            <v>2009-2</v>
          </cell>
        </row>
        <row r="39">
          <cell r="A39" t="str">
            <v>2009-1</v>
          </cell>
        </row>
        <row r="40">
          <cell r="A40" t="str">
            <v>2008-4</v>
          </cell>
        </row>
        <row r="41">
          <cell r="A41" t="str">
            <v>2008-3</v>
          </cell>
        </row>
        <row r="42">
          <cell r="A42" t="str">
            <v>2008-2</v>
          </cell>
        </row>
        <row r="43">
          <cell r="A43" t="str">
            <v>2008-1</v>
          </cell>
        </row>
        <row r="44">
          <cell r="A44" t="str">
            <v>2007-4</v>
          </cell>
        </row>
        <row r="45">
          <cell r="A45" t="str">
            <v>2007-3</v>
          </cell>
        </row>
        <row r="46">
          <cell r="A46" t="str">
            <v>2007-2</v>
          </cell>
        </row>
        <row r="47">
          <cell r="A47" t="str">
            <v>2007-1</v>
          </cell>
        </row>
        <row r="48">
          <cell r="A48" t="str">
            <v>2006-4</v>
          </cell>
        </row>
        <row r="49">
          <cell r="A49" t="str">
            <v>2006-3</v>
          </cell>
        </row>
        <row r="50">
          <cell r="A50" t="str">
            <v>2006-2</v>
          </cell>
        </row>
        <row r="51">
          <cell r="A51" t="str">
            <v>2006-1</v>
          </cell>
        </row>
        <row r="52">
          <cell r="A52" t="str">
            <v>2005-4</v>
          </cell>
        </row>
        <row r="53">
          <cell r="A53" t="str">
            <v>2005-3</v>
          </cell>
        </row>
        <row r="54">
          <cell r="A54" t="str">
            <v>2005-2</v>
          </cell>
        </row>
        <row r="55">
          <cell r="A55" t="str">
            <v>2005-1</v>
          </cell>
        </row>
        <row r="56">
          <cell r="A56" t="str">
            <v>2004-4</v>
          </cell>
        </row>
        <row r="57">
          <cell r="A57" t="str">
            <v>2004-3</v>
          </cell>
        </row>
        <row r="58">
          <cell r="A58" t="str">
            <v>2004-2</v>
          </cell>
        </row>
        <row r="59">
          <cell r="A59" t="str">
            <v>2004-1</v>
          </cell>
        </row>
        <row r="60">
          <cell r="A60" t="str">
            <v>2003-4</v>
          </cell>
        </row>
        <row r="61">
          <cell r="A61" t="str">
            <v>2003-3</v>
          </cell>
        </row>
        <row r="62">
          <cell r="A62" t="str">
            <v>2003-2</v>
          </cell>
        </row>
        <row r="63">
          <cell r="A63" t="str">
            <v>2003-1</v>
          </cell>
        </row>
        <row r="64">
          <cell r="A64" t="str">
            <v>2002-4</v>
          </cell>
        </row>
        <row r="65">
          <cell r="A65" t="str">
            <v>2002-3</v>
          </cell>
        </row>
        <row r="66">
          <cell r="A66" t="str">
            <v>2002-2</v>
          </cell>
        </row>
        <row r="67">
          <cell r="A67" t="str">
            <v>2002-1</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受贵公司委托，我公司对北京市进行了预评估。</v>
      </c>
    </row>
    <row r="7" spans="1:2">
      <c r="A7" s="1118" t="s">
        <v>566</v>
      </c>
      <c r="B7" s="1119" t="str">
        <f>'预评函-1'!A7</f>
        <v>估价对象为北京市房地产，为所有。根据《国有土地使用证》[]，估价对象（分摊）出让国有建设用地使用权面积为0平方米，建筑面积为204.54平方米。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估价对象为北京市房地产,属开发建设的，该项目尚在开发建设中。根据《国有土地使用证》[]，估价对象（分摊）出让国有建设用地使用权面积为0平方米，规划建筑面积为204.54平方米。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2006年5月30日</v>
      </c>
    </row>
    <row r="13" spans="1:2">
      <c r="A13" s="1118" t="s">
        <v>529</v>
      </c>
      <c r="B13" s="1119" t="str">
        <f>'预评函-1'!A18</f>
        <v>本次估价的“房地产价值”是指在正常市场情况下，在价值时点2006年5月30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204.54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topLeftCell="C1" workbookViewId="0">
      <selection activeCell="F19" sqref="F19"/>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2575</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2576</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2288</v>
      </c>
      <c r="C17" s="1441"/>
    </row>
    <row r="18" spans="1:3">
      <c r="A18" s="1440" t="s">
        <v>1046</v>
      </c>
      <c r="B18" s="1440" t="s">
        <v>2431</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651"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1"/>
      <c r="B54" s="1446" t="s">
        <v>385</v>
      </c>
      <c r="C54" s="1444" t="s">
        <v>583</v>
      </c>
    </row>
    <row r="55" spans="1:4">
      <c r="A55" s="3651"/>
      <c r="B55" s="1446" t="s">
        <v>386</v>
      </c>
      <c r="C55" s="1444" t="s">
        <v>584</v>
      </c>
    </row>
    <row r="56" spans="1:4">
      <c r="A56" s="3651"/>
      <c r="B56" s="1446" t="s">
        <v>387</v>
      </c>
      <c r="C56" s="1444" t="s">
        <v>588</v>
      </c>
    </row>
    <row r="57" spans="1:4">
      <c r="A57" s="3651"/>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tabColor rgb="FFFFFF00"/>
  </sheetPr>
  <dimension ref="A1:R47"/>
  <sheetViews>
    <sheetView topLeftCell="A16" workbookViewId="0">
      <selection activeCell="P26" sqref="P26"/>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2498</v>
      </c>
      <c r="B1" s="2752"/>
      <c r="C1" s="2752"/>
      <c r="D1" s="2752"/>
      <c r="E1" s="2752"/>
      <c r="F1" s="2753"/>
      <c r="I1" s="3130" t="s">
        <v>2591</v>
      </c>
      <c r="J1" s="2778"/>
      <c r="K1" s="2778"/>
      <c r="L1" s="2778"/>
      <c r="M1" s="2778"/>
      <c r="N1" s="2963"/>
      <c r="O1" s="2963"/>
      <c r="P1" s="2963"/>
      <c r="Q1" s="2963"/>
      <c r="R1" s="2963"/>
    </row>
    <row r="2" spans="1:18">
      <c r="A2" s="2755"/>
      <c r="B2" s="2756"/>
      <c r="C2" s="2756"/>
      <c r="D2" s="2756"/>
      <c r="E2" s="2756"/>
      <c r="F2" s="2757"/>
      <c r="I2" s="3652" t="s">
        <v>2578</v>
      </c>
      <c r="J2" s="3652"/>
      <c r="K2" s="3652"/>
      <c r="L2" s="3652"/>
      <c r="M2" s="3652"/>
      <c r="N2" s="3652"/>
      <c r="O2" s="3652"/>
      <c r="P2" s="3652"/>
      <c r="Q2" s="3652"/>
      <c r="R2" s="3652"/>
    </row>
    <row r="3" spans="1:18">
      <c r="A3" s="2758" t="s">
        <v>2499</v>
      </c>
      <c r="B3" s="2759">
        <f>项目基本情况!D3</f>
        <v>38867</v>
      </c>
      <c r="C3" s="2761"/>
      <c r="D3" s="2761"/>
      <c r="E3" s="2761"/>
      <c r="F3" s="2757"/>
      <c r="I3" s="2773"/>
      <c r="J3" s="2773" t="s">
        <v>2582</v>
      </c>
      <c r="K3" s="2773" t="s">
        <v>2583</v>
      </c>
      <c r="L3" s="2773" t="s">
        <v>2584</v>
      </c>
      <c r="M3" s="2773" t="s">
        <v>2585</v>
      </c>
      <c r="N3" s="3131" t="s">
        <v>2586</v>
      </c>
      <c r="O3" s="3131" t="s">
        <v>2587</v>
      </c>
      <c r="P3" s="3131" t="s">
        <v>2588</v>
      </c>
      <c r="Q3" s="3131" t="s">
        <v>2589</v>
      </c>
      <c r="R3" s="3131" t="s">
        <v>2590</v>
      </c>
    </row>
    <row r="4" spans="1:18">
      <c r="A4" s="2758" t="s">
        <v>2500</v>
      </c>
      <c r="B4" s="2761" t="s">
        <v>2501</v>
      </c>
      <c r="C4" s="2761" t="s">
        <v>2502</v>
      </c>
      <c r="D4" s="2761" t="s">
        <v>2503</v>
      </c>
      <c r="E4" s="2761" t="s">
        <v>2504</v>
      </c>
      <c r="F4" s="2757"/>
      <c r="I4" s="2773" t="s">
        <v>2579</v>
      </c>
      <c r="J4" s="2773">
        <v>80</v>
      </c>
      <c r="K4" s="2773">
        <v>70</v>
      </c>
      <c r="L4" s="2773">
        <v>20</v>
      </c>
      <c r="M4" s="2773">
        <v>30</v>
      </c>
      <c r="N4" s="2761">
        <v>45</v>
      </c>
      <c r="O4" s="2761">
        <v>60</v>
      </c>
      <c r="P4" s="2761">
        <v>50</v>
      </c>
      <c r="Q4" s="2761">
        <v>20</v>
      </c>
      <c r="R4" s="2761">
        <v>375</v>
      </c>
    </row>
    <row r="5" spans="1:18">
      <c r="A5" s="2762">
        <v>40</v>
      </c>
      <c r="B5" s="2759">
        <v>46375</v>
      </c>
      <c r="C5" s="2761">
        <f>ROUNDDOWN(MIN((B5-B3)/365,A5),2)</f>
        <v>20.56</v>
      </c>
      <c r="D5" s="2763">
        <f>IF(ISERROR(ROUND(POWER(1+E5,A5-C5)*(POWER(1+E5,C5)-1)/(POWER(1+E5,A5)-1),3)),0,ROUND(POWER(1+E5,A5-C5)*(POWER(1+E5,C5)-1)/(POWER(1+E5,A5)-1),4))</f>
        <v>0.69920000000000004</v>
      </c>
      <c r="E5" s="2764">
        <v>0.04</v>
      </c>
      <c r="F5" s="2757"/>
      <c r="I5" s="2773" t="s">
        <v>2580</v>
      </c>
      <c r="J5" s="2773">
        <v>70</v>
      </c>
      <c r="K5" s="2773">
        <v>60</v>
      </c>
      <c r="L5" s="2773">
        <v>15</v>
      </c>
      <c r="M5" s="2773">
        <v>25</v>
      </c>
      <c r="N5" s="2761">
        <v>40</v>
      </c>
      <c r="O5" s="2761">
        <v>50</v>
      </c>
      <c r="P5" s="2761">
        <v>40</v>
      </c>
      <c r="Q5" s="2761">
        <v>15</v>
      </c>
      <c r="R5" s="2761">
        <v>315</v>
      </c>
    </row>
    <row r="6" spans="1:18">
      <c r="A6" s="2762">
        <v>50</v>
      </c>
      <c r="B6" s="2759">
        <v>50028</v>
      </c>
      <c r="C6" s="2761">
        <f>ROUNDDOWN(MIN((B6-B3)/365,A6),2)</f>
        <v>30.57</v>
      </c>
      <c r="D6" s="2763">
        <f>IF(ISERROR(ROUND(POWER(1+E6,A6-C6)*(POWER(1+E6,C6)-1)/(POWER(1+E6,A6)-1),3)),0,ROUND(POWER(1+E6,A6-C6)*(POWER(1+E6,C6)-1)/(POWER(1+E6,A6)-1),4))</f>
        <v>0.81289999999999996</v>
      </c>
      <c r="E6" s="2764">
        <v>0.04</v>
      </c>
      <c r="F6" s="2757"/>
      <c r="I6" s="2773" t="s">
        <v>2581</v>
      </c>
      <c r="J6" s="2773">
        <v>60</v>
      </c>
      <c r="K6" s="2773">
        <v>50</v>
      </c>
      <c r="L6" s="2773">
        <v>10</v>
      </c>
      <c r="M6" s="2773">
        <v>20</v>
      </c>
      <c r="N6" s="2761">
        <v>35</v>
      </c>
      <c r="O6" s="2761">
        <v>40</v>
      </c>
      <c r="P6" s="2761">
        <v>30</v>
      </c>
      <c r="Q6" s="2761">
        <v>10</v>
      </c>
      <c r="R6" s="2761">
        <v>255</v>
      </c>
    </row>
    <row r="7" spans="1:18">
      <c r="A7" s="2762">
        <v>70</v>
      </c>
      <c r="B7" s="2759">
        <v>57333</v>
      </c>
      <c r="C7" s="2761">
        <f>ROUNDDOWN(MIN((B7-B3)/365,A7),2)</f>
        <v>50.59</v>
      </c>
      <c r="D7" s="2763">
        <f>IF(ISERROR(ROUND(POWER(1+E7,A7-C7)*(POWER(1+E7,C7)-1)/(POWER(1+E7,A7)-1),3)),0,ROUND(POWER(1+E7,A7-C7)*(POWER(1+E7,C7)-1)/(POWER(1+E7,A7)-1),4))</f>
        <v>0.92169999999999996</v>
      </c>
      <c r="E7" s="2764">
        <v>0.04</v>
      </c>
      <c r="F7" s="2757"/>
    </row>
    <row r="8" spans="1:18">
      <c r="A8" s="2755"/>
      <c r="B8" s="2756"/>
      <c r="C8" s="2756"/>
      <c r="D8" s="2756"/>
      <c r="E8" s="2756"/>
      <c r="F8" s="2757"/>
    </row>
    <row r="9" spans="1:18">
      <c r="A9" s="2758" t="s">
        <v>2505</v>
      </c>
      <c r="B9" s="2761"/>
      <c r="C9" s="2761"/>
      <c r="D9" s="2761"/>
      <c r="E9" s="2761"/>
      <c r="F9" s="2765"/>
    </row>
    <row r="10" spans="1:18">
      <c r="A10" s="2758" t="s">
        <v>2506</v>
      </c>
      <c r="B10" s="2761"/>
      <c r="C10" s="2761"/>
      <c r="D10" s="2761" t="s">
        <v>2504</v>
      </c>
      <c r="E10" s="2761"/>
      <c r="F10" s="2765" t="s">
        <v>2503</v>
      </c>
    </row>
    <row r="11" spans="1:18">
      <c r="A11" s="2758" t="s">
        <v>2507</v>
      </c>
      <c r="B11" s="2766">
        <v>70</v>
      </c>
      <c r="C11" s="2761" t="s">
        <v>2508</v>
      </c>
      <c r="D11" s="2766">
        <v>4.4999999999999998E-2</v>
      </c>
      <c r="E11" s="2761" t="s">
        <v>2509</v>
      </c>
      <c r="F11" s="2767">
        <f>ROUND(1-(1/(POWER(1+D11,B11))),4)</f>
        <v>0.95409999999999995</v>
      </c>
    </row>
    <row r="12" spans="1:18">
      <c r="A12" s="2758" t="s">
        <v>2510</v>
      </c>
      <c r="B12" s="2766">
        <v>40</v>
      </c>
      <c r="C12" s="2761" t="s">
        <v>2511</v>
      </c>
      <c r="D12" s="2766">
        <v>4.4999999999999998E-2</v>
      </c>
      <c r="E12" s="2761" t="s">
        <v>2512</v>
      </c>
      <c r="F12" s="2767">
        <f>ROUND(1-(1/(POWER(1+D12,B12))),4)</f>
        <v>0.82809999999999995</v>
      </c>
    </row>
    <row r="13" spans="1:18">
      <c r="A13" s="2758" t="s">
        <v>2513</v>
      </c>
      <c r="B13" s="2761"/>
      <c r="C13" s="2761"/>
      <c r="D13" s="2756"/>
      <c r="E13" s="2756"/>
      <c r="F13" s="2757"/>
    </row>
    <row r="14" spans="1:18">
      <c r="A14" s="2758" t="s">
        <v>2514</v>
      </c>
      <c r="B14" s="2766">
        <v>5000</v>
      </c>
      <c r="C14" s="2760"/>
      <c r="D14" s="2756"/>
      <c r="E14" s="2756"/>
      <c r="F14" s="2757"/>
    </row>
    <row r="15" spans="1:18">
      <c r="A15" s="2758" t="s">
        <v>2515</v>
      </c>
      <c r="B15" s="2761">
        <f>ROUND(B14*F12/F11,2)</f>
        <v>4339.6899999999996</v>
      </c>
      <c r="C15" s="2761">
        <f>ROUND(F12/F11,4)</f>
        <v>0.8679</v>
      </c>
      <c r="D15" s="2756"/>
      <c r="E15" s="2756"/>
      <c r="F15" s="2757"/>
    </row>
    <row r="16" spans="1:18">
      <c r="A16" s="2758" t="s">
        <v>2516</v>
      </c>
      <c r="B16" s="2761"/>
      <c r="C16" s="2761"/>
      <c r="D16" s="2756"/>
      <c r="E16" s="2756"/>
      <c r="F16" s="2757"/>
    </row>
    <row r="17" spans="1:13">
      <c r="A17" s="2758" t="s">
        <v>2515</v>
      </c>
      <c r="B17" s="2766">
        <v>4810</v>
      </c>
      <c r="C17" s="2760"/>
      <c r="D17" s="2756"/>
      <c r="E17" s="2756"/>
      <c r="F17" s="2757"/>
    </row>
    <row r="18" spans="1:13" ht="14.25" thickBot="1">
      <c r="A18" s="2768" t="s">
        <v>2514</v>
      </c>
      <c r="B18" s="2769">
        <f>ROUND(B17*F11/F12,2)</f>
        <v>5541.87</v>
      </c>
      <c r="C18" s="2769">
        <f>ROUND(F11/F12,4)</f>
        <v>1.1521999999999999</v>
      </c>
      <c r="D18" s="2770"/>
      <c r="E18" s="2770"/>
      <c r="F18" s="2771"/>
    </row>
    <row r="19" spans="1:13" ht="14.25" thickBot="1"/>
    <row r="20" spans="1:13" s="2804" customFormat="1" ht="14.25" thickTop="1">
      <c r="A20" s="2801" t="s">
        <v>2517</v>
      </c>
      <c r="B20" s="2802"/>
      <c r="C20" s="2802"/>
      <c r="D20" s="2802"/>
      <c r="E20" s="2802"/>
      <c r="F20" s="2802"/>
      <c r="G20" s="2803"/>
      <c r="I20" s="2805" t="s">
        <v>2562</v>
      </c>
      <c r="J20" s="2805" t="s">
        <v>2567</v>
      </c>
      <c r="K20" s="2805"/>
      <c r="L20" s="2805"/>
      <c r="M20" s="2805"/>
    </row>
    <row r="21" spans="1:13">
      <c r="A21" s="2772"/>
      <c r="B21" s="2773" t="s">
        <v>2518</v>
      </c>
      <c r="C21" s="2773" t="s">
        <v>2519</v>
      </c>
      <c r="D21" s="2773" t="s">
        <v>2520</v>
      </c>
      <c r="E21" s="2773" t="s">
        <v>2521</v>
      </c>
      <c r="F21" s="2773" t="s">
        <v>2522</v>
      </c>
      <c r="G21" s="2774" t="s">
        <v>2523</v>
      </c>
      <c r="I21" s="2795">
        <v>5</v>
      </c>
      <c r="J21" s="2795">
        <v>54.2</v>
      </c>
    </row>
    <row r="22" spans="1:13">
      <c r="A22" s="2772" t="s">
        <v>2524</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2525</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2565</v>
      </c>
      <c r="M23" s="2795" t="s">
        <v>2566</v>
      </c>
    </row>
    <row r="24" spans="1:13">
      <c r="A24" s="2772" t="s">
        <v>2526</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2564</v>
      </c>
      <c r="M24" s="2795">
        <v>10</v>
      </c>
    </row>
    <row r="25" spans="1:13">
      <c r="A25" s="2772" t="s">
        <v>2527</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2568</v>
      </c>
      <c r="M25" s="2795">
        <v>8</v>
      </c>
    </row>
    <row r="26" spans="1:13">
      <c r="A26" s="2777"/>
      <c r="B26" s="2778"/>
      <c r="C26" s="2778"/>
      <c r="D26" s="2778"/>
      <c r="E26" s="2778"/>
      <c r="F26" s="2778"/>
      <c r="G26" s="2779"/>
      <c r="I26" s="2795">
        <v>30</v>
      </c>
      <c r="J26" s="2795">
        <v>90.5</v>
      </c>
      <c r="K26" s="2795">
        <f t="shared" si="2"/>
        <v>4.2000000000000028</v>
      </c>
      <c r="L26" s="2795" t="s">
        <v>2569</v>
      </c>
      <c r="M26" s="2795">
        <v>5</v>
      </c>
    </row>
    <row r="27" spans="1:13">
      <c r="A27" s="2777" t="s">
        <v>2528</v>
      </c>
      <c r="B27" s="2778"/>
      <c r="C27" s="2778"/>
      <c r="D27" s="2778"/>
      <c r="E27" s="2778"/>
      <c r="F27" s="2778"/>
      <c r="G27" s="2779"/>
      <c r="I27" s="2795">
        <v>35</v>
      </c>
      <c r="J27" s="2795">
        <v>93.8</v>
      </c>
      <c r="K27" s="2795">
        <f t="shared" si="2"/>
        <v>3.2999999999999972</v>
      </c>
      <c r="L27" s="2795" t="s">
        <v>2570</v>
      </c>
      <c r="M27" s="2795">
        <v>3</v>
      </c>
    </row>
    <row r="28" spans="1:13">
      <c r="A28" s="2777" t="s">
        <v>2529</v>
      </c>
      <c r="B28" s="2778"/>
      <c r="C28" s="2778"/>
      <c r="D28" s="2778"/>
      <c r="E28" s="2778"/>
      <c r="F28" s="2778"/>
      <c r="G28" s="2779"/>
      <c r="I28" s="2795">
        <v>40</v>
      </c>
      <c r="J28" s="2795">
        <v>96.4</v>
      </c>
      <c r="K28" s="2795">
        <f t="shared" si="2"/>
        <v>2.6000000000000085</v>
      </c>
      <c r="L28" s="2795" t="s">
        <v>2571</v>
      </c>
      <c r="M28" s="2795">
        <v>2</v>
      </c>
    </row>
    <row r="29" spans="1:13">
      <c r="A29" s="2777" t="s">
        <v>2530</v>
      </c>
      <c r="B29" s="2778"/>
      <c r="C29" s="2778"/>
      <c r="D29" s="2778"/>
      <c r="E29" s="2778"/>
      <c r="F29" s="2778"/>
      <c r="G29" s="2779"/>
      <c r="I29" s="2795">
        <v>45</v>
      </c>
      <c r="J29" s="2795">
        <v>98.4</v>
      </c>
      <c r="K29" s="2795">
        <f t="shared" si="2"/>
        <v>2</v>
      </c>
    </row>
    <row r="30" spans="1:13">
      <c r="A30" s="2777" t="s">
        <v>2531</v>
      </c>
      <c r="B30" s="2778"/>
      <c r="C30" s="2778"/>
      <c r="D30" s="2778"/>
      <c r="E30" s="2778"/>
      <c r="F30" s="2778"/>
      <c r="G30" s="2779"/>
      <c r="I30" s="2795">
        <v>50</v>
      </c>
      <c r="J30" s="2795">
        <v>100</v>
      </c>
      <c r="K30" s="2795">
        <f t="shared" si="2"/>
        <v>1.5999999999999943</v>
      </c>
    </row>
    <row r="31" spans="1:13">
      <c r="A31" s="2777" t="s">
        <v>2532</v>
      </c>
      <c r="B31" s="2778"/>
      <c r="C31" s="2778"/>
      <c r="D31" s="2778"/>
      <c r="E31" s="2778"/>
      <c r="F31" s="2778"/>
      <c r="G31" s="2779"/>
      <c r="I31" s="2795" t="s">
        <v>2563</v>
      </c>
    </row>
    <row r="32" spans="1:13">
      <c r="A32" s="2777" t="s">
        <v>2533</v>
      </c>
      <c r="B32" s="2778"/>
      <c r="C32" s="2778"/>
      <c r="D32" s="2778"/>
      <c r="E32" s="2778"/>
      <c r="F32" s="2778"/>
      <c r="G32" s="2779"/>
    </row>
    <row r="33" spans="1:13">
      <c r="A33" s="2777" t="s">
        <v>2534</v>
      </c>
      <c r="B33" s="2778"/>
      <c r="C33" s="2778"/>
      <c r="D33" s="2778"/>
      <c r="E33" s="2778"/>
      <c r="F33" s="2778"/>
      <c r="G33" s="2779"/>
      <c r="I33" s="2795" t="s">
        <v>2562</v>
      </c>
      <c r="J33" s="2795" t="s">
        <v>2572</v>
      </c>
    </row>
    <row r="34" spans="1:13">
      <c r="A34" s="2777" t="s">
        <v>2535</v>
      </c>
      <c r="B34" s="2778"/>
      <c r="C34" s="2778"/>
      <c r="D34" s="2778"/>
      <c r="E34" s="2778"/>
      <c r="F34" s="2778"/>
      <c r="G34" s="2779"/>
      <c r="I34" s="2795">
        <v>5</v>
      </c>
      <c r="J34" s="2795">
        <v>55.1</v>
      </c>
    </row>
    <row r="35" spans="1:13">
      <c r="A35" s="2777" t="s">
        <v>2536</v>
      </c>
      <c r="B35" s="2778"/>
      <c r="C35" s="2778"/>
      <c r="D35" s="2778"/>
      <c r="E35" s="2778"/>
      <c r="F35" s="2778"/>
      <c r="G35" s="2779"/>
      <c r="I35" s="2795">
        <v>10</v>
      </c>
      <c r="J35" s="2795">
        <v>67</v>
      </c>
      <c r="K35" s="2795">
        <f>J35-J34</f>
        <v>11.899999999999999</v>
      </c>
    </row>
    <row r="36" spans="1:13">
      <c r="A36" s="2777" t="s">
        <v>2537</v>
      </c>
      <c r="B36" s="2778"/>
      <c r="C36" s="2778"/>
      <c r="D36" s="2778"/>
      <c r="E36" s="2778"/>
      <c r="F36" s="2778"/>
      <c r="G36" s="2779"/>
      <c r="I36" s="2795">
        <v>15</v>
      </c>
      <c r="J36" s="2795">
        <v>76.3</v>
      </c>
      <c r="K36" s="2795">
        <f t="shared" ref="K36:K41" si="3">J36-J35</f>
        <v>9.2999999999999972</v>
      </c>
      <c r="L36" s="2795" t="s">
        <v>2565</v>
      </c>
      <c r="M36" s="2795" t="s">
        <v>2566</v>
      </c>
    </row>
    <row r="37" spans="1:13">
      <c r="A37" s="2777" t="s">
        <v>2538</v>
      </c>
      <c r="B37" s="2778"/>
      <c r="C37" s="2778"/>
      <c r="D37" s="2778"/>
      <c r="E37" s="2778"/>
      <c r="F37" s="2778"/>
      <c r="G37" s="2779"/>
      <c r="I37" s="2795">
        <v>20</v>
      </c>
      <c r="J37" s="2795">
        <v>83.6</v>
      </c>
      <c r="K37" s="2795">
        <f t="shared" si="3"/>
        <v>7.2999999999999972</v>
      </c>
      <c r="L37" s="2795" t="s">
        <v>2564</v>
      </c>
      <c r="M37" s="2795">
        <v>10</v>
      </c>
    </row>
    <row r="38" spans="1:13">
      <c r="A38" s="2777" t="s">
        <v>2539</v>
      </c>
      <c r="B38" s="2778"/>
      <c r="C38" s="2778"/>
      <c r="D38" s="2778"/>
      <c r="E38" s="2778"/>
      <c r="F38" s="2778"/>
      <c r="G38" s="2779"/>
      <c r="I38" s="2795">
        <v>25</v>
      </c>
      <c r="J38" s="2795">
        <v>89.3</v>
      </c>
      <c r="K38" s="2795">
        <f t="shared" si="3"/>
        <v>5.7000000000000028</v>
      </c>
      <c r="L38" s="2795" t="s">
        <v>2568</v>
      </c>
      <c r="M38" s="2795">
        <v>8</v>
      </c>
    </row>
    <row r="39" spans="1:13">
      <c r="A39" s="2777"/>
      <c r="B39" s="2778"/>
      <c r="C39" s="2778"/>
      <c r="D39" s="2778"/>
      <c r="E39" s="2778"/>
      <c r="F39" s="2778"/>
      <c r="G39" s="2779"/>
      <c r="I39" s="2795">
        <v>30</v>
      </c>
      <c r="J39" s="2795">
        <v>93.8</v>
      </c>
      <c r="K39" s="2795">
        <f t="shared" si="3"/>
        <v>4.5</v>
      </c>
      <c r="L39" s="2795" t="s">
        <v>2569</v>
      </c>
      <c r="M39" s="2795">
        <v>6</v>
      </c>
    </row>
    <row r="40" spans="1:13">
      <c r="A40" s="2780" t="s">
        <v>2540</v>
      </c>
      <c r="B40" s="2781"/>
      <c r="C40" s="2781"/>
      <c r="D40" s="2781"/>
      <c r="E40" s="2781"/>
      <c r="F40" s="2781"/>
      <c r="G40" s="2782"/>
      <c r="I40" s="2795">
        <v>35</v>
      </c>
      <c r="J40" s="2795">
        <v>97.2</v>
      </c>
      <c r="K40" s="2795">
        <f t="shared" si="3"/>
        <v>3.4000000000000057</v>
      </c>
      <c r="L40" s="2795" t="s">
        <v>2570</v>
      </c>
      <c r="M40" s="2795">
        <v>3</v>
      </c>
    </row>
    <row r="41" spans="1:13">
      <c r="A41" s="2783" t="s">
        <v>2541</v>
      </c>
      <c r="B41" s="2784" t="s">
        <v>2542</v>
      </c>
      <c r="C41" s="2785" t="s">
        <v>2543</v>
      </c>
      <c r="D41" s="2785" t="s">
        <v>2544</v>
      </c>
      <c r="E41" s="2786"/>
      <c r="F41" s="2787"/>
      <c r="G41" s="2788"/>
      <c r="I41" s="2795">
        <v>40</v>
      </c>
      <c r="J41" s="2795">
        <v>100</v>
      </c>
      <c r="K41" s="2795">
        <f t="shared" si="3"/>
        <v>2.7999999999999972</v>
      </c>
    </row>
    <row r="42" spans="1:13">
      <c r="A42" s="2783" t="s">
        <v>2545</v>
      </c>
      <c r="B42" s="2784" t="s">
        <v>2546</v>
      </c>
      <c r="C42" s="2785" t="s">
        <v>2547</v>
      </c>
      <c r="D42" s="2789" t="s">
        <v>2548</v>
      </c>
      <c r="E42" s="2781" t="s">
        <v>2549</v>
      </c>
      <c r="F42" s="2781"/>
      <c r="G42" s="2782"/>
    </row>
    <row r="43" spans="1:13">
      <c r="A43" s="2783" t="s">
        <v>2550</v>
      </c>
      <c r="B43" s="2784" t="s">
        <v>2551</v>
      </c>
      <c r="C43" s="2785" t="s">
        <v>2552</v>
      </c>
      <c r="D43" s="2785" t="s">
        <v>2553</v>
      </c>
      <c r="E43" s="2786" t="s">
        <v>2554</v>
      </c>
      <c r="F43" s="2787"/>
      <c r="G43" s="2788"/>
      <c r="I43" s="2795" t="s">
        <v>2562</v>
      </c>
      <c r="J43" s="2795" t="s">
        <v>2573</v>
      </c>
    </row>
    <row r="44" spans="1:13">
      <c r="A44" s="2783" t="s">
        <v>2555</v>
      </c>
      <c r="B44" s="2784" t="s">
        <v>2556</v>
      </c>
      <c r="C44" s="2785" t="s">
        <v>2557</v>
      </c>
      <c r="D44" s="2789">
        <v>0.5</v>
      </c>
      <c r="E44" s="2786" t="s">
        <v>2558</v>
      </c>
      <c r="F44" s="2787"/>
      <c r="G44" s="2788"/>
      <c r="I44" s="2795">
        <v>30</v>
      </c>
      <c r="J44" s="2795">
        <v>81.7</v>
      </c>
    </row>
    <row r="45" spans="1:13" ht="14.25" thickBot="1">
      <c r="A45" s="2790" t="s">
        <v>2559</v>
      </c>
      <c r="B45" s="2791" t="s">
        <v>2546</v>
      </c>
      <c r="C45" s="2792" t="s">
        <v>2546</v>
      </c>
      <c r="D45" s="2792" t="s">
        <v>2560</v>
      </c>
      <c r="E45" s="2793" t="s">
        <v>2561</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1">
    <tabColor rgb="FFFFFF00"/>
    <pageSetUpPr fitToPage="1"/>
  </sheetPr>
  <dimension ref="A1:AD56"/>
  <sheetViews>
    <sheetView view="pageBreakPreview" zoomScale="90" zoomScaleNormal="100" zoomScaleSheetLayoutView="90" workbookViewId="0">
      <selection activeCell="C15" sqref="C1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8" customWidth="1"/>
    <col min="12" max="13" width="10" style="2409"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7" t="s">
        <v>2165</v>
      </c>
      <c r="B1" s="3653" t="str">
        <f>IF(B10="北京市","北京市",C10)&amp;F10&amp;IF(结果表!G1="在建","出让国有建设用地使用权及在建建筑物",IF(结果表!G1="土地","出让国有建设用地使用权",))&amp;B9&amp;"预评估"</f>
        <v>北京市预评估</v>
      </c>
      <c r="C1" s="3654"/>
      <c r="D1" s="3654"/>
      <c r="E1" s="3654"/>
      <c r="F1" s="3654"/>
      <c r="G1" s="3654"/>
      <c r="H1" s="3654"/>
      <c r="I1" s="3655"/>
      <c r="J1" s="2241"/>
      <c r="K1" s="2179"/>
      <c r="L1" s="2180"/>
      <c r="M1" s="2180"/>
      <c r="N1" s="2178"/>
      <c r="O1" s="1465"/>
      <c r="P1" s="2178"/>
      <c r="Q1" s="2178"/>
      <c r="R1" s="2178"/>
      <c r="S1" s="1560" t="str">
        <f>IF(B10="北京市","北京市",C10)&amp;F10&amp;IF(结果表!G1="在建","出让国有建设用地使用权及在建建筑物房地产抵押价值",IF(结果表!G1="土地","出让国有建设用地使用权抵押价值",B9))</f>
        <v>北京市</v>
      </c>
      <c r="T1" s="1617"/>
      <c r="U1" s="1617"/>
      <c r="V1" s="1617"/>
      <c r="W1" s="1617"/>
      <c r="X1" s="1617"/>
      <c r="Y1" s="1617"/>
      <c r="Z1" s="1617"/>
      <c r="AA1" s="1617"/>
      <c r="AB1" s="1617"/>
    </row>
    <row r="2" spans="1:30">
      <c r="A2" s="2178" t="s">
        <v>2166</v>
      </c>
      <c r="B2" s="122"/>
      <c r="D2" s="2443"/>
      <c r="E2" s="2436"/>
      <c r="F2" s="2436"/>
      <c r="G2" s="2437"/>
      <c r="H2" s="2437"/>
      <c r="I2" s="2437"/>
      <c r="J2" s="2241"/>
      <c r="K2" s="2179"/>
      <c r="L2" s="2180"/>
      <c r="M2" s="2180"/>
      <c r="N2" s="2178"/>
      <c r="O2" s="1465"/>
      <c r="P2" s="2178"/>
      <c r="Q2" s="2178"/>
      <c r="R2" s="2178"/>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2167</v>
      </c>
      <c r="B3" s="2181">
        <v>45250</v>
      </c>
      <c r="C3" s="2182" t="s">
        <v>2168</v>
      </c>
      <c r="D3" s="2181">
        <v>38867</v>
      </c>
      <c r="E3" s="2437"/>
      <c r="F3" s="2437"/>
      <c r="G3" s="2437"/>
      <c r="H3" s="2437"/>
      <c r="I3" s="2437"/>
      <c r="J3" s="2241"/>
      <c r="K3" s="2179"/>
      <c r="L3" s="2180"/>
      <c r="M3" s="2180"/>
      <c r="N3" s="2178"/>
      <c r="O3" s="1465"/>
      <c r="P3" s="2178"/>
      <c r="Q3" s="2178"/>
      <c r="R3" s="2178"/>
      <c r="S3" s="1560"/>
      <c r="T3" s="1617"/>
      <c r="U3" s="1617"/>
      <c r="V3" s="1617"/>
      <c r="W3" s="1617"/>
      <c r="X3" s="1617"/>
      <c r="Y3" s="1617"/>
      <c r="Z3" s="1617"/>
      <c r="AA3" s="1617"/>
      <c r="AB3" s="1617"/>
    </row>
    <row r="4" spans="1:30" ht="13.5" thickBot="1">
      <c r="A4" s="1027" t="s">
        <v>2169</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5"/>
      <c r="P4" s="2178"/>
      <c r="Q4" s="2178"/>
      <c r="R4" s="2178"/>
      <c r="S4" s="1560"/>
      <c r="T4" s="1617"/>
      <c r="U4" s="1617"/>
      <c r="V4" s="1617"/>
      <c r="W4" s="1617"/>
      <c r="X4" s="1617"/>
      <c r="Y4" s="1617"/>
      <c r="Z4" s="1617"/>
      <c r="AA4" s="1617"/>
      <c r="AB4" s="1617"/>
    </row>
    <row r="5" spans="1:30" ht="13.5" thickTop="1">
      <c r="A5" s="2186" t="s">
        <v>2170</v>
      </c>
      <c r="B5" s="2187"/>
      <c r="C5" s="2188"/>
      <c r="D5" s="2189"/>
      <c r="E5" s="2437"/>
      <c r="F5" s="2437"/>
      <c r="G5" s="2437"/>
      <c r="H5" s="2437"/>
      <c r="I5" s="2437"/>
      <c r="J5" s="2241"/>
      <c r="K5" s="2185" t="str">
        <f>IF(F4="——","",IF(H4="——",F4&amp;"（注册号："&amp;G4&amp;")",CONCATENATE(F4,"（注册号：",G4,")、",H4,"（注册号：",I4,")")))</f>
        <v>（注册号：0)、（注册号：0)</v>
      </c>
      <c r="L5" s="2180"/>
      <c r="M5" s="2180"/>
      <c r="N5" s="2178"/>
      <c r="O5" s="1465"/>
      <c r="P5" s="2178"/>
      <c r="Q5" s="2178"/>
      <c r="R5" s="2178"/>
      <c r="S5" s="1617"/>
      <c r="T5" s="1617"/>
      <c r="U5" s="1617"/>
      <c r="V5" s="1617"/>
      <c r="W5" s="1617"/>
      <c r="X5" s="1617"/>
      <c r="Y5" s="1617"/>
      <c r="Z5" s="1617"/>
      <c r="AA5" s="1617"/>
      <c r="AB5" s="1617"/>
    </row>
    <row r="6" spans="1:30">
      <c r="A6" s="2190" t="s">
        <v>2171</v>
      </c>
      <c r="B6" s="2191"/>
      <c r="C6" s="2192"/>
      <c r="D6" s="2193"/>
      <c r="E6" s="2436"/>
      <c r="F6" s="2437"/>
      <c r="G6" s="2437"/>
      <c r="H6" s="1615"/>
      <c r="I6" s="3150">
        <v>40658</v>
      </c>
      <c r="J6" s="2241"/>
      <c r="K6" s="2396" t="str">
        <f>IF(COUNTIF(B6,"*上海银行*"),"上海银行","")</f>
        <v/>
      </c>
      <c r="L6" s="2394"/>
      <c r="M6" s="2394"/>
      <c r="N6" s="2241"/>
      <c r="O6" s="1669"/>
      <c r="P6" s="2241"/>
      <c r="Q6" s="2241"/>
      <c r="R6" s="2241"/>
    </row>
    <row r="7" spans="1:30">
      <c r="A7" s="2190" t="s">
        <v>2172</v>
      </c>
      <c r="B7" s="2194"/>
      <c r="C7" s="2192"/>
      <c r="D7" s="2193"/>
      <c r="E7" s="2436"/>
      <c r="F7" s="2437"/>
      <c r="G7" s="2437"/>
      <c r="H7" s="1615"/>
      <c r="I7" s="3150">
        <f>I6-1.5*365+70*365</f>
        <v>65660.5</v>
      </c>
      <c r="J7" s="2241"/>
      <c r="K7" s="2397"/>
      <c r="L7" s="2394"/>
      <c r="M7" s="2394"/>
      <c r="N7" s="2241"/>
      <c r="O7" s="1669"/>
      <c r="P7" s="2241"/>
      <c r="Q7" s="2241"/>
      <c r="R7" s="2241"/>
    </row>
    <row r="8" spans="1:30">
      <c r="A8" s="2195" t="s">
        <v>2173</v>
      </c>
      <c r="B8" s="2196"/>
      <c r="C8" s="2197"/>
      <c r="D8" s="3656" t="s">
        <v>2174</v>
      </c>
      <c r="E8" s="2198"/>
      <c r="F8" s="2199"/>
      <c r="G8" s="2437"/>
      <c r="H8" s="2437"/>
      <c r="I8" s="2437">
        <f>(I7-B3)/365</f>
        <v>55.919178082191777</v>
      </c>
      <c r="J8" s="2241"/>
      <c r="K8" s="2395"/>
      <c r="L8" s="2394"/>
      <c r="M8" s="2394"/>
      <c r="N8" s="2241"/>
      <c r="O8" s="1669"/>
      <c r="P8" s="2241"/>
      <c r="Q8" s="2241"/>
      <c r="R8" s="2241"/>
    </row>
    <row r="9" spans="1:30" ht="13.5" thickBot="1">
      <c r="A9" s="2200" t="s">
        <v>2175</v>
      </c>
      <c r="B9" s="2201"/>
      <c r="C9" s="2202"/>
      <c r="D9" s="3657"/>
      <c r="E9" s="2201"/>
      <c r="F9" s="2203"/>
      <c r="G9" s="2438"/>
      <c r="H9" s="2438"/>
      <c r="I9" s="2438"/>
      <c r="J9" s="2241"/>
      <c r="K9" s="2397"/>
      <c r="L9" s="2394"/>
      <c r="M9" s="2394"/>
      <c r="N9" s="2241"/>
      <c r="O9" s="1669"/>
      <c r="P9" s="2241"/>
      <c r="Q9" s="2241"/>
      <c r="R9" s="2241"/>
    </row>
    <row r="10" spans="1:30" ht="13.5" thickTop="1">
      <c r="A10" s="2204" t="s">
        <v>2176</v>
      </c>
      <c r="B10" s="2205" t="s">
        <v>3374</v>
      </c>
      <c r="C10" s="2206"/>
      <c r="D10" s="2189"/>
      <c r="E10" s="2207" t="s">
        <v>2177</v>
      </c>
      <c r="F10" s="2439"/>
      <c r="G10" s="2440"/>
      <c r="H10" s="2441"/>
      <c r="I10" s="2442"/>
      <c r="J10" s="2241"/>
      <c r="K10" s="2397"/>
      <c r="L10" s="2394"/>
      <c r="M10" s="2394"/>
      <c r="N10" s="2241"/>
      <c r="O10" s="1669"/>
      <c r="P10" s="2241"/>
      <c r="Q10" s="2241"/>
      <c r="R10" s="2241"/>
    </row>
    <row r="11" spans="1:30">
      <c r="A11" s="2208" t="s">
        <v>2178</v>
      </c>
      <c r="B11" s="2209" t="s">
        <v>3373</v>
      </c>
      <c r="C11" s="2210"/>
      <c r="D11" s="2211"/>
      <c r="E11" s="2178"/>
      <c r="F11" s="2178"/>
      <c r="G11" s="2178"/>
      <c r="H11" s="2178"/>
      <c r="I11" s="2178"/>
      <c r="J11" s="2797"/>
      <c r="K11" s="2394"/>
      <c r="L11" s="2394"/>
      <c r="M11" s="2394"/>
      <c r="N11" s="2241"/>
      <c r="O11" s="1669"/>
      <c r="P11" s="2241"/>
      <c r="Q11" s="2241"/>
      <c r="R11" s="2241"/>
    </row>
    <row r="12" spans="1:30">
      <c r="A12" s="2212" t="s">
        <v>2179</v>
      </c>
      <c r="B12" s="315" t="s">
        <v>2180</v>
      </c>
      <c r="C12" s="2213" t="s">
        <v>2181</v>
      </c>
      <c r="D12" s="2213" t="s">
        <v>2182</v>
      </c>
      <c r="E12" s="2213" t="s">
        <v>2183</v>
      </c>
      <c r="F12" s="2213" t="s">
        <v>2184</v>
      </c>
      <c r="G12" s="2213" t="s">
        <v>2185</v>
      </c>
      <c r="H12" s="2213" t="s">
        <v>2186</v>
      </c>
      <c r="I12" s="2796" t="s">
        <v>2574</v>
      </c>
      <c r="J12" s="2798"/>
      <c r="K12" s="2394"/>
      <c r="L12" s="2394"/>
      <c r="M12" s="2241"/>
      <c r="N12" s="1669"/>
      <c r="O12" s="2241"/>
      <c r="P12" s="2241"/>
      <c r="Q12" s="2241"/>
      <c r="AD12" s="1617"/>
    </row>
    <row r="13" spans="1:30">
      <c r="A13" s="3117" t="s">
        <v>3332</v>
      </c>
      <c r="B13" s="2214" t="s">
        <v>2187</v>
      </c>
      <c r="C13" s="803">
        <v>65015</v>
      </c>
      <c r="D13" s="803"/>
      <c r="E13" s="803"/>
      <c r="F13" s="803"/>
      <c r="G13" s="803"/>
      <c r="H13" s="803"/>
      <c r="I13" s="803"/>
      <c r="J13" s="2798"/>
      <c r="K13" s="2394"/>
      <c r="L13" s="2394"/>
      <c r="M13" s="2241"/>
      <c r="N13" s="1669"/>
      <c r="O13" s="2241"/>
      <c r="P13" s="2241"/>
      <c r="Q13" s="2241"/>
      <c r="AD13" s="1617"/>
    </row>
    <row r="14" spans="1:30">
      <c r="A14" s="1018"/>
      <c r="B14" s="2214" t="s">
        <v>2188</v>
      </c>
      <c r="C14" s="2215">
        <v>70</v>
      </c>
      <c r="D14" s="2215"/>
      <c r="E14" s="2215"/>
      <c r="F14" s="2215"/>
      <c r="G14" s="2215"/>
      <c r="H14" s="2215"/>
      <c r="I14" s="2215"/>
      <c r="J14" s="2799"/>
      <c r="K14" s="2394"/>
      <c r="L14" s="2394"/>
      <c r="M14" s="2241"/>
      <c r="N14" s="1669"/>
      <c r="O14" s="2241"/>
      <c r="P14" s="2241"/>
      <c r="Q14" s="2241"/>
      <c r="AD14" s="1617"/>
    </row>
    <row r="15" spans="1:30">
      <c r="A15" s="312"/>
      <c r="B15" s="2216" t="s">
        <v>2189</v>
      </c>
      <c r="C15" s="2217">
        <f>IF(A13="出让",IF(C13="","",ROUNDDOWN(MIN((C13-$D$3)/365,C14),2)),C14)</f>
        <v>70</v>
      </c>
      <c r="D15" s="2217" t="str">
        <f>IF(A13="出让",IF(D13="","",ROUNDDOWN(MIN((D13-$D$3)/365,D14),2)),D14)</f>
        <v/>
      </c>
      <c r="E15" s="2217" t="str">
        <f>IF(A13="出让",IF(E13="","",ROUNDDOWN(MIN((E13-$D$3)/365,E14),2)),E14)</f>
        <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9"/>
      <c r="L15" s="1669"/>
      <c r="M15" s="2241"/>
      <c r="N15" s="1669"/>
      <c r="O15" s="2241"/>
      <c r="P15" s="2241"/>
      <c r="Q15" s="2241"/>
      <c r="AD15" s="1617"/>
    </row>
    <row r="16" spans="1:30">
      <c r="A16" s="2207" t="s">
        <v>2190</v>
      </c>
      <c r="B16" s="3663"/>
      <c r="C16" s="3664"/>
      <c r="D16" s="3665"/>
      <c r="E16" s="2218" t="s">
        <v>2191</v>
      </c>
      <c r="F16" s="3666"/>
      <c r="G16" s="3667"/>
      <c r="H16" s="3667"/>
      <c r="I16" s="3668"/>
      <c r="J16" s="2241"/>
      <c r="K16" s="2398"/>
      <c r="L16" s="1669"/>
      <c r="M16" s="1669"/>
      <c r="N16" s="2241"/>
      <c r="O16" s="1669"/>
      <c r="P16" s="2241"/>
      <c r="Q16" s="2241"/>
      <c r="R16" s="2241"/>
    </row>
    <row r="17" spans="1:28">
      <c r="A17" s="305" t="s">
        <v>2192</v>
      </c>
      <c r="B17" s="294" t="s">
        <v>2193</v>
      </c>
      <c r="C17" s="8">
        <f>'数据-汇总表'!E3</f>
        <v>204.54</v>
      </c>
      <c r="D17" s="1255" t="s">
        <v>2194</v>
      </c>
      <c r="E17" s="3669" t="s">
        <v>2195</v>
      </c>
      <c r="F17" s="3670"/>
      <c r="G17" s="3670"/>
      <c r="H17" s="3670"/>
      <c r="I17" s="3671"/>
      <c r="J17" s="2241"/>
      <c r="K17" s="2399"/>
      <c r="L17" s="1669"/>
      <c r="M17" s="1669"/>
      <c r="N17" s="2241"/>
      <c r="O17" s="1669"/>
      <c r="P17" s="2241"/>
      <c r="Q17" s="2241"/>
      <c r="R17" s="2241"/>
      <c r="S17" s="2241"/>
      <c r="T17" s="2241"/>
      <c r="U17" s="2241"/>
      <c r="V17" s="2241"/>
    </row>
    <row r="18" spans="1:28" ht="24.75" thickBot="1">
      <c r="A18" s="2219" t="s">
        <v>2196</v>
      </c>
      <c r="B18" s="1027" t="s">
        <v>2197</v>
      </c>
      <c r="C18" s="2220">
        <f>'数据-汇总表'!D3</f>
        <v>0</v>
      </c>
      <c r="D18" s="1029" t="s">
        <v>2198</v>
      </c>
      <c r="E18" s="3672" t="s">
        <v>2199</v>
      </c>
      <c r="F18" s="3673"/>
      <c r="G18" s="3673"/>
      <c r="H18" s="3673"/>
      <c r="I18" s="3674"/>
      <c r="J18" s="2241"/>
      <c r="K18" s="2399"/>
      <c r="L18" s="1669"/>
      <c r="M18" s="1669"/>
      <c r="N18" s="2241"/>
      <c r="O18" s="1669"/>
      <c r="P18" s="2241"/>
      <c r="Q18" s="2241"/>
      <c r="R18" s="2241"/>
      <c r="S18" s="2241"/>
      <c r="T18" s="2241"/>
      <c r="U18" s="2241"/>
      <c r="V18" s="2241"/>
    </row>
    <row r="19" spans="1:28" ht="37.5" thickTop="1" thickBot="1">
      <c r="A19" s="319" t="s">
        <v>1055</v>
      </c>
      <c r="B19" s="299" t="s">
        <v>2200</v>
      </c>
      <c r="C19" s="1454" t="s">
        <v>3376</v>
      </c>
      <c r="D19" s="1455" t="s">
        <v>2201</v>
      </c>
      <c r="E19" s="1456"/>
      <c r="F19" s="1457" t="str">
        <f>IF(AND(C19="是",E19="否"),"是否提供他项权证或相关说明","")</f>
        <v/>
      </c>
      <c r="G19" s="1458"/>
      <c r="H19" s="2437"/>
      <c r="I19" s="2437"/>
      <c r="J19" s="2241"/>
      <c r="K19" s="2397"/>
      <c r="L19" s="2394"/>
      <c r="M19" s="2394"/>
      <c r="N19" s="2241"/>
      <c r="O19" s="1669"/>
      <c r="P19" s="2241"/>
      <c r="Q19" s="2241"/>
      <c r="R19" s="2241"/>
      <c r="S19" s="2241"/>
      <c r="T19" s="2241"/>
      <c r="U19" s="2241"/>
      <c r="V19" s="2241"/>
    </row>
    <row r="20" spans="1:28">
      <c r="A20" s="2412" t="s">
        <v>2202</v>
      </c>
      <c r="B20" s="3659" t="s">
        <v>2203</v>
      </c>
      <c r="C20" s="3660"/>
      <c r="D20" s="3661" t="s">
        <v>2204</v>
      </c>
      <c r="E20" s="3662"/>
      <c r="F20" s="2425" t="s">
        <v>1056</v>
      </c>
      <c r="G20" s="2437"/>
      <c r="H20" s="2437"/>
      <c r="I20" s="2437"/>
      <c r="J20" s="2241"/>
      <c r="K20" s="3658"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0"/>
      <c r="N20" s="2178"/>
      <c r="O20" s="1465"/>
      <c r="P20" s="2178"/>
      <c r="Q20" s="2178"/>
      <c r="R20" s="2178"/>
      <c r="S20" s="2178"/>
      <c r="T20" s="2178"/>
      <c r="U20" s="2178"/>
      <c r="V20" s="2178"/>
      <c r="W20" s="1617"/>
      <c r="X20" s="1617"/>
      <c r="Y20" s="1617"/>
      <c r="Z20" s="1617"/>
      <c r="AA20" s="1617"/>
      <c r="AB20" s="1617"/>
    </row>
    <row r="21" spans="1:28" ht="24.75" thickBot="1">
      <c r="A21" s="2412"/>
      <c r="B21" s="2413" t="s">
        <v>2206</v>
      </c>
      <c r="C21" s="2291" t="s">
        <v>1057</v>
      </c>
      <c r="D21" s="1459" t="s">
        <v>2207</v>
      </c>
      <c r="E21" s="2414" t="s">
        <v>1057</v>
      </c>
      <c r="F21" s="2426"/>
      <c r="G21" s="2437"/>
      <c r="H21" s="2437"/>
      <c r="I21" s="2437"/>
      <c r="J21" s="2241"/>
      <c r="K21" s="365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5"/>
      <c r="P21" s="2178"/>
      <c r="Q21" s="2178"/>
      <c r="R21" s="2178"/>
      <c r="S21" s="2178"/>
      <c r="T21" s="2178"/>
      <c r="U21" s="2178"/>
      <c r="V21" s="2178"/>
      <c r="W21" s="1617"/>
      <c r="X21" s="1617"/>
      <c r="Y21" s="1617"/>
      <c r="Z21" s="1617"/>
      <c r="AA21" s="1617"/>
      <c r="AB21" s="1617"/>
    </row>
    <row r="22" spans="1:28" ht="24.75" thickBot="1">
      <c r="A22" s="2412"/>
      <c r="B22" s="2415" t="s">
        <v>2208</v>
      </c>
      <c r="C22" s="2291" t="s">
        <v>1058</v>
      </c>
      <c r="D22" s="2437"/>
      <c r="E22" s="2437"/>
      <c r="F22" s="2437"/>
      <c r="G22" s="2437"/>
      <c r="H22" s="2437"/>
      <c r="I22" s="2437"/>
      <c r="J22" s="2241"/>
      <c r="K22" s="365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5"/>
      <c r="P22" s="2178"/>
      <c r="Q22" s="2178"/>
      <c r="R22" s="2178"/>
      <c r="S22" s="2178"/>
      <c r="T22" s="2178"/>
      <c r="U22" s="2178"/>
      <c r="V22" s="2178"/>
      <c r="W22" s="1617"/>
      <c r="X22" s="1617"/>
      <c r="Y22" s="1617"/>
      <c r="Z22" s="1617"/>
      <c r="AA22" s="1617"/>
      <c r="AB22" s="1617"/>
    </row>
    <row r="23" spans="1:28">
      <c r="A23" s="2416" t="s">
        <v>2209</v>
      </c>
      <c r="B23" s="2288" t="s">
        <v>2210</v>
      </c>
      <c r="C23" s="2417"/>
      <c r="D23" s="2418" t="s">
        <v>2210</v>
      </c>
      <c r="E23" s="2419"/>
      <c r="F23" s="2437"/>
      <c r="G23" s="2437"/>
      <c r="H23" s="2437"/>
      <c r="I23" s="2437"/>
      <c r="J23" s="2241"/>
      <c r="K23" s="2396"/>
      <c r="L23" s="121"/>
      <c r="M23" s="2394"/>
      <c r="N23" s="2241"/>
      <c r="O23" s="1669"/>
      <c r="P23" s="2241"/>
      <c r="Q23" s="2241"/>
      <c r="R23" s="2241"/>
      <c r="S23" s="2241"/>
      <c r="T23" s="2241"/>
      <c r="U23" s="2241"/>
      <c r="V23" s="2241"/>
    </row>
    <row r="24" spans="1:28">
      <c r="A24" s="2416"/>
      <c r="B24" s="2288" t="s">
        <v>1059</v>
      </c>
      <c r="C24" s="2266"/>
      <c r="D24" s="2416" t="s">
        <v>1059</v>
      </c>
      <c r="E24" s="2420"/>
      <c r="F24" s="2437"/>
      <c r="G24" s="2437"/>
      <c r="H24" s="2437"/>
      <c r="I24" s="2437"/>
      <c r="J24" s="2241"/>
      <c r="K24" s="2396"/>
      <c r="L24" s="121"/>
      <c r="M24" s="2394"/>
      <c r="N24" s="2241"/>
      <c r="O24" s="1669"/>
      <c r="P24" s="2241"/>
      <c r="Q24" s="2241"/>
      <c r="R24" s="2241"/>
      <c r="S24" s="2241"/>
      <c r="T24" s="2241"/>
      <c r="U24" s="2241"/>
      <c r="V24" s="2241"/>
    </row>
    <row r="25" spans="1:28">
      <c r="A25" s="2416"/>
      <c r="B25" s="2288" t="s">
        <v>1060</v>
      </c>
      <c r="C25" s="2266"/>
      <c r="D25" s="2416" t="s">
        <v>1060</v>
      </c>
      <c r="E25" s="2420"/>
      <c r="F25" s="2437"/>
      <c r="G25" s="2437"/>
      <c r="H25" s="2437"/>
      <c r="I25" s="2437"/>
      <c r="J25" s="2241"/>
      <c r="K25" s="2397"/>
      <c r="L25" s="2394"/>
      <c r="M25" s="2394"/>
      <c r="N25" s="2241"/>
      <c r="O25" s="1669"/>
      <c r="P25" s="2241"/>
      <c r="Q25" s="2241"/>
      <c r="R25" s="2241"/>
      <c r="S25" s="2241"/>
      <c r="T25" s="2241"/>
      <c r="U25" s="2241"/>
      <c r="V25" s="2241"/>
    </row>
    <row r="26" spans="1:28" ht="13.5" thickBot="1">
      <c r="A26" s="2421"/>
      <c r="B26" s="2422" t="s">
        <v>1061</v>
      </c>
      <c r="C26" s="2423"/>
      <c r="D26" s="2421" t="s">
        <v>1061</v>
      </c>
      <c r="E26" s="2424"/>
      <c r="F26" s="2438"/>
      <c r="G26" s="2438"/>
      <c r="H26" s="2438"/>
      <c r="I26" s="2438"/>
      <c r="J26" s="2241"/>
      <c r="K26" s="2397"/>
      <c r="L26" s="2394"/>
      <c r="M26" s="2394"/>
      <c r="N26" s="2241"/>
      <c r="O26" s="1669"/>
      <c r="P26" s="2241"/>
      <c r="Q26" s="2241"/>
      <c r="R26" s="2241"/>
      <c r="S26" s="2241"/>
      <c r="T26" s="2241"/>
      <c r="U26" s="2241"/>
      <c r="V26" s="2241"/>
    </row>
    <row r="27" spans="1:28" ht="13.5" thickTop="1">
      <c r="A27" s="3676" t="s">
        <v>2211</v>
      </c>
      <c r="B27" s="312" t="s">
        <v>2212</v>
      </c>
      <c r="C27" s="2221"/>
      <c r="D27" s="2222"/>
      <c r="E27" s="2437"/>
      <c r="F27" s="2437"/>
      <c r="G27" s="2437"/>
      <c r="H27" s="2437"/>
      <c r="I27" s="2437"/>
      <c r="J27" s="2241"/>
      <c r="K27" s="2398"/>
      <c r="L27" s="1669"/>
      <c r="M27" s="1669"/>
      <c r="N27" s="2241"/>
      <c r="O27" s="1669"/>
      <c r="P27" s="2241"/>
      <c r="Q27" s="2241"/>
      <c r="R27" s="2241"/>
      <c r="S27" s="2241"/>
      <c r="T27" s="2241"/>
      <c r="U27" s="2241"/>
      <c r="V27" s="2241"/>
    </row>
    <row r="28" spans="1:28">
      <c r="A28" s="3676"/>
      <c r="B28" s="294" t="s">
        <v>2213</v>
      </c>
      <c r="C28" s="2223"/>
      <c r="D28" s="2224"/>
      <c r="E28" s="2437"/>
      <c r="F28" s="2437"/>
      <c r="G28" s="2437"/>
      <c r="H28" s="2437"/>
      <c r="I28" s="2437"/>
      <c r="J28" s="2241"/>
      <c r="K28" s="2397"/>
      <c r="L28" s="2394"/>
      <c r="M28" s="2394"/>
      <c r="N28" s="2241"/>
      <c r="O28" s="1669"/>
      <c r="P28" s="2241"/>
      <c r="Q28" s="2241"/>
      <c r="R28" s="2241"/>
      <c r="S28" s="2241"/>
      <c r="T28" s="2241"/>
      <c r="U28" s="2241"/>
      <c r="V28" s="2241"/>
    </row>
    <row r="29" spans="1:28">
      <c r="A29" s="3676"/>
      <c r="B29" s="294" t="s">
        <v>2214</v>
      </c>
      <c r="C29" s="2225"/>
      <c r="D29" s="2226"/>
      <c r="E29" s="2437"/>
      <c r="F29" s="2437"/>
      <c r="G29" s="2437"/>
      <c r="H29" s="2437"/>
      <c r="I29" s="2437"/>
      <c r="J29" s="2241"/>
      <c r="K29" s="2397"/>
      <c r="L29" s="2394"/>
      <c r="M29" s="2394"/>
      <c r="N29" s="2241"/>
      <c r="O29" s="1669"/>
      <c r="P29" s="2241"/>
      <c r="Q29" s="2241"/>
      <c r="R29" s="2241"/>
      <c r="S29" s="2241"/>
      <c r="T29" s="2241"/>
      <c r="U29" s="2241"/>
      <c r="V29" s="2241"/>
    </row>
    <row r="30" spans="1:28">
      <c r="A30" s="3677"/>
      <c r="B30" s="294" t="s">
        <v>2215</v>
      </c>
      <c r="C30" s="3678"/>
      <c r="D30" s="3679"/>
      <c r="E30" s="2437"/>
      <c r="F30" s="2437"/>
      <c r="G30" s="2437"/>
      <c r="H30" s="2437"/>
      <c r="I30" s="2437"/>
      <c r="J30" s="2241"/>
      <c r="K30" s="2397"/>
      <c r="L30" s="2394"/>
      <c r="M30" s="2394"/>
      <c r="N30" s="2241"/>
      <c r="O30" s="1669"/>
      <c r="P30" s="2241"/>
      <c r="Q30" s="2241"/>
      <c r="R30" s="2241"/>
      <c r="S30" s="2241"/>
      <c r="T30" s="2241"/>
      <c r="U30" s="2241"/>
      <c r="V30" s="2241"/>
    </row>
    <row r="31" spans="1:28">
      <c r="A31" s="3680" t="s">
        <v>2216</v>
      </c>
      <c r="B31" s="2227"/>
      <c r="C31" s="12" t="str">
        <f>IF(B31="现房","成新及维护状况正常否",IF(B31="在建","工程状态是否正常",IF(B31="土地","是否闲置","-")))</f>
        <v>-</v>
      </c>
      <c r="D31" s="1280"/>
      <c r="E31" s="2228"/>
      <c r="F31" s="2437"/>
      <c r="G31" s="2437"/>
      <c r="H31" s="2437"/>
      <c r="I31" s="2437"/>
      <c r="J31" s="2241"/>
      <c r="K31" s="2396"/>
      <c r="L31" s="2394"/>
      <c r="M31" s="2394"/>
      <c r="N31" s="2241"/>
      <c r="O31" s="1669"/>
      <c r="P31" s="2241"/>
      <c r="Q31" s="2241"/>
      <c r="R31" s="2241"/>
      <c r="S31" s="2241"/>
      <c r="T31" s="2241"/>
      <c r="U31" s="2241"/>
      <c r="V31" s="2241"/>
    </row>
    <row r="32" spans="1:28">
      <c r="A32" s="3681"/>
      <c r="B32" s="2227"/>
      <c r="C32" s="12" t="str">
        <f>IF(B32="现房","成新及维护状况是否正常",IF(B32="在建","工程状态是否正常",IF(B32="土地","是否闲置","-")))</f>
        <v>-</v>
      </c>
      <c r="D32" s="1280"/>
      <c r="E32" s="2228"/>
      <c r="F32" s="2437"/>
      <c r="G32" s="2437"/>
      <c r="H32" s="2437"/>
      <c r="I32" s="2437"/>
      <c r="J32" s="2241"/>
      <c r="K32" s="2397"/>
      <c r="L32" s="2394"/>
      <c r="M32" s="2394"/>
      <c r="N32" s="2241"/>
      <c r="O32" s="1669"/>
      <c r="P32" s="2241"/>
      <c r="Q32" s="2241"/>
      <c r="R32" s="2241"/>
      <c r="S32" s="2241"/>
      <c r="T32" s="2241"/>
      <c r="U32" s="2241"/>
      <c r="V32" s="2241"/>
    </row>
    <row r="33" spans="1:30">
      <c r="A33" s="3681"/>
      <c r="B33" s="2230"/>
      <c r="C33" s="1477" t="str">
        <f>IF(B33="现房","成新及维护状况是否正常",IF(B33="在建","工程状态是否正常",IF(B33="土地","是否闲置","-")))</f>
        <v>-</v>
      </c>
      <c r="D33" s="1273"/>
      <c r="E33" s="2231"/>
      <c r="F33" s="2437"/>
      <c r="G33" s="2437"/>
      <c r="H33" s="2437"/>
      <c r="I33" s="2437"/>
      <c r="J33" s="2241"/>
      <c r="K33" s="2397"/>
      <c r="L33" s="2394"/>
      <c r="M33" s="2394"/>
      <c r="N33" s="2241"/>
      <c r="O33" s="1669"/>
      <c r="P33" s="2241"/>
      <c r="Q33" s="2241"/>
      <c r="R33" s="2241"/>
      <c r="S33" s="2241"/>
      <c r="T33" s="2241"/>
      <c r="U33" s="2241"/>
      <c r="V33" s="2241"/>
    </row>
    <row r="34" spans="1:30">
      <c r="A34" s="294" t="s">
        <v>2217</v>
      </c>
      <c r="B34" s="1866"/>
      <c r="C34" s="1866"/>
      <c r="D34" s="1866"/>
      <c r="E34" s="1866"/>
      <c r="F34" s="1866"/>
      <c r="G34" s="1866"/>
      <c r="H34" s="1866"/>
      <c r="I34" s="2437"/>
      <c r="J34" s="2241"/>
      <c r="K34" s="8">
        <f>COUNTIF(B34:H34,"——")</f>
        <v>0</v>
      </c>
      <c r="L34" s="315" t="s">
        <v>2218</v>
      </c>
      <c r="M34" s="315" t="s">
        <v>2219</v>
      </c>
      <c r="N34" s="315" t="s">
        <v>2220</v>
      </c>
      <c r="O34" s="315" t="s">
        <v>2221</v>
      </c>
      <c r="P34" s="315" t="s">
        <v>2222</v>
      </c>
      <c r="Q34" s="315" t="s">
        <v>2223</v>
      </c>
      <c r="R34" s="315" t="s">
        <v>2224</v>
      </c>
      <c r="S34" s="3675" t="s">
        <v>2225</v>
      </c>
      <c r="T34" s="315" t="str">
        <f>NUMBERSTRING(7-K34,1)&amp;"通"</f>
        <v>七通</v>
      </c>
      <c r="U34" s="2241"/>
      <c r="V34" s="2241"/>
    </row>
    <row r="35" spans="1:30">
      <c r="A35" s="2232"/>
      <c r="B35" s="3675" t="s">
        <v>2226</v>
      </c>
      <c r="C35" s="3675"/>
      <c r="D35" s="3675"/>
      <c r="E35" s="3675"/>
      <c r="F35" s="8">
        <f>C10</f>
        <v>0</v>
      </c>
      <c r="G35" s="2437"/>
      <c r="H35" s="2437"/>
      <c r="I35" s="2437"/>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675"/>
      <c r="T35" s="138" t="str">
        <f>IF(T34="一通",L35,IF(T34="二通",M35,IF(T34="三通",N35,IF(T34="四通",O35,IF(T34="五通",P35,IF(T34="六通",Q35,R35))))))</f>
        <v>、、、、、、</v>
      </c>
      <c r="U35" s="2241"/>
      <c r="V35" s="2241"/>
    </row>
    <row r="36" spans="1:30">
      <c r="A36" s="2179"/>
      <c r="B36" s="8" t="s">
        <v>2182</v>
      </c>
      <c r="C36" s="8" t="s">
        <v>2183</v>
      </c>
      <c r="D36" s="8" t="s">
        <v>2181</v>
      </c>
      <c r="E36" s="8" t="s">
        <v>2186</v>
      </c>
      <c r="F36" s="2796" t="s">
        <v>2577</v>
      </c>
      <c r="G36" s="2437"/>
      <c r="H36" s="2437"/>
      <c r="I36" s="2437"/>
      <c r="J36" s="2241"/>
      <c r="K36" s="2397"/>
      <c r="L36" s="2394"/>
      <c r="M36" s="2394"/>
      <c r="N36" s="2241"/>
      <c r="O36" s="1669"/>
      <c r="P36" s="2241"/>
      <c r="Q36" s="2241"/>
      <c r="R36" s="2241"/>
      <c r="S36" s="2241"/>
      <c r="T36" s="2241"/>
      <c r="U36" s="2241"/>
      <c r="V36" s="2241"/>
    </row>
    <row r="37" spans="1:30">
      <c r="A37" s="2410" t="s">
        <v>2227</v>
      </c>
      <c r="B37" s="2233"/>
      <c r="C37" s="2233"/>
      <c r="D37" s="2233" t="s">
        <v>184</v>
      </c>
      <c r="E37" s="2233"/>
      <c r="F37" s="2233"/>
      <c r="G37" s="2437"/>
      <c r="H37" s="2437"/>
      <c r="I37" s="2437"/>
      <c r="J37" s="2241"/>
      <c r="K37" s="2397"/>
      <c r="L37" s="2394"/>
      <c r="M37" s="2394"/>
      <c r="N37" s="2241"/>
      <c r="O37" s="1669"/>
      <c r="P37" s="2241"/>
      <c r="Q37" s="2241"/>
      <c r="R37" s="2241"/>
      <c r="S37" s="2241"/>
      <c r="T37" s="2241"/>
      <c r="U37" s="2241"/>
      <c r="V37" s="2241"/>
    </row>
    <row r="38" spans="1:30" ht="13.5" thickBot="1">
      <c r="A38" s="2411" t="s">
        <v>2228</v>
      </c>
      <c r="B38" s="2234"/>
      <c r="C38" s="2234"/>
      <c r="D38" s="2234" t="s">
        <v>230</v>
      </c>
      <c r="E38" s="2234"/>
      <c r="F38" s="2234"/>
      <c r="G38" s="2438"/>
      <c r="H38" s="2438"/>
      <c r="I38" s="2438"/>
      <c r="J38" s="2241"/>
      <c r="K38" s="2397"/>
      <c r="L38" s="2394"/>
      <c r="M38" s="2394"/>
      <c r="N38" s="2241"/>
      <c r="O38" s="1669"/>
      <c r="P38" s="2241"/>
      <c r="Q38" s="2241"/>
      <c r="R38" s="2241"/>
      <c r="S38" s="2241"/>
      <c r="T38" s="2241"/>
      <c r="U38" s="2241"/>
      <c r="V38" s="2241"/>
    </row>
    <row r="39" spans="1:30" s="2237" customFormat="1" ht="14.25" thickTop="1" thickBot="1">
      <c r="A39" s="2235" t="s">
        <v>2229</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8"/>
      <c r="B40" s="2178"/>
      <c r="C40" s="2178"/>
      <c r="D40" s="2178"/>
      <c r="E40" s="2178"/>
      <c r="F40" s="2178"/>
      <c r="G40" s="2178"/>
      <c r="H40" s="2178"/>
      <c r="I40" s="1465"/>
      <c r="J40" s="2241"/>
      <c r="K40" s="2396"/>
      <c r="L40" s="1669"/>
      <c r="M40" s="1669"/>
      <c r="N40" s="2241"/>
      <c r="O40" s="1669"/>
      <c r="P40" s="2241"/>
      <c r="Q40" s="2241"/>
      <c r="R40" s="2241"/>
      <c r="S40" s="2241"/>
      <c r="T40" s="2241"/>
      <c r="U40" s="2241"/>
      <c r="V40" s="2241"/>
    </row>
    <row r="41" spans="1:30">
      <c r="A41" s="2238" t="s">
        <v>2230</v>
      </c>
      <c r="B41" s="1626"/>
      <c r="C41" s="1280"/>
      <c r="D41" s="2178"/>
      <c r="E41" s="2178"/>
      <c r="F41" s="2178"/>
      <c r="G41" s="2178"/>
      <c r="H41" s="2178"/>
      <c r="I41" s="1465"/>
      <c r="J41" s="2241"/>
      <c r="K41" s="2397"/>
      <c r="L41" s="2394"/>
      <c r="M41" s="2394"/>
      <c r="N41" s="2241"/>
      <c r="O41" s="1669"/>
      <c r="P41" s="2241"/>
      <c r="Q41" s="2241"/>
      <c r="R41" s="2241"/>
      <c r="S41" s="2241"/>
      <c r="T41" s="2241"/>
      <c r="U41" s="2241"/>
      <c r="V41" s="2241"/>
    </row>
    <row r="42" spans="1:30" ht="25.5">
      <c r="A42" s="315" t="s">
        <v>2231</v>
      </c>
      <c r="B42" s="8" t="s">
        <v>2232</v>
      </c>
      <c r="C42" s="8" t="s">
        <v>2233</v>
      </c>
      <c r="D42" s="8" t="s">
        <v>2234</v>
      </c>
      <c r="E42" s="8" t="s">
        <v>2235</v>
      </c>
      <c r="F42" s="8" t="s">
        <v>2236</v>
      </c>
      <c r="G42" s="8" t="s">
        <v>2237</v>
      </c>
      <c r="H42" s="8" t="s">
        <v>2238</v>
      </c>
      <c r="I42" s="8" t="s">
        <v>2239</v>
      </c>
      <c r="J42" s="2406" t="s">
        <v>2240</v>
      </c>
      <c r="K42" s="2407" t="s">
        <v>2241</v>
      </c>
      <c r="L42" s="2407" t="s">
        <v>2242</v>
      </c>
      <c r="M42" s="2407" t="s">
        <v>2243</v>
      </c>
      <c r="N42" s="2400" t="s">
        <v>2244</v>
      </c>
      <c r="O42" s="2400" t="s">
        <v>2245</v>
      </c>
      <c r="P42" s="2400" t="s">
        <v>2246</v>
      </c>
      <c r="Q42" s="2401" t="s">
        <v>2247</v>
      </c>
      <c r="R42" s="2401" t="s">
        <v>2248</v>
      </c>
      <c r="S42" s="2241"/>
      <c r="T42" s="2241"/>
      <c r="U42" s="2241"/>
      <c r="V42" s="2241"/>
    </row>
    <row r="43" spans="1:30" s="1615" customFormat="1">
      <c r="A43" s="1461"/>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5" customFormat="1">
      <c r="A44" s="1461"/>
      <c r="B44" s="1461"/>
      <c r="C44" s="628"/>
      <c r="D44" s="628"/>
      <c r="E44" s="628"/>
      <c r="F44" s="628"/>
      <c r="G44" s="628"/>
      <c r="H44" s="628"/>
      <c r="I44" s="628"/>
      <c r="J44" s="2239"/>
      <c r="K44" s="2240"/>
      <c r="L44" s="2240"/>
      <c r="M44" s="628"/>
      <c r="N44" s="628"/>
      <c r="O44" s="628"/>
      <c r="P44" s="628"/>
      <c r="Q44" s="628"/>
      <c r="R44" s="628"/>
      <c r="S44" s="2241"/>
      <c r="T44" s="2241"/>
      <c r="U44" s="2241"/>
      <c r="V44" s="2241"/>
    </row>
    <row r="45" spans="1:30" s="1615" customFormat="1">
      <c r="A45" s="1461"/>
      <c r="B45" s="1461"/>
      <c r="C45" s="628"/>
      <c r="D45" s="628"/>
      <c r="E45" s="628"/>
      <c r="F45" s="628"/>
      <c r="G45" s="628"/>
      <c r="H45" s="628"/>
      <c r="I45" s="628"/>
      <c r="J45" s="2239"/>
      <c r="K45" s="2240"/>
      <c r="L45" s="2240"/>
      <c r="M45" s="628"/>
      <c r="N45" s="628"/>
      <c r="O45" s="628"/>
      <c r="P45" s="628"/>
      <c r="Q45" s="628"/>
      <c r="R45" s="628"/>
      <c r="S45" s="2241"/>
      <c r="T45" s="2241"/>
      <c r="U45" s="2241"/>
      <c r="V45" s="2241"/>
    </row>
    <row r="46" spans="1:30" s="1615" customFormat="1">
      <c r="A46" s="1461"/>
      <c r="B46" s="1461"/>
      <c r="C46" s="628"/>
      <c r="D46" s="628"/>
      <c r="E46" s="628"/>
      <c r="F46" s="628"/>
      <c r="G46" s="628"/>
      <c r="H46" s="628"/>
      <c r="I46" s="628"/>
      <c r="J46" s="2239"/>
      <c r="K46" s="2240"/>
      <c r="L46" s="2240"/>
      <c r="M46" s="628"/>
      <c r="N46" s="628"/>
      <c r="O46" s="628"/>
      <c r="P46" s="628"/>
      <c r="Q46" s="628"/>
      <c r="R46" s="628"/>
      <c r="S46" s="2241"/>
      <c r="T46" s="2241"/>
      <c r="U46" s="2241"/>
      <c r="V46" s="2241"/>
    </row>
    <row r="47" spans="1:30" s="1615" customFormat="1">
      <c r="A47" s="1461"/>
      <c r="B47" s="1461"/>
      <c r="C47" s="628"/>
      <c r="D47" s="628"/>
      <c r="E47" s="628"/>
      <c r="F47" s="628"/>
      <c r="G47" s="628"/>
      <c r="H47" s="628"/>
      <c r="I47" s="628"/>
      <c r="J47" s="2239"/>
      <c r="K47" s="2240"/>
      <c r="L47" s="2240"/>
      <c r="M47" s="628"/>
      <c r="N47" s="628"/>
      <c r="O47" s="628"/>
      <c r="P47" s="628"/>
      <c r="Q47" s="628"/>
      <c r="R47" s="628"/>
      <c r="S47" s="2241"/>
      <c r="T47" s="2241"/>
      <c r="U47" s="2241"/>
      <c r="V47" s="2241"/>
    </row>
    <row r="48" spans="1:30" s="1615" customFormat="1">
      <c r="A48" s="1461"/>
      <c r="B48" s="1461"/>
      <c r="C48" s="628"/>
      <c r="D48" s="628"/>
      <c r="E48" s="628"/>
      <c r="F48" s="628"/>
      <c r="G48" s="628"/>
      <c r="H48" s="628"/>
      <c r="I48" s="628"/>
      <c r="J48" s="2239"/>
      <c r="K48" s="2240"/>
      <c r="L48" s="2240"/>
      <c r="M48" s="628"/>
      <c r="N48" s="628"/>
      <c r="O48" s="628"/>
      <c r="P48" s="628"/>
      <c r="Q48" s="628"/>
      <c r="R48" s="628"/>
      <c r="S48" s="2241"/>
      <c r="T48" s="2241"/>
      <c r="U48" s="2241"/>
      <c r="V48" s="2241"/>
    </row>
    <row r="49" spans="1:22" s="1615" customFormat="1">
      <c r="A49" s="1461"/>
      <c r="B49" s="1461"/>
      <c r="C49" s="628"/>
      <c r="D49" s="628"/>
      <c r="E49" s="628"/>
      <c r="F49" s="628"/>
      <c r="G49" s="628"/>
      <c r="H49" s="628"/>
      <c r="I49" s="628"/>
      <c r="J49" s="2239"/>
      <c r="K49" s="2240"/>
      <c r="L49" s="2240"/>
      <c r="M49" s="628"/>
      <c r="N49" s="628"/>
      <c r="O49" s="628"/>
      <c r="P49" s="628"/>
      <c r="Q49" s="628"/>
      <c r="R49" s="628"/>
      <c r="S49" s="2241"/>
      <c r="T49" s="2241"/>
      <c r="U49" s="2241"/>
      <c r="V49" s="2241"/>
    </row>
    <row r="50" spans="1:22" s="1615" customFormat="1">
      <c r="A50" s="1461"/>
      <c r="B50" s="1461"/>
      <c r="C50" s="628"/>
      <c r="D50" s="628"/>
      <c r="E50" s="628"/>
      <c r="F50" s="628"/>
      <c r="G50" s="628"/>
      <c r="H50" s="628"/>
      <c r="I50" s="628"/>
      <c r="J50" s="2239"/>
      <c r="K50" s="2240"/>
      <c r="L50" s="2240"/>
      <c r="M50" s="628"/>
      <c r="N50" s="628"/>
      <c r="O50" s="628"/>
      <c r="P50" s="628"/>
      <c r="Q50" s="628"/>
      <c r="R50" s="628"/>
      <c r="S50" s="2241"/>
      <c r="T50" s="2241"/>
      <c r="U50" s="2241"/>
      <c r="V50" s="2241"/>
    </row>
    <row r="51" spans="1:22" s="1615" customFormat="1">
      <c r="A51" s="1461"/>
      <c r="B51" s="1461"/>
      <c r="C51" s="628"/>
      <c r="D51" s="628"/>
      <c r="E51" s="628"/>
      <c r="F51" s="628"/>
      <c r="G51" s="628"/>
      <c r="H51" s="628"/>
      <c r="I51" s="628"/>
      <c r="J51" s="2239"/>
      <c r="K51" s="2240"/>
      <c r="L51" s="2240"/>
      <c r="M51" s="628"/>
      <c r="N51" s="628"/>
      <c r="O51" s="628"/>
      <c r="P51" s="628"/>
      <c r="Q51" s="628"/>
      <c r="R51" s="628"/>
    </row>
    <row r="52" spans="1:22" s="1615" customFormat="1">
      <c r="A52" s="1461"/>
      <c r="B52" s="1461"/>
      <c r="C52" s="1461"/>
      <c r="D52" s="1461"/>
      <c r="E52" s="1461"/>
      <c r="F52" s="628"/>
      <c r="G52" s="1461"/>
      <c r="H52" s="1461"/>
      <c r="I52" s="1461"/>
      <c r="J52" s="2242"/>
      <c r="K52" s="2240"/>
      <c r="L52" s="2240"/>
      <c r="M52" s="2240"/>
      <c r="N52" s="1461"/>
      <c r="O52" s="1461"/>
      <c r="P52" s="1461"/>
      <c r="Q52" s="1461"/>
      <c r="R52" s="1461"/>
    </row>
    <row r="53" spans="1:22" s="1615" customFormat="1">
      <c r="A53" s="1461"/>
      <c r="B53" s="1461"/>
      <c r="C53" s="1461"/>
      <c r="D53" s="1461"/>
      <c r="E53" s="1461"/>
      <c r="F53" s="628"/>
      <c r="G53" s="1461"/>
      <c r="H53" s="1461"/>
      <c r="I53" s="1461"/>
      <c r="J53" s="2242"/>
      <c r="K53" s="2240"/>
      <c r="L53" s="2240"/>
      <c r="M53" s="2240"/>
      <c r="N53" s="1461"/>
      <c r="O53" s="1461"/>
      <c r="P53" s="1461"/>
      <c r="Q53" s="1461"/>
      <c r="R53" s="1461"/>
    </row>
    <row r="54" spans="1:22" s="1615" customFormat="1">
      <c r="A54" s="1461"/>
      <c r="B54" s="1461"/>
      <c r="C54" s="1461"/>
      <c r="D54" s="1461"/>
      <c r="E54" s="1461"/>
      <c r="F54" s="628"/>
      <c r="G54" s="1461"/>
      <c r="H54" s="1461"/>
      <c r="I54" s="1461"/>
      <c r="J54" s="2242"/>
      <c r="K54" s="2240"/>
      <c r="L54" s="2240"/>
      <c r="M54" s="2240"/>
      <c r="N54" s="1461"/>
      <c r="O54" s="1461"/>
      <c r="P54" s="1461"/>
      <c r="Q54" s="1461"/>
      <c r="R54" s="1461"/>
    </row>
    <row r="55" spans="1:22" s="1615" customFormat="1">
      <c r="A55" s="1461"/>
      <c r="B55" s="1461"/>
      <c r="C55" s="1461"/>
      <c r="D55" s="1461"/>
      <c r="E55" s="1461"/>
      <c r="F55" s="628"/>
      <c r="G55" s="1461"/>
      <c r="H55" s="1461"/>
      <c r="I55" s="1461"/>
      <c r="J55" s="2242"/>
      <c r="K55" s="2240"/>
      <c r="L55" s="2240"/>
      <c r="M55" s="2240"/>
      <c r="N55" s="1461"/>
      <c r="O55" s="1461"/>
      <c r="P55" s="1461"/>
      <c r="Q55" s="1461"/>
      <c r="R55" s="1461"/>
    </row>
    <row r="56" spans="1:22" s="1615" customFormat="1">
      <c r="A56" s="1461"/>
      <c r="B56" s="1461"/>
      <c r="C56" s="1461"/>
      <c r="D56" s="1461"/>
      <c r="E56" s="1461"/>
      <c r="F56" s="628"/>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9" sqref="C19"/>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204.54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204.54</v>
      </c>
      <c r="H5" s="13">
        <f t="shared" ref="H5:AT5" si="0">SUM(H13:H656)</f>
        <v>204.54</v>
      </c>
      <c r="I5" s="13">
        <f t="shared" si="0"/>
        <v>204.54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204.54</v>
      </c>
      <c r="BA5" s="15">
        <f t="shared" si="1"/>
        <v>204.54</v>
      </c>
      <c r="BB5" s="15">
        <f t="shared" si="1"/>
        <v>204.54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3377</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3375</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3410</v>
      </c>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LOFT住宅</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3376</v>
      </c>
      <c r="E13" s="13">
        <f>IF($C$3="是",ROUND($A$3*G13/$B$3,2),ROUND($A$3*(G13-AT13)/$B$3,2))</f>
        <v>0</v>
      </c>
      <c r="F13" s="29"/>
      <c r="G13" s="30">
        <f>H13+AC13+AT13</f>
        <v>204.54</v>
      </c>
      <c r="H13" s="17">
        <f>SUMIF(I$12:AB$12,"总值",I13:AB13)</f>
        <v>204.54</v>
      </c>
      <c r="I13" s="1513">
        <v>204.54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204.54</v>
      </c>
      <c r="BA13" s="13">
        <f>SUM(BB13:BK13)</f>
        <v>204.54</v>
      </c>
      <c r="BB13" s="13">
        <f>IF($D13="是",I13-J13,0)</f>
        <v>204.54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691" t="s">
        <v>1131</v>
      </c>
      <c r="B2" s="3691"/>
      <c r="C2" s="3691"/>
      <c r="D2" s="748" t="s">
        <v>1107</v>
      </c>
      <c r="E2" s="1522" t="s">
        <v>1108</v>
      </c>
      <c r="F2" s="2434"/>
      <c r="G2" s="2427"/>
      <c r="H2" s="2428"/>
      <c r="I2" s="2142" t="s">
        <v>1132</v>
      </c>
      <c r="J2" s="2434"/>
      <c r="K2" s="2434"/>
      <c r="L2" s="2434"/>
      <c r="M2" s="2434"/>
      <c r="N2" s="2435"/>
      <c r="O2" s="2434"/>
      <c r="P2" s="2434"/>
    </row>
    <row r="3" spans="1:16" ht="15.75" thickBot="1">
      <c r="A3" s="3692" t="s">
        <v>1105</v>
      </c>
      <c r="B3" s="3692"/>
      <c r="C3" s="3692"/>
      <c r="D3" s="41">
        <f>'数据-基础表'!AY6</f>
        <v>0</v>
      </c>
      <c r="E3" s="41">
        <f>'数据-基础表'!AZ5</f>
        <v>204.54</v>
      </c>
      <c r="F3" s="2434"/>
      <c r="G3" s="42"/>
      <c r="H3" s="43" t="s">
        <v>1106</v>
      </c>
      <c r="I3" s="802" t="e">
        <f>ROUND('数据-基础表'!B3/'数据-基础表'!A3,2)</f>
        <v>#DIV/0!</v>
      </c>
      <c r="J3" s="2434"/>
      <c r="K3" s="2434"/>
      <c r="L3" s="2434"/>
      <c r="M3" s="2434"/>
      <c r="N3" s="2435"/>
      <c r="O3" s="2434"/>
      <c r="P3" s="2434"/>
    </row>
    <row r="4" spans="1:16" ht="15">
      <c r="A4" s="3693"/>
      <c r="B4" s="3694"/>
      <c r="C4" s="3695"/>
      <c r="D4" s="1523" t="s">
        <v>1107</v>
      </c>
      <c r="E4" s="1524" t="s">
        <v>1108</v>
      </c>
      <c r="F4" s="2434"/>
      <c r="G4" s="2429" t="s">
        <v>1133</v>
      </c>
      <c r="H4" s="43" t="s">
        <v>1113</v>
      </c>
      <c r="I4" s="802" t="e">
        <f>ROUND(SUMIF('数据-基础表'!I9:AS9,"地上",'数据-基础表'!I5:AS5)/'数据-基础表'!A3,2)</f>
        <v>#DIV/0!</v>
      </c>
      <c r="J4" s="2434"/>
      <c r="K4" s="2434"/>
      <c r="L4" s="2434"/>
      <c r="M4" s="2434"/>
      <c r="N4" s="2435"/>
      <c r="O4" s="2434"/>
      <c r="P4" s="2434"/>
    </row>
    <row r="5" spans="1:16">
      <c r="A5" s="42" t="s">
        <v>1109</v>
      </c>
      <c r="B5" s="3696" t="s">
        <v>1110</v>
      </c>
      <c r="C5" s="3696"/>
      <c r="D5" s="43">
        <f>ROUND($D$3*E5/$E$3,2)</f>
        <v>0</v>
      </c>
      <c r="E5" s="44">
        <f>SUMIF('数据-基础表'!$11:$11,"住宅",'数据-基础表'!$5:$5)</f>
        <v>204.54</v>
      </c>
      <c r="F5" s="2434"/>
      <c r="G5" s="42"/>
      <c r="H5" s="43" t="s">
        <v>1106</v>
      </c>
      <c r="I5" s="802" t="e">
        <f>ROUND(E31/D31,2)</f>
        <v>#DIV/0!</v>
      </c>
      <c r="J5" s="2434"/>
      <c r="K5" s="2434"/>
      <c r="L5" s="2434"/>
      <c r="M5" s="2434"/>
      <c r="N5" s="2434"/>
      <c r="O5" s="2434"/>
      <c r="P5" s="2434"/>
    </row>
    <row r="6" spans="1:16" ht="15" thickBot="1">
      <c r="A6" s="1526"/>
      <c r="B6" s="3696" t="s">
        <v>1111</v>
      </c>
      <c r="C6" s="3696"/>
      <c r="D6" s="43">
        <f>ROUND($D$3*E6/$E$3,2)</f>
        <v>0</v>
      </c>
      <c r="E6" s="44">
        <f>E3-E5</f>
        <v>0</v>
      </c>
      <c r="F6" s="2434"/>
      <c r="G6" s="1528" t="s">
        <v>1112</v>
      </c>
      <c r="H6" s="45" t="s">
        <v>1113</v>
      </c>
      <c r="I6" s="2430" t="e">
        <f>ROUND(F31/D31,2)</f>
        <v>#DIV/0!</v>
      </c>
      <c r="J6" s="2434"/>
      <c r="K6" s="2434"/>
      <c r="L6" s="2434"/>
      <c r="M6" s="2434"/>
      <c r="N6" s="2434"/>
      <c r="O6" s="2434"/>
      <c r="P6" s="2434"/>
    </row>
    <row r="7" spans="1:16" ht="15.75" thickBot="1">
      <c r="A7" s="3688"/>
      <c r="B7" s="3689"/>
      <c r="C7" s="3690"/>
      <c r="D7" s="1523" t="s">
        <v>1107</v>
      </c>
      <c r="E7" s="1527" t="s">
        <v>1114</v>
      </c>
      <c r="F7" s="2434"/>
      <c r="G7" s="2431" t="s">
        <v>1115</v>
      </c>
      <c r="H7" s="95"/>
      <c r="I7" s="2432">
        <v>3.35</v>
      </c>
      <c r="J7" s="2434"/>
      <c r="K7" s="2434"/>
      <c r="L7" s="2434"/>
      <c r="M7" s="2434"/>
      <c r="N7" s="2434"/>
      <c r="O7" s="2434"/>
      <c r="P7" s="2434"/>
    </row>
    <row r="8" spans="1:16">
      <c r="A8" s="42" t="s">
        <v>1116</v>
      </c>
      <c r="B8" s="45" t="s">
        <v>1117</v>
      </c>
      <c r="C8" s="43" t="s">
        <v>1118</v>
      </c>
      <c r="D8" s="43">
        <f t="shared" ref="D8:D15" si="0">ROUND($D$3*E8/$E$3,2)</f>
        <v>0</v>
      </c>
      <c r="E8" s="46">
        <f>SUMIF('数据-基础表'!BB10:BK10,"地上",'数据-基础表'!BB5:BK5)</f>
        <v>204.54</v>
      </c>
      <c r="F8" s="2434"/>
      <c r="G8" s="2434"/>
      <c r="H8" s="2434"/>
      <c r="I8" s="2434"/>
      <c r="J8" s="2434"/>
      <c r="K8" s="2434"/>
      <c r="L8" s="2434"/>
      <c r="M8" s="2434"/>
      <c r="N8" s="2434"/>
      <c r="O8" s="2434"/>
      <c r="P8" s="2434"/>
    </row>
    <row r="9" spans="1:16">
      <c r="A9" s="1528"/>
      <c r="B9" s="1529"/>
      <c r="C9" s="43" t="s">
        <v>1119</v>
      </c>
      <c r="D9" s="43">
        <f t="shared" si="0"/>
        <v>0</v>
      </c>
      <c r="E9" s="47">
        <v>0</v>
      </c>
      <c r="F9" s="2434"/>
      <c r="G9" s="2434"/>
      <c r="H9" s="2434"/>
      <c r="I9" s="2434"/>
      <c r="J9" s="2434"/>
      <c r="K9" s="2434"/>
      <c r="L9" s="2434"/>
      <c r="M9" s="2434"/>
      <c r="N9" s="2434"/>
      <c r="O9" s="2434"/>
      <c r="P9" s="2434"/>
    </row>
    <row r="10" spans="1:16">
      <c r="A10" s="1528"/>
      <c r="B10" s="1529"/>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8"/>
      <c r="B11" s="1529"/>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8"/>
      <c r="B12" s="1529"/>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8"/>
      <c r="B13" s="1529"/>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8"/>
      <c r="B14" s="1529"/>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8"/>
      <c r="B15" s="1529"/>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6"/>
      <c r="B16" s="1529"/>
      <c r="C16" s="45" t="s">
        <v>1123</v>
      </c>
      <c r="D16" s="45">
        <f>SUM(D8:D15)</f>
        <v>0</v>
      </c>
      <c r="E16" s="48">
        <f>SUM(E8:E15)</f>
        <v>204.54</v>
      </c>
      <c r="F16" s="2434"/>
      <c r="G16" s="2434"/>
      <c r="H16" s="1530" t="s">
        <v>1135</v>
      </c>
      <c r="I16" s="1531"/>
      <c r="J16" s="1071"/>
      <c r="K16" s="3685" t="s">
        <v>1135</v>
      </c>
      <c r="L16" s="3686"/>
      <c r="M16" s="3686"/>
      <c r="N16" s="3686"/>
      <c r="O16" s="3686"/>
      <c r="P16" s="3687"/>
    </row>
    <row r="17" spans="1:19" ht="15">
      <c r="A17" s="1532" t="s">
        <v>1136</v>
      </c>
      <c r="B17" s="1533" t="s">
        <v>1137</v>
      </c>
      <c r="C17" s="1534" t="s">
        <v>1138</v>
      </c>
      <c r="D17" s="1535" t="s">
        <v>1126</v>
      </c>
      <c r="E17" s="1536" t="s">
        <v>1127</v>
      </c>
      <c r="F17" s="1537"/>
      <c r="G17" s="1538"/>
      <c r="H17" s="1539" t="s">
        <v>1139</v>
      </c>
      <c r="I17" s="1540" t="s">
        <v>1124</v>
      </c>
      <c r="J17" s="1071"/>
      <c r="K17" s="3682" t="s">
        <v>1140</v>
      </c>
      <c r="L17" s="3683"/>
      <c r="M17" s="3684"/>
      <c r="N17" s="3682" t="s">
        <v>1141</v>
      </c>
      <c r="O17" s="3683"/>
      <c r="P17" s="3684"/>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1" t="s">
        <v>3378</v>
      </c>
      <c r="D19" s="43">
        <f>ROUND($D$3*E19/$E$3,2)</f>
        <v>0</v>
      </c>
      <c r="E19" s="51">
        <f t="shared" ref="E19:E26" si="1">SUM(F19:G19)</f>
        <v>204.54</v>
      </c>
      <c r="F19" s="2553">
        <f>'数据-基础表'!I13</f>
        <v>204.54</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204.54</v>
      </c>
    </row>
    <row r="20" spans="1:19">
      <c r="A20" s="1548"/>
      <c r="B20" s="45" t="s">
        <v>1153</v>
      </c>
      <c r="C20" s="3111"/>
      <c r="D20" s="43">
        <f t="shared" ref="D20:D26" si="6">ROUND($D$3*E20/$E$3,2)</f>
        <v>0</v>
      </c>
      <c r="E20" s="51">
        <f t="shared" si="1"/>
        <v>0</v>
      </c>
      <c r="F20" s="2553"/>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1"/>
      <c r="D21" s="43">
        <f t="shared" si="6"/>
        <v>0</v>
      </c>
      <c r="E21" s="51">
        <f t="shared" si="1"/>
        <v>0</v>
      </c>
      <c r="F21" s="2553"/>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204.54</v>
      </c>
      <c r="F27" s="1072">
        <f>IF(SUM(F19:F26)=E8,SUM(F19:F26),"地上面积有误")</f>
        <v>204.54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204.54</v>
      </c>
    </row>
    <row r="28" spans="1:19">
      <c r="A28" s="1548"/>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8"/>
      <c r="B29" s="45" t="s">
        <v>1155</v>
      </c>
      <c r="C29" s="1554"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8"/>
      <c r="B30" s="45"/>
      <c r="C30" s="1555" t="s">
        <v>1154</v>
      </c>
      <c r="D30" s="1072">
        <f>SUM(D28:D29)</f>
        <v>0</v>
      </c>
      <c r="E30" s="1072">
        <f>SUM(E28:E29)</f>
        <v>0</v>
      </c>
      <c r="F30" s="1072">
        <f>SUM(F28:F29)</f>
        <v>0</v>
      </c>
      <c r="G30" s="1074">
        <f>SUM(G28:G29)</f>
        <v>0</v>
      </c>
      <c r="H30" s="2434"/>
      <c r="I30" s="2434"/>
      <c r="J30" s="2434"/>
      <c r="K30" s="2434"/>
      <c r="L30" s="2434"/>
      <c r="M30" s="2434"/>
      <c r="N30" s="2434"/>
      <c r="O30" s="2434"/>
      <c r="P30" s="2434"/>
    </row>
    <row r="31" spans="1:19" ht="15.75" thickBot="1">
      <c r="A31" s="1556"/>
      <c r="B31" s="96"/>
      <c r="C31" s="785" t="s">
        <v>1158</v>
      </c>
      <c r="D31" s="643">
        <f>D27+D30</f>
        <v>0</v>
      </c>
      <c r="E31" s="643">
        <f>E27+E30</f>
        <v>204.54</v>
      </c>
      <c r="F31" s="644">
        <f>F27+F30</f>
        <v>204.54</v>
      </c>
      <c r="G31" s="645">
        <f>G27+G30</f>
        <v>0</v>
      </c>
      <c r="H31" s="2434"/>
      <c r="I31" s="2434"/>
      <c r="J31" s="2434"/>
      <c r="K31" s="2434"/>
      <c r="L31" s="2434"/>
      <c r="M31" s="2434"/>
      <c r="N31" s="2434"/>
      <c r="O31" s="2434"/>
      <c r="P31" s="2434"/>
    </row>
    <row r="32" spans="1:19">
      <c r="A32" s="1525"/>
      <c r="B32" s="1525" t="s">
        <v>1159</v>
      </c>
      <c r="C32" s="1525"/>
      <c r="D32" s="1525"/>
      <c r="E32" s="990">
        <f>SUMIF(C19:C26,"*住宅*",E19:E26)</f>
        <v>204.54</v>
      </c>
      <c r="F32" s="1525"/>
      <c r="G32" s="1525"/>
      <c r="H32" s="2434"/>
      <c r="I32" s="2434"/>
      <c r="J32" s="2434"/>
      <c r="K32" s="2434"/>
      <c r="L32" s="2434"/>
      <c r="M32" s="2434"/>
      <c r="N32" s="2434"/>
      <c r="O32" s="2434"/>
      <c r="P32" s="2434"/>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80" zoomScaleNormal="80" zoomScaleSheetLayoutView="90" workbookViewId="0">
      <pane xSplit="3" ySplit="5" topLeftCell="D21"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10.3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75" thickBot="1">
      <c r="A2" s="1561" t="s">
        <v>1161</v>
      </c>
      <c r="B2" s="984">
        <f>项目基本情况!D3</f>
        <v>38867</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3"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4"/>
      <c r="AO4" s="2434"/>
      <c r="AP4" s="2434"/>
      <c r="AQ4" s="2434"/>
      <c r="AR4" s="2434"/>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3379</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3375</v>
      </c>
      <c r="D6" s="805">
        <f>SUMIF(项目基本情况!C$12:I$12,C6,项目基本情况!C$14:I$14)</f>
        <v>70</v>
      </c>
      <c r="E6" s="804">
        <f>IF(B6="","",SUMIF(项目基本情况!C$12:I$12,C6,项目基本情况!C$13:I$13))</f>
        <v>65015</v>
      </c>
      <c r="F6" s="61">
        <f>SUMIF(项目基本情况!C$12:I$12,C6,项目基本情况!C$15:I$15)</f>
        <v>70</v>
      </c>
      <c r="G6" s="62">
        <f>IF(ISERROR(ROUND(POWER(1+H6,D6-F6)*(POWER(1+H6,F6)-1)/(POWER(1+H6,D6)-1),3)),0,ROUND(POWER(1+H6,D6-F6)*(POWER(1+H6,F6)-1)/(POWER(1+H6,D6)-1),3))</f>
        <v>1</v>
      </c>
      <c r="H6" s="691">
        <v>0.04</v>
      </c>
      <c r="I6" s="691">
        <v>4.4999999999999998E-2</v>
      </c>
      <c r="J6" s="63">
        <v>0.05</v>
      </c>
      <c r="K6" s="970">
        <f>SUMIF('数据-汇总表'!C$19:C$33,A6,'数据-汇总表'!E$19:E$33)</f>
        <v>204.54</v>
      </c>
      <c r="L6" s="692">
        <v>2500</v>
      </c>
      <c r="M6" s="64">
        <f t="shared" ref="M6:M14" si="0">ROUND(K6*L6/10000,0)</f>
        <v>51</v>
      </c>
      <c r="N6" s="690">
        <v>0.93</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2"/>
      <c r="V6" s="67"/>
      <c r="W6" s="67"/>
      <c r="X6" s="979"/>
      <c r="Y6" s="68">
        <f>N6</f>
        <v>0.93</v>
      </c>
      <c r="Z6" s="69"/>
      <c r="AA6" s="63"/>
      <c r="AB6" s="63"/>
      <c r="AC6" s="979"/>
      <c r="AD6" s="70"/>
      <c r="AE6" s="980">
        <f ca="1">IF(AN6="",0,SUMIF(INDIRECT("'"&amp;AN6&amp;"'"&amp;"!E:E"),$AE$5,INDIRECT("'"&amp;AN6&amp;"'"&amp;"!F:F")))</f>
        <v>0</v>
      </c>
      <c r="AF6" s="74"/>
      <c r="AG6" s="130">
        <f>IF(AF6="",0,AE6-AF6)</f>
        <v>0</v>
      </c>
      <c r="AH6" s="71"/>
      <c r="AI6" s="73">
        <v>12</v>
      </c>
      <c r="AJ6" s="74"/>
      <c r="AK6" s="75">
        <v>2E-3</v>
      </c>
      <c r="AL6" s="76">
        <v>1E-3</v>
      </c>
      <c r="AM6" s="77">
        <v>0.01</v>
      </c>
      <c r="AN6" s="1588" t="s">
        <v>3579</v>
      </c>
      <c r="AO6" s="50">
        <f ca="1">SUMIF(INDIRECT("'"&amp;AN6&amp;"'"&amp;"!A:A"),"总价",INDIRECT("'"&amp;AN6&amp;"'"&amp;"!B:B"))</f>
        <v>252.1069</v>
      </c>
      <c r="AP6" s="1589">
        <f>IF(C6="住宅",K6*L6,0)</f>
        <v>511350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4"/>
      <c r="AO14" s="2434"/>
      <c r="AP14" s="2434"/>
      <c r="AQ14" s="2434"/>
      <c r="AR14" s="2434"/>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4"/>
      <c r="AO15" s="2434"/>
      <c r="AP15" s="2434"/>
      <c r="AQ15" s="2434"/>
      <c r="AR15" s="2434"/>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1</v>
      </c>
      <c r="H16" s="84">
        <f>ROUND(SUMPRODUCT(H6:H13,K6:K13)/SUMPRODUCT((H6:H13&gt;0)*(K6:K13)),3)</f>
        <v>0.04</v>
      </c>
      <c r="I16" s="85"/>
      <c r="J16" s="85"/>
      <c r="K16" s="86">
        <f>SUM(K6:K15)</f>
        <v>204.54</v>
      </c>
      <c r="L16" s="87">
        <f>ROUND(M16*10000/SUM(K6:K14),0)</f>
        <v>2493</v>
      </c>
      <c r="M16" s="87">
        <f>SUM(M6:M14)</f>
        <v>51</v>
      </c>
      <c r="N16" s="88">
        <f>ROUND(SUMPRODUCT(M6:M14,N6:N14)/M16,3)</f>
        <v>0.93</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4"/>
      <c r="D18" s="2447"/>
      <c r="E18" s="2434"/>
      <c r="F18" s="2434"/>
      <c r="G18" s="2434"/>
      <c r="H18" s="2434"/>
      <c r="I18" s="2434"/>
      <c r="J18" s="2434"/>
      <c r="K18" s="2445"/>
      <c r="L18" s="24"/>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5" t="s">
        <v>1211</v>
      </c>
      <c r="B19" s="97">
        <v>0</v>
      </c>
      <c r="C19" s="2556" t="s">
        <v>2300</v>
      </c>
      <c r="D19" s="2447"/>
      <c r="E19" s="2434"/>
      <c r="F19" s="2434"/>
      <c r="G19" s="2434"/>
      <c r="H19" s="2434"/>
      <c r="I19" s="2434"/>
      <c r="J19" s="2434"/>
      <c r="K19" s="2445"/>
      <c r="L19" s="24"/>
      <c r="M19" s="3150"/>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6" t="s">
        <v>1212</v>
      </c>
      <c r="B20" s="98">
        <v>1</v>
      </c>
      <c r="C20" s="2557" t="s">
        <v>2298</v>
      </c>
      <c r="D20" s="2447"/>
      <c r="E20" s="2434"/>
      <c r="F20" s="2434"/>
      <c r="G20" s="2434"/>
      <c r="H20" s="2434"/>
      <c r="I20" s="2434"/>
      <c r="J20" s="2434"/>
      <c r="K20" s="2445"/>
      <c r="L20" s="2445"/>
      <c r="M20" s="3151">
        <v>5</v>
      </c>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7" t="s">
        <v>1213</v>
      </c>
      <c r="B21" s="98">
        <f>B20</f>
        <v>1</v>
      </c>
      <c r="C21" s="2434"/>
      <c r="D21" s="2447"/>
      <c r="E21" s="2434"/>
      <c r="F21" s="2434"/>
      <c r="G21" s="2434"/>
      <c r="H21" s="2434"/>
      <c r="I21" s="2434"/>
      <c r="J21" s="2434"/>
      <c r="K21" s="2445"/>
      <c r="L21" s="2445"/>
      <c r="M21" s="3152">
        <f>1-(M20)/60</f>
        <v>0.91666666666666663</v>
      </c>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6" t="s">
        <v>1214</v>
      </c>
      <c r="B22" s="99">
        <f>B19+B20</f>
        <v>1</v>
      </c>
      <c r="C22" s="2434"/>
      <c r="D22" s="2447"/>
      <c r="E22" s="2434"/>
      <c r="F22" s="2434"/>
      <c r="G22" s="2434"/>
      <c r="H22" s="2434"/>
      <c r="I22" s="2434"/>
      <c r="J22" s="2434"/>
      <c r="K22" s="2445"/>
      <c r="L22" s="2445"/>
      <c r="M22" s="3153">
        <v>0.95</v>
      </c>
      <c r="N22" s="3140">
        <f>ROUND(AVERAGE(M21:M22),3)</f>
        <v>0.93300000000000005</v>
      </c>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7" t="s">
        <v>1215</v>
      </c>
      <c r="B23" s="99">
        <f>B19+B21</f>
        <v>1</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0" t="s">
        <v>1220</v>
      </c>
      <c r="B27" s="101">
        <v>160</v>
      </c>
      <c r="C27" s="2558" t="s">
        <v>2302</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1" t="s">
        <v>1221</v>
      </c>
      <c r="B28" s="103">
        <v>200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2" t="s">
        <v>1222</v>
      </c>
      <c r="B29" s="105">
        <f ca="1">'成本法 (元)'!C9</f>
        <v>32726</v>
      </c>
      <c r="C29" s="2559" t="s">
        <v>2289</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3" t="s">
        <v>1223</v>
      </c>
      <c r="B30" s="638">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1" t="s">
        <v>1224</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4" t="s">
        <v>1225</v>
      </c>
      <c r="B32" s="639">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0" t="s">
        <v>1226</v>
      </c>
      <c r="B33" s="640">
        <v>0.03</v>
      </c>
      <c r="C33" s="2560" t="s">
        <v>2290</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1" t="s">
        <v>1227</v>
      </c>
      <c r="B34" s="106">
        <v>0.05</v>
      </c>
      <c r="C34" s="2560" t="s">
        <v>2291</v>
      </c>
      <c r="D34" s="2455" t="s">
        <v>2299</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1" t="s">
        <v>1228</v>
      </c>
      <c r="B35" s="103">
        <v>200</v>
      </c>
      <c r="C35" s="2560" t="s">
        <v>2292</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1.4999999999999999E-2</v>
      </c>
      <c r="C36" s="2560" t="s">
        <v>2293</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3" t="s">
        <v>1230</v>
      </c>
      <c r="B37" s="108">
        <v>0.02</v>
      </c>
      <c r="C37" s="2560" t="s">
        <v>2294</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1" t="s">
        <v>1231</v>
      </c>
      <c r="B38" s="106">
        <v>0.02</v>
      </c>
      <c r="C38" s="2560" t="s">
        <v>2294</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4" t="s">
        <v>1232</v>
      </c>
      <c r="B39" s="309">
        <f ca="1">存贷款利率!I1</f>
        <v>2.2499999999999999E-2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29.25" thickBot="1">
      <c r="A40" s="2569" t="s">
        <v>3380</v>
      </c>
      <c r="B40" s="1015">
        <f ca="1">IF(A40="利息：取LPR",存贷款利率!G1,存贷款利率!G1+C40)</f>
        <v>5.8499999999999996E-2</v>
      </c>
      <c r="C40" s="2568">
        <v>0</v>
      </c>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0" t="s">
        <v>1233</v>
      </c>
      <c r="B41" s="109">
        <f>B42+B43</f>
        <v>5.5000000000000007E-2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5" t="s">
        <v>1234</v>
      </c>
      <c r="B42" s="110">
        <v>0.05</v>
      </c>
      <c r="C42" s="2454">
        <f>IF(B2&lt;DATE(2016,5,1),0,B42)</f>
        <v>0</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5" t="s">
        <v>1235</v>
      </c>
      <c r="B43" s="111">
        <f>B42*(B44+B45+B46)+B47</f>
        <v>5.000000000000001E-3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6" t="s">
        <v>1236</v>
      </c>
      <c r="B44" s="112">
        <v>7.0000000000000007E-2</v>
      </c>
      <c r="C44" s="2560" t="s">
        <v>2303</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6" t="s">
        <v>1237</v>
      </c>
      <c r="B45" s="110">
        <v>0.03</v>
      </c>
      <c r="C45" s="2559" t="s">
        <v>2295</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6" t="s">
        <v>1238</v>
      </c>
      <c r="B46" s="110">
        <v>0</v>
      </c>
      <c r="C46" s="2559" t="s">
        <v>2296</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2304</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8" t="s">
        <v>1240</v>
      </c>
      <c r="B48" s="114">
        <v>0.03</v>
      </c>
      <c r="C48" s="2559" t="s">
        <v>2295</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2297</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9" t="s">
        <v>1242</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9" t="s">
        <v>1244</v>
      </c>
      <c r="B52" s="117">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1" t="s">
        <v>1245</v>
      </c>
      <c r="B53" s="1610" t="s">
        <v>3781</v>
      </c>
      <c r="C53" s="2435" t="s">
        <v>1246</v>
      </c>
      <c r="D53" s="2561" t="s">
        <v>2301</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1" t="s">
        <v>1247</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1" t="s">
        <v>1248</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1" t="s">
        <v>1249</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1" t="s">
        <v>1250</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1" t="s">
        <v>1251</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1" t="s">
        <v>1252</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1" t="s">
        <v>1253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1" t="s">
        <v>1254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1" t="s">
        <v>1255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51" customWidth="1"/>
    <col min="19" max="29" width="9" style="751"/>
    <col min="30" max="16384" width="9" style="1521"/>
  </cols>
  <sheetData>
    <row r="1" spans="1:29" s="2255" customFormat="1" ht="18.75" thickBot="1">
      <c r="A1" s="3697" t="s">
        <v>2281</v>
      </c>
      <c r="B1" s="3698"/>
      <c r="C1" s="3698"/>
      <c r="D1" s="3698"/>
      <c r="E1" s="3698"/>
      <c r="F1" s="3698"/>
      <c r="G1" s="3698"/>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2277</v>
      </c>
      <c r="D2" s="1594"/>
      <c r="E2" s="2256"/>
      <c r="F2" s="2259"/>
      <c r="G2" s="2258" t="s">
        <v>2278</v>
      </c>
      <c r="H2" s="751"/>
      <c r="I2" s="751"/>
      <c r="J2" s="751"/>
      <c r="K2" s="751"/>
      <c r="L2" s="751"/>
      <c r="M2" s="751"/>
      <c r="N2" s="751"/>
      <c r="O2" s="751"/>
      <c r="P2" s="751"/>
      <c r="Q2" s="751"/>
    </row>
    <row r="3" spans="1:29" ht="25.5">
      <c r="A3" s="2243" t="s">
        <v>2279</v>
      </c>
      <c r="B3" s="2260" t="s">
        <v>2249</v>
      </c>
      <c r="C3" s="3155" t="s">
        <v>3782</v>
      </c>
      <c r="D3" s="2261"/>
      <c r="E3" s="2244" t="s">
        <v>2279</v>
      </c>
      <c r="F3" s="2262" t="s">
        <v>2250</v>
      </c>
      <c r="G3" s="2263" t="s">
        <v>2280</v>
      </c>
      <c r="H3" s="751"/>
      <c r="I3" s="751"/>
      <c r="J3" s="751"/>
      <c r="K3" s="751"/>
      <c r="L3" s="751"/>
      <c r="M3" s="751"/>
      <c r="N3" s="751"/>
      <c r="O3" s="751"/>
      <c r="P3" s="751"/>
      <c r="Q3" s="751"/>
    </row>
    <row r="4" spans="1:29" ht="36.75">
      <c r="A4" s="2244"/>
      <c r="B4" s="315" t="s">
        <v>2251</v>
      </c>
      <c r="C4" s="2264" t="s">
        <v>2252</v>
      </c>
      <c r="D4" s="2261"/>
      <c r="E4" s="2265"/>
      <c r="F4" s="1280" t="s">
        <v>2253</v>
      </c>
      <c r="G4" s="2266" t="s">
        <v>2254</v>
      </c>
      <c r="H4" s="751"/>
      <c r="I4" s="751"/>
      <c r="J4" s="751"/>
      <c r="K4" s="751"/>
      <c r="L4" s="751"/>
      <c r="M4" s="751"/>
      <c r="N4" s="751"/>
      <c r="O4" s="751"/>
      <c r="P4" s="751"/>
      <c r="Q4" s="751"/>
    </row>
    <row r="5" spans="1:29" ht="36.75">
      <c r="A5" s="2244"/>
      <c r="B5" s="315" t="s">
        <v>2255</v>
      </c>
      <c r="C5" s="2264" t="s">
        <v>2256</v>
      </c>
      <c r="D5" s="2261"/>
      <c r="E5" s="2265"/>
      <c r="F5" s="315" t="s">
        <v>2257</v>
      </c>
      <c r="G5" s="2266" t="s">
        <v>2258</v>
      </c>
      <c r="H5" s="751"/>
      <c r="I5" s="751"/>
      <c r="J5" s="751"/>
      <c r="K5" s="751"/>
      <c r="L5" s="751"/>
      <c r="M5" s="751"/>
      <c r="N5" s="751"/>
      <c r="O5" s="751"/>
      <c r="P5" s="751"/>
      <c r="Q5" s="751"/>
    </row>
    <row r="6" spans="1:29" ht="24">
      <c r="A6" s="2244"/>
      <c r="B6" s="315" t="s">
        <v>2259</v>
      </c>
      <c r="C6" s="3156" t="s">
        <v>3783</v>
      </c>
      <c r="D6" s="2261"/>
      <c r="E6" s="2265"/>
      <c r="F6" s="315" t="s">
        <v>2260</v>
      </c>
      <c r="G6" s="2266" t="s">
        <v>2261</v>
      </c>
      <c r="H6" s="751"/>
      <c r="I6" s="751"/>
      <c r="J6" s="751"/>
      <c r="K6" s="751"/>
      <c r="L6" s="751"/>
      <c r="M6" s="751"/>
      <c r="N6" s="751"/>
      <c r="O6" s="751"/>
      <c r="P6" s="751"/>
      <c r="Q6" s="751"/>
    </row>
    <row r="7" spans="1:29" ht="96.75" thickBot="1">
      <c r="A7" s="2244"/>
      <c r="B7" s="315" t="s">
        <v>2257</v>
      </c>
      <c r="C7" s="3156" t="s">
        <v>3784</v>
      </c>
      <c r="D7" s="2241"/>
      <c r="E7" s="2267"/>
      <c r="F7" s="2268" t="s">
        <v>2262</v>
      </c>
      <c r="G7" s="2269" t="s">
        <v>2263</v>
      </c>
      <c r="H7" s="751"/>
      <c r="I7" s="751"/>
      <c r="J7" s="751"/>
      <c r="K7" s="751"/>
      <c r="L7" s="751"/>
      <c r="M7" s="751"/>
      <c r="N7" s="751"/>
      <c r="O7" s="751"/>
      <c r="P7" s="751"/>
      <c r="Q7" s="751"/>
    </row>
    <row r="8" spans="1:29">
      <c r="A8" s="2244"/>
      <c r="B8" s="315" t="s">
        <v>2260</v>
      </c>
      <c r="C8" s="3156" t="s">
        <v>3430</v>
      </c>
      <c r="D8" s="2241"/>
      <c r="E8" s="2241"/>
      <c r="F8" s="121"/>
      <c r="G8" s="121"/>
      <c r="H8" s="751"/>
      <c r="I8" s="751"/>
      <c r="J8" s="751"/>
      <c r="K8" s="751"/>
      <c r="L8" s="751"/>
      <c r="M8" s="751"/>
      <c r="N8" s="751"/>
      <c r="O8" s="751"/>
      <c r="P8" s="751"/>
      <c r="Q8" s="751"/>
    </row>
    <row r="9" spans="1:29" ht="36">
      <c r="A9" s="2244"/>
      <c r="B9" s="315" t="s">
        <v>2264</v>
      </c>
      <c r="C9" s="3159" t="s">
        <v>3785</v>
      </c>
      <c r="D9" s="2261"/>
      <c r="E9" s="2241"/>
      <c r="F9" s="121"/>
      <c r="G9" s="121"/>
      <c r="H9" s="751"/>
      <c r="I9" s="751"/>
      <c r="J9" s="751"/>
      <c r="K9" s="751"/>
      <c r="L9" s="751"/>
      <c r="M9" s="751"/>
      <c r="N9" s="751"/>
      <c r="O9" s="751"/>
      <c r="P9" s="751"/>
      <c r="Q9" s="751"/>
    </row>
    <row r="10" spans="1:29" ht="15" thickBot="1">
      <c r="A10" s="2245"/>
      <c r="B10" s="2270" t="s">
        <v>2265</v>
      </c>
      <c r="C10" s="2271"/>
      <c r="D10" s="2261"/>
      <c r="E10" s="2261"/>
      <c r="F10" s="121"/>
      <c r="G10" s="121"/>
      <c r="J10" s="2273"/>
      <c r="M10" s="2273"/>
      <c r="P10" s="2273"/>
      <c r="R10" s="2272"/>
    </row>
    <row r="11" spans="1:29">
      <c r="A11" s="2274"/>
      <c r="B11" s="2241"/>
      <c r="C11" s="2261"/>
      <c r="D11" s="2261"/>
      <c r="E11" s="2261"/>
      <c r="F11" s="2241"/>
      <c r="G11" s="2241"/>
      <c r="J11" s="2273"/>
      <c r="M11" s="2273"/>
      <c r="P11" s="2273"/>
      <c r="R11" s="2272"/>
    </row>
    <row r="12" spans="1:29" s="2255" customFormat="1" ht="18">
      <c r="A12" s="2274"/>
      <c r="B12" s="2241"/>
      <c r="C12" s="2261"/>
      <c r="D12" s="2275"/>
      <c r="E12" s="2261"/>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75" thickBot="1">
      <c r="A13" s="2279" t="s">
        <v>2282</v>
      </c>
      <c r="B13" s="2275"/>
      <c r="C13" s="2275"/>
      <c r="D13" s="2274"/>
      <c r="E13" s="2275"/>
      <c r="F13" s="2275"/>
      <c r="G13" s="2275"/>
    </row>
    <row r="14" spans="1:29" ht="15" thickBot="1">
      <c r="A14" s="2280"/>
      <c r="B14" s="2280"/>
      <c r="C14" s="2281" t="s">
        <v>2266</v>
      </c>
      <c r="D14" s="2261"/>
      <c r="E14" s="2282"/>
      <c r="F14" s="2282"/>
      <c r="G14" s="2258" t="s">
        <v>2267</v>
      </c>
    </row>
    <row r="15" spans="1:29" ht="25.5">
      <c r="A15" s="2246" t="s">
        <v>2268</v>
      </c>
      <c r="B15" s="2283" t="s">
        <v>2249</v>
      </c>
      <c r="C15" s="2284" t="str">
        <f>C3</f>
        <v>周边有中海雅园、北洼西里等住宅小区，居住社区成熟度较好。</v>
      </c>
      <c r="D15" s="2261"/>
      <c r="E15" s="2247" t="s">
        <v>2269</v>
      </c>
      <c r="F15" s="2283" t="s">
        <v>2270</v>
      </c>
      <c r="G15" s="2285" t="str">
        <f>G3</f>
        <v>估价对象位于XX开发区，园区建设成熟度XX，产业集聚程度XX</v>
      </c>
    </row>
    <row r="16" spans="1:29" ht="38.25">
      <c r="A16" s="2248"/>
      <c r="B16" s="2286" t="s">
        <v>2251</v>
      </c>
      <c r="C16" s="2287" t="str">
        <f>C4</f>
        <v>估价对象位于XX商圈，周边商业氛围成熟，人流量大，商业繁华度好</v>
      </c>
      <c r="D16" s="2261"/>
      <c r="E16" s="2249"/>
      <c r="F16" s="2288" t="s">
        <v>2253</v>
      </c>
      <c r="G16" s="2289" t="str">
        <f>G4</f>
        <v>估价对象周边道路状况、公共交通通达情况、停车便捷程度，综合评价交通便捷度较好</v>
      </c>
    </row>
    <row r="17" spans="1:17" ht="38.25">
      <c r="A17" s="2248"/>
      <c r="B17" s="2286" t="s">
        <v>2255</v>
      </c>
      <c r="C17" s="2287" t="str">
        <f>C5</f>
        <v>估价对象位于XX商圈，周边办公楼项目较多，入驻率高，办公集聚程度较好</v>
      </c>
      <c r="D17" s="2241"/>
      <c r="E17" s="2249"/>
      <c r="F17" s="2288" t="s">
        <v>2271</v>
      </c>
      <c r="G17" s="2290"/>
    </row>
    <row r="18" spans="1:17" ht="25.5">
      <c r="A18" s="2248"/>
      <c r="B18" s="2288" t="s">
        <v>2259</v>
      </c>
      <c r="C18" s="2289" t="str">
        <f>C6</f>
        <v>周边有601路、709路等多条公交线路，综合评价交通便捷度一般</v>
      </c>
      <c r="D18" s="2241"/>
      <c r="E18" s="2249"/>
      <c r="F18" s="2288" t="s">
        <v>2262</v>
      </c>
      <c r="G18" s="2289" t="str">
        <f>G7</f>
        <v>该园区内是否有污染型企业，绿化情况，卫生条件，整体环境状况判断</v>
      </c>
    </row>
    <row r="19" spans="1:17" ht="25.5">
      <c r="A19" s="2248"/>
      <c r="B19" s="2288" t="s">
        <v>2272</v>
      </c>
      <c r="C19" s="2290"/>
      <c r="D19" s="2261"/>
      <c r="E19" s="2249"/>
      <c r="F19" s="315" t="s">
        <v>2257</v>
      </c>
      <c r="G19" s="2289" t="str">
        <f>G5</f>
        <v>估价对象所在区域公共配套设施齐备情况</v>
      </c>
    </row>
    <row r="20" spans="1:17" ht="38.25">
      <c r="A20" s="2248"/>
      <c r="B20" s="2288" t="s">
        <v>2273</v>
      </c>
      <c r="C20" s="2287" t="str">
        <f>C9</f>
        <v>人文环境：首都师范大学等人文场所；
综合评价环境状况一般。</v>
      </c>
      <c r="D20" s="2241"/>
      <c r="E20" s="2249"/>
      <c r="F20" s="315" t="s">
        <v>2260</v>
      </c>
      <c r="G20" s="2289" t="str">
        <f>G6</f>
        <v>估价对象所在区域基础设施水平</v>
      </c>
    </row>
    <row r="21" spans="1:17" ht="102">
      <c r="A21" s="2248"/>
      <c r="B21" s="315" t="s">
        <v>2257</v>
      </c>
      <c r="C21" s="2289" t="str">
        <f>C7</f>
        <v>银行：等金融机构；
医院：中国人民解放军第304医院等医疗机构；
学校：首都师范大学、首都师范大学附属中学等教育机构；
商业：社区级商业设施；
综合评价公共服务设施齐备度一般。</v>
      </c>
      <c r="D21" s="2261"/>
      <c r="E21" s="2249"/>
      <c r="F21" s="2288" t="s">
        <v>2274</v>
      </c>
      <c r="G21" s="2291"/>
    </row>
    <row r="22" spans="1:17" ht="13.5" customHeight="1">
      <c r="A22" s="2248"/>
      <c r="B22" s="315" t="s">
        <v>2260</v>
      </c>
      <c r="C22" s="2289" t="str">
        <f>C8</f>
        <v>估价对象所在区域基础设施水平</v>
      </c>
      <c r="D22" s="2261"/>
      <c r="E22" s="2249"/>
      <c r="F22" s="2288" t="s">
        <v>2265</v>
      </c>
      <c r="G22" s="2290"/>
    </row>
    <row r="23" spans="1:17" s="751" customFormat="1" ht="15" thickBot="1">
      <c r="A23" s="2248"/>
      <c r="B23" s="2288" t="s">
        <v>2274</v>
      </c>
      <c r="C23" s="2291"/>
      <c r="D23" s="1613"/>
      <c r="E23" s="2250"/>
      <c r="F23" s="2292" t="s">
        <v>2275</v>
      </c>
      <c r="G23" s="2293"/>
      <c r="H23" s="2272"/>
      <c r="I23" s="2272"/>
      <c r="J23" s="2272"/>
      <c r="K23" s="2272"/>
      <c r="L23" s="2272"/>
      <c r="M23" s="2272"/>
      <c r="N23" s="2272"/>
      <c r="O23" s="2272"/>
      <c r="P23" s="2272"/>
      <c r="Q23" s="2272"/>
    </row>
    <row r="24" spans="1:17" s="751" customFormat="1" ht="15" thickBot="1">
      <c r="A24" s="2251"/>
      <c r="B24" s="2292" t="s">
        <v>2276</v>
      </c>
      <c r="C24" s="2294">
        <f>C10</f>
        <v>0</v>
      </c>
      <c r="D24" s="1613"/>
      <c r="E24" s="2241"/>
      <c r="F24" s="2241"/>
      <c r="G24" s="2241"/>
      <c r="H24" s="2272"/>
      <c r="I24" s="2272"/>
      <c r="J24" s="2272"/>
      <c r="K24" s="2272"/>
      <c r="L24" s="2272"/>
      <c r="M24" s="2272"/>
      <c r="N24" s="2272"/>
      <c r="O24" s="2272"/>
      <c r="P24" s="2272"/>
      <c r="Q24" s="2272"/>
    </row>
    <row r="25" spans="1:17" s="751" customFormat="1">
      <c r="B25" s="2272"/>
      <c r="C25" s="2272"/>
      <c r="D25" s="2272"/>
      <c r="H25" s="2272"/>
      <c r="I25" s="2272"/>
      <c r="J25" s="2272"/>
      <c r="K25" s="2272"/>
      <c r="L25" s="2272"/>
      <c r="M25" s="2272"/>
      <c r="N25" s="2272"/>
      <c r="O25" s="2272"/>
      <c r="P25" s="2272"/>
      <c r="Q25" s="2272"/>
    </row>
    <row r="26" spans="1:17" s="751" customFormat="1">
      <c r="B26" s="2272"/>
      <c r="C26" s="2272"/>
      <c r="D26" s="2272"/>
      <c r="H26" s="2272"/>
      <c r="I26" s="2272"/>
      <c r="J26" s="2272"/>
      <c r="K26" s="2272"/>
      <c r="L26" s="2272"/>
      <c r="M26" s="2272"/>
      <c r="N26" s="2272"/>
      <c r="O26" s="2272"/>
      <c r="P26" s="2272"/>
      <c r="Q26" s="2272"/>
    </row>
    <row r="27" spans="1:17" s="751" customFormat="1">
      <c r="B27" s="2272"/>
      <c r="C27" s="2272"/>
      <c r="D27" s="2272"/>
      <c r="H27" s="2272"/>
      <c r="I27" s="2272"/>
      <c r="J27" s="2272"/>
      <c r="K27" s="2272"/>
      <c r="L27" s="2272"/>
      <c r="M27" s="2272"/>
      <c r="N27" s="2272"/>
      <c r="O27" s="2272"/>
      <c r="P27" s="2272"/>
      <c r="Q27" s="2272"/>
    </row>
    <row r="28" spans="1:17" s="751" customFormat="1">
      <c r="B28" s="2272"/>
      <c r="C28" s="2272"/>
      <c r="D28" s="2272"/>
      <c r="H28" s="2272"/>
      <c r="I28" s="2272"/>
      <c r="J28" s="2272"/>
      <c r="K28" s="2272"/>
      <c r="L28" s="2272"/>
      <c r="M28" s="2272"/>
      <c r="N28" s="2272"/>
      <c r="O28" s="2272"/>
      <c r="P28" s="2272"/>
      <c r="Q28" s="2272"/>
    </row>
    <row r="29" spans="1:17" s="751" customFormat="1">
      <c r="B29" s="2272"/>
      <c r="C29" s="2272"/>
      <c r="D29" s="2272"/>
      <c r="H29" s="2272"/>
      <c r="I29" s="2272"/>
      <c r="J29" s="2272"/>
      <c r="K29" s="2272"/>
      <c r="L29" s="2272"/>
      <c r="M29" s="2272"/>
      <c r="N29" s="2272"/>
      <c r="O29" s="2272"/>
      <c r="P29" s="2272"/>
      <c r="Q29" s="2272"/>
    </row>
    <row r="30" spans="1:17" s="751" customFormat="1">
      <c r="B30" s="2272"/>
      <c r="C30" s="2272"/>
      <c r="D30" s="2272"/>
      <c r="H30" s="2272"/>
      <c r="I30" s="2272"/>
      <c r="J30" s="2272"/>
      <c r="K30" s="2272"/>
      <c r="L30" s="2272"/>
      <c r="M30" s="2272"/>
      <c r="N30" s="2272"/>
      <c r="O30" s="2272"/>
      <c r="P30" s="2272"/>
      <c r="Q30" s="2272"/>
    </row>
    <row r="31" spans="1:17" s="751" customFormat="1">
      <c r="B31" s="2272"/>
      <c r="C31" s="2272"/>
      <c r="D31" s="2272"/>
      <c r="H31" s="2272"/>
      <c r="I31" s="2272"/>
      <c r="J31" s="2272"/>
      <c r="K31" s="2272"/>
      <c r="L31" s="2272"/>
      <c r="M31" s="2272"/>
      <c r="N31" s="2272"/>
      <c r="O31" s="2272"/>
      <c r="P31" s="2272"/>
      <c r="Q31" s="2272"/>
    </row>
    <row r="32" spans="1:17" s="751" customFormat="1">
      <c r="B32" s="2272"/>
      <c r="C32" s="2272"/>
      <c r="D32" s="2272"/>
      <c r="H32" s="2272"/>
      <c r="I32" s="2272"/>
      <c r="J32" s="2272"/>
      <c r="K32" s="2272"/>
      <c r="L32" s="2272"/>
      <c r="M32" s="2272"/>
      <c r="N32" s="2272"/>
      <c r="O32" s="2272"/>
      <c r="P32" s="2272"/>
      <c r="Q32" s="2272"/>
    </row>
    <row r="33" spans="2:17" s="751" customFormat="1">
      <c r="B33" s="2272"/>
      <c r="C33" s="2272"/>
      <c r="D33" s="2272"/>
      <c r="H33" s="2272"/>
      <c r="I33" s="2272"/>
      <c r="J33" s="2272"/>
      <c r="K33" s="2272"/>
      <c r="L33" s="2272"/>
      <c r="M33" s="2272"/>
      <c r="N33" s="2272"/>
      <c r="O33" s="2272"/>
      <c r="P33" s="2272"/>
      <c r="Q33" s="2272"/>
    </row>
    <row r="34" spans="2:17" s="751" customFormat="1">
      <c r="B34" s="2272"/>
      <c r="C34" s="2272"/>
      <c r="D34" s="2272"/>
      <c r="H34" s="2272"/>
      <c r="I34" s="2272"/>
      <c r="J34" s="2272"/>
      <c r="K34" s="2272"/>
      <c r="L34" s="2272"/>
      <c r="M34" s="2272"/>
      <c r="N34" s="2272"/>
      <c r="O34" s="2272"/>
      <c r="P34" s="2272"/>
      <c r="Q34" s="2272"/>
    </row>
    <row r="35" spans="2:17" s="751" customFormat="1">
      <c r="B35" s="2272"/>
      <c r="C35" s="2272"/>
      <c r="D35" s="2272"/>
      <c r="H35" s="2272"/>
      <c r="I35" s="2272"/>
      <c r="J35" s="2272"/>
      <c r="K35" s="2272"/>
      <c r="L35" s="2272"/>
      <c r="M35" s="2272"/>
      <c r="N35" s="2272"/>
      <c r="O35" s="2272"/>
      <c r="P35" s="2272"/>
      <c r="Q35" s="2272"/>
    </row>
    <row r="36" spans="2:17" s="751" customFormat="1">
      <c r="B36" s="2272"/>
      <c r="C36" s="2272"/>
      <c r="D36" s="2272"/>
      <c r="H36" s="2272"/>
      <c r="I36" s="2272"/>
      <c r="J36" s="2272"/>
      <c r="K36" s="2272"/>
      <c r="L36" s="2272"/>
      <c r="M36" s="2272"/>
      <c r="N36" s="2272"/>
      <c r="O36" s="2272"/>
      <c r="P36" s="2272"/>
      <c r="Q36" s="2272"/>
    </row>
    <row r="37" spans="2:17" s="751" customFormat="1">
      <c r="B37" s="2272"/>
      <c r="C37" s="2272"/>
      <c r="D37" s="2272"/>
      <c r="H37" s="2272"/>
      <c r="I37" s="2272"/>
      <c r="J37" s="2272"/>
      <c r="K37" s="2272"/>
      <c r="L37" s="2272"/>
      <c r="M37" s="2272"/>
      <c r="N37" s="2272"/>
      <c r="O37" s="2272"/>
      <c r="P37" s="2272"/>
      <c r="Q37" s="2272"/>
    </row>
    <row r="38" spans="2:17" s="751" customFormat="1">
      <c r="B38" s="2272"/>
      <c r="C38" s="2272"/>
      <c r="D38" s="2272"/>
      <c r="E38" s="2272"/>
      <c r="F38" s="2272"/>
      <c r="G38" s="2272"/>
      <c r="H38" s="2272"/>
      <c r="I38" s="2272"/>
      <c r="J38" s="2272"/>
      <c r="K38" s="2272"/>
      <c r="L38" s="2272"/>
      <c r="M38" s="2272"/>
      <c r="N38" s="2272"/>
      <c r="O38" s="2272"/>
      <c r="P38" s="2272"/>
      <c r="Q38" s="2272"/>
    </row>
    <row r="39" spans="2:17" s="751" customFormat="1">
      <c r="B39" s="2272"/>
      <c r="C39" s="2272"/>
      <c r="D39" s="2272"/>
      <c r="E39" s="2272"/>
      <c r="F39" s="2272"/>
      <c r="G39" s="2272"/>
      <c r="H39" s="2272"/>
      <c r="I39" s="2272"/>
      <c r="J39" s="2272"/>
      <c r="K39" s="2272"/>
      <c r="L39" s="2272"/>
      <c r="M39" s="2272"/>
      <c r="N39" s="2272"/>
      <c r="O39" s="2272"/>
      <c r="P39" s="2272"/>
      <c r="Q39" s="2272"/>
    </row>
    <row r="40" spans="2:17" s="751" customFormat="1">
      <c r="B40" s="2272"/>
      <c r="C40" s="2272"/>
      <c r="D40" s="2272"/>
      <c r="E40" s="2272"/>
      <c r="F40" s="2272"/>
      <c r="G40" s="2272"/>
      <c r="H40" s="2272"/>
      <c r="I40" s="2272"/>
      <c r="J40" s="2272"/>
      <c r="K40" s="2272"/>
      <c r="L40" s="2272"/>
      <c r="M40" s="2272"/>
      <c r="N40" s="2272"/>
      <c r="O40" s="2272"/>
      <c r="P40" s="2272"/>
      <c r="Q40" s="2272"/>
    </row>
    <row r="41" spans="2:17" s="751" customFormat="1">
      <c r="B41" s="2272"/>
      <c r="C41" s="2272"/>
      <c r="D41" s="2272"/>
      <c r="E41" s="2272"/>
      <c r="F41" s="2272"/>
      <c r="G41" s="2272"/>
      <c r="H41" s="2272"/>
      <c r="I41" s="2272"/>
      <c r="J41" s="2272"/>
      <c r="K41" s="2272"/>
      <c r="L41" s="2272"/>
      <c r="M41" s="2272"/>
      <c r="N41" s="2272"/>
      <c r="O41" s="2272"/>
      <c r="P41" s="2272"/>
      <c r="Q41" s="2272"/>
    </row>
    <row r="42" spans="2:17" s="751" customFormat="1">
      <c r="B42" s="2272"/>
      <c r="C42" s="2272"/>
      <c r="D42" s="2272"/>
      <c r="E42" s="2272"/>
      <c r="F42" s="2272"/>
      <c r="G42" s="2272"/>
      <c r="H42" s="2272"/>
      <c r="I42" s="2272"/>
      <c r="J42" s="2272"/>
      <c r="K42" s="2272"/>
      <c r="L42" s="2272"/>
      <c r="M42" s="2272"/>
      <c r="N42" s="2272"/>
      <c r="O42" s="2272"/>
      <c r="P42" s="2272"/>
      <c r="Q42" s="2272"/>
    </row>
    <row r="43" spans="2:17" s="751" customFormat="1">
      <c r="B43" s="2272"/>
      <c r="C43" s="2272"/>
      <c r="D43" s="2272"/>
      <c r="E43" s="2272"/>
      <c r="F43" s="2272"/>
      <c r="G43" s="2272"/>
      <c r="H43" s="2272"/>
      <c r="I43" s="2272"/>
      <c r="J43" s="2272"/>
      <c r="K43" s="2272"/>
      <c r="L43" s="2272"/>
      <c r="M43" s="2272"/>
      <c r="N43" s="2272"/>
      <c r="O43" s="2272"/>
      <c r="P43" s="2272"/>
      <c r="Q43" s="2272"/>
    </row>
    <row r="44" spans="2:17" s="751" customFormat="1">
      <c r="B44" s="2272"/>
      <c r="C44" s="2272"/>
      <c r="D44" s="2272"/>
      <c r="E44" s="2272"/>
      <c r="F44" s="2272"/>
      <c r="G44" s="2272"/>
      <c r="H44" s="2272"/>
      <c r="I44" s="2272"/>
      <c r="J44" s="2272"/>
      <c r="K44" s="2272"/>
      <c r="L44" s="2272"/>
      <c r="M44" s="2272"/>
      <c r="N44" s="2272"/>
      <c r="O44" s="2272"/>
      <c r="P44" s="2272"/>
      <c r="Q44" s="2272"/>
    </row>
    <row r="45" spans="2:17" s="751" customFormat="1">
      <c r="B45" s="2272"/>
      <c r="C45" s="2272"/>
      <c r="D45" s="2272"/>
      <c r="E45" s="2272"/>
      <c r="F45" s="2272"/>
      <c r="G45" s="2272"/>
      <c r="H45" s="2272"/>
      <c r="I45" s="2272"/>
      <c r="J45" s="2272"/>
      <c r="K45" s="2272"/>
      <c r="L45" s="2272"/>
      <c r="M45" s="2272"/>
      <c r="N45" s="2272"/>
      <c r="O45" s="2272"/>
      <c r="P45" s="2272"/>
      <c r="Q45" s="2272"/>
    </row>
    <row r="46" spans="2:17" s="751" customFormat="1">
      <c r="B46" s="2272"/>
      <c r="C46" s="2272"/>
      <c r="D46" s="2272"/>
      <c r="E46" s="2272"/>
      <c r="F46" s="2272"/>
      <c r="G46" s="2272"/>
      <c r="H46" s="2272"/>
      <c r="I46" s="2272"/>
      <c r="J46" s="2272"/>
      <c r="K46" s="2272"/>
      <c r="L46" s="2272"/>
      <c r="M46" s="2272"/>
      <c r="N46" s="2272"/>
      <c r="O46" s="2272"/>
      <c r="P46" s="2272"/>
      <c r="Q46" s="2272"/>
    </row>
    <row r="47" spans="2:17" s="751" customFormat="1">
      <c r="B47" s="2272"/>
      <c r="C47" s="2272"/>
      <c r="D47" s="2272"/>
      <c r="E47" s="2272"/>
      <c r="F47" s="2272"/>
      <c r="G47" s="2272"/>
      <c r="H47" s="2272"/>
      <c r="I47" s="2272"/>
      <c r="J47" s="2272"/>
      <c r="K47" s="2272"/>
      <c r="L47" s="2272"/>
      <c r="M47" s="2272"/>
      <c r="N47" s="2272"/>
      <c r="O47" s="2272"/>
      <c r="P47" s="2272"/>
      <c r="Q47" s="2272"/>
    </row>
    <row r="48" spans="2:17" s="751" customFormat="1">
      <c r="B48" s="2272"/>
      <c r="C48" s="2272"/>
      <c r="D48" s="2272"/>
      <c r="E48" s="2272"/>
      <c r="F48" s="2272"/>
      <c r="G48" s="2272"/>
      <c r="H48" s="2272"/>
      <c r="I48" s="2272"/>
      <c r="J48" s="2272"/>
      <c r="K48" s="2272"/>
      <c r="L48" s="2272"/>
      <c r="M48" s="2272"/>
      <c r="N48" s="2272"/>
      <c r="O48" s="2272"/>
      <c r="P48" s="2272"/>
      <c r="Q48" s="2272"/>
    </row>
    <row r="49" spans="2:17" s="751" customFormat="1">
      <c r="B49" s="2272"/>
      <c r="C49" s="2272"/>
      <c r="D49" s="2272"/>
      <c r="E49" s="2272"/>
      <c r="F49" s="2272"/>
      <c r="G49" s="2272"/>
      <c r="H49" s="2272"/>
      <c r="I49" s="2272"/>
      <c r="J49" s="2272"/>
      <c r="K49" s="2272"/>
      <c r="L49" s="2272"/>
      <c r="M49" s="2272"/>
      <c r="N49" s="2272"/>
      <c r="O49" s="2272"/>
      <c r="P49" s="2272"/>
      <c r="Q49" s="2272"/>
    </row>
    <row r="50" spans="2:17" s="751" customFormat="1">
      <c r="B50" s="2272"/>
      <c r="C50" s="2272"/>
      <c r="D50" s="2272"/>
      <c r="E50" s="2272"/>
      <c r="F50" s="2272"/>
      <c r="G50" s="2272"/>
      <c r="H50" s="2272"/>
      <c r="I50" s="2272"/>
      <c r="J50" s="2272"/>
      <c r="K50" s="2272"/>
      <c r="L50" s="2272"/>
      <c r="M50" s="2272"/>
      <c r="N50" s="2272"/>
      <c r="O50" s="2272"/>
      <c r="P50" s="2272"/>
      <c r="Q50" s="2272"/>
    </row>
    <row r="51" spans="2:17" s="751" customFormat="1">
      <c r="B51" s="2272"/>
      <c r="C51" s="2272"/>
      <c r="D51" s="2272"/>
      <c r="E51" s="2272"/>
      <c r="F51" s="2272"/>
      <c r="G51" s="2272"/>
      <c r="H51" s="2272"/>
      <c r="I51" s="2272"/>
      <c r="J51" s="2272"/>
      <c r="K51" s="2272"/>
      <c r="L51" s="2272"/>
      <c r="M51" s="2272"/>
      <c r="N51" s="2272"/>
      <c r="O51" s="2272"/>
      <c r="P51" s="2272"/>
      <c r="Q51" s="2272"/>
    </row>
    <row r="52" spans="2:17" s="751" customFormat="1">
      <c r="B52" s="2272"/>
      <c r="C52" s="2272"/>
      <c r="D52" s="2272"/>
      <c r="E52" s="2272"/>
      <c r="F52" s="2272"/>
      <c r="G52" s="2272"/>
      <c r="H52" s="2272"/>
      <c r="I52" s="2272"/>
      <c r="J52" s="2272"/>
      <c r="K52" s="2272"/>
      <c r="L52" s="2272"/>
      <c r="M52" s="2272"/>
      <c r="N52" s="2272"/>
      <c r="O52" s="2272"/>
      <c r="P52" s="2272"/>
      <c r="Q52" s="2272"/>
    </row>
    <row r="53" spans="2:17" s="751" customFormat="1">
      <c r="B53" s="2272"/>
      <c r="C53" s="2272"/>
      <c r="D53" s="2272"/>
      <c r="E53" s="2272"/>
      <c r="F53" s="2272"/>
      <c r="G53" s="2272"/>
      <c r="H53" s="2272"/>
      <c r="I53" s="2272"/>
      <c r="J53" s="2272"/>
      <c r="K53" s="2272"/>
      <c r="L53" s="2272"/>
      <c r="M53" s="2272"/>
      <c r="N53" s="2272"/>
      <c r="O53" s="2272"/>
      <c r="P53" s="2272"/>
      <c r="Q53" s="2272"/>
    </row>
    <row r="54" spans="2:17" s="751" customFormat="1">
      <c r="B54" s="2272"/>
      <c r="C54" s="2272"/>
      <c r="D54" s="2272"/>
      <c r="E54" s="2272"/>
      <c r="F54" s="2272"/>
      <c r="G54" s="2272"/>
      <c r="H54" s="2272"/>
      <c r="I54" s="2272"/>
      <c r="J54" s="2272"/>
      <c r="K54" s="2272"/>
      <c r="L54" s="2272"/>
      <c r="M54" s="2272"/>
      <c r="N54" s="2272"/>
      <c r="O54" s="2272"/>
      <c r="P54" s="2272"/>
      <c r="Q54" s="2272"/>
    </row>
    <row r="55" spans="2:17" s="751" customFormat="1">
      <c r="B55" s="2272"/>
      <c r="C55" s="2272"/>
      <c r="D55" s="2272"/>
      <c r="E55" s="2272"/>
      <c r="F55" s="2272"/>
      <c r="G55" s="2272"/>
      <c r="H55" s="2272"/>
      <c r="I55" s="2272"/>
      <c r="J55" s="2272"/>
      <c r="K55" s="2272"/>
      <c r="L55" s="2272"/>
      <c r="M55" s="2272"/>
      <c r="N55" s="2272"/>
      <c r="O55" s="2272"/>
      <c r="P55" s="2272"/>
      <c r="Q55" s="2272"/>
    </row>
    <row r="56" spans="2:17" s="751" customFormat="1">
      <c r="B56" s="2272"/>
      <c r="C56" s="2272"/>
      <c r="D56" s="2272"/>
      <c r="E56" s="2272"/>
      <c r="F56" s="2272"/>
      <c r="G56" s="2272"/>
      <c r="H56" s="2272"/>
      <c r="I56" s="2272"/>
      <c r="J56" s="2272"/>
      <c r="K56" s="2272"/>
      <c r="L56" s="2272"/>
      <c r="M56" s="2272"/>
      <c r="N56" s="2272"/>
      <c r="O56" s="2272"/>
      <c r="P56" s="2272"/>
      <c r="Q56" s="2272"/>
    </row>
    <row r="57" spans="2:17" s="751" customFormat="1">
      <c r="B57" s="2272"/>
      <c r="C57" s="2272"/>
      <c r="D57" s="2272"/>
      <c r="E57" s="2272"/>
      <c r="F57" s="2272"/>
      <c r="G57" s="2272"/>
      <c r="H57" s="2272"/>
      <c r="I57" s="2272"/>
      <c r="J57" s="2272"/>
      <c r="K57" s="2272"/>
      <c r="L57" s="2272"/>
      <c r="M57" s="2272"/>
      <c r="N57" s="2272"/>
      <c r="O57" s="2272"/>
      <c r="P57" s="2272"/>
      <c r="Q57" s="2272"/>
    </row>
    <row r="58" spans="2:17" s="751" customFormat="1">
      <c r="B58" s="2272"/>
      <c r="C58" s="2272"/>
      <c r="D58" s="2272"/>
      <c r="E58" s="2272"/>
      <c r="F58" s="2272"/>
      <c r="G58" s="2272"/>
      <c r="H58" s="2272"/>
      <c r="I58" s="2272"/>
      <c r="J58" s="2272"/>
      <c r="K58" s="2272"/>
      <c r="L58" s="2272"/>
      <c r="M58" s="2272"/>
      <c r="N58" s="2272"/>
      <c r="O58" s="2272"/>
      <c r="P58" s="2272"/>
      <c r="Q58" s="2272"/>
    </row>
    <row r="59" spans="2:17" s="751" customFormat="1">
      <c r="B59" s="2272"/>
      <c r="C59" s="2272"/>
      <c r="D59" s="2272"/>
      <c r="E59" s="2272"/>
      <c r="F59" s="2272"/>
      <c r="G59" s="2272"/>
      <c r="H59" s="2272"/>
      <c r="I59" s="2272"/>
      <c r="J59" s="2272"/>
      <c r="K59" s="2272"/>
      <c r="L59" s="2272"/>
      <c r="M59" s="2272"/>
      <c r="N59" s="2272"/>
      <c r="O59" s="2272"/>
      <c r="P59" s="2272"/>
      <c r="Q59" s="2272"/>
    </row>
    <row r="60" spans="2:17" s="751" customFormat="1">
      <c r="B60" s="2272"/>
      <c r="C60" s="2272"/>
      <c r="D60" s="2272"/>
      <c r="E60" s="2272"/>
      <c r="F60" s="2272"/>
      <c r="G60" s="2272"/>
      <c r="H60" s="2272"/>
      <c r="I60" s="2272"/>
      <c r="J60" s="2272"/>
      <c r="K60" s="2272"/>
      <c r="L60" s="2272"/>
      <c r="M60" s="2272"/>
      <c r="N60" s="2272"/>
      <c r="O60" s="2272"/>
      <c r="P60" s="2272"/>
      <c r="Q60" s="2272"/>
    </row>
    <row r="61" spans="2:17" s="751" customFormat="1">
      <c r="B61" s="2272"/>
      <c r="C61" s="2272"/>
      <c r="D61" s="2272"/>
      <c r="E61" s="2272"/>
      <c r="F61" s="2272"/>
      <c r="G61" s="2272"/>
      <c r="H61" s="2272"/>
      <c r="I61" s="2272"/>
      <c r="J61" s="2272"/>
      <c r="K61" s="2272"/>
      <c r="L61" s="2272"/>
      <c r="M61" s="2272"/>
      <c r="N61" s="2272"/>
      <c r="O61" s="2272"/>
      <c r="P61" s="2272"/>
      <c r="Q61" s="2272"/>
    </row>
    <row r="62" spans="2:17" s="751" customFormat="1">
      <c r="B62" s="2272"/>
      <c r="C62" s="2272"/>
      <c r="D62" s="2272"/>
      <c r="E62" s="2272"/>
      <c r="F62" s="2272"/>
      <c r="G62" s="2272"/>
      <c r="H62" s="2272"/>
      <c r="I62" s="2272"/>
      <c r="J62" s="2272"/>
      <c r="K62" s="2272"/>
      <c r="L62" s="2272"/>
      <c r="M62" s="2272"/>
      <c r="N62" s="2272"/>
      <c r="O62" s="2272"/>
      <c r="P62" s="2272"/>
      <c r="Q62" s="2272"/>
    </row>
    <row r="63" spans="2:17" s="751" customFormat="1">
      <c r="B63" s="2272"/>
      <c r="C63" s="2272"/>
      <c r="D63" s="2272"/>
      <c r="E63" s="2272"/>
      <c r="F63" s="2272"/>
      <c r="G63" s="2272"/>
      <c r="H63" s="2272"/>
      <c r="I63" s="2272"/>
      <c r="J63" s="2272"/>
      <c r="K63" s="2272"/>
      <c r="L63" s="2272"/>
      <c r="M63" s="2272"/>
      <c r="N63" s="2272"/>
      <c r="O63" s="2272"/>
      <c r="P63" s="2272"/>
      <c r="Q63" s="2272"/>
    </row>
    <row r="64" spans="2:17" s="751" customFormat="1">
      <c r="B64" s="2272"/>
      <c r="C64" s="2272"/>
      <c r="D64" s="2272"/>
      <c r="E64" s="2272"/>
      <c r="F64" s="2272"/>
      <c r="G64" s="2272"/>
      <c r="H64" s="2272"/>
      <c r="I64" s="2272"/>
      <c r="J64" s="2272"/>
      <c r="K64" s="2272"/>
      <c r="L64" s="2272"/>
      <c r="M64" s="2272"/>
      <c r="N64" s="2272"/>
      <c r="O64" s="2272"/>
      <c r="P64" s="2272"/>
      <c r="Q64" s="2272"/>
    </row>
    <row r="65" spans="2:17" s="751" customFormat="1">
      <c r="B65" s="2272"/>
      <c r="C65" s="2272"/>
      <c r="D65" s="2272"/>
      <c r="E65" s="2272"/>
      <c r="F65" s="2272"/>
      <c r="G65" s="2272"/>
      <c r="H65" s="2272"/>
      <c r="I65" s="2272"/>
      <c r="J65" s="2272"/>
      <c r="K65" s="2272"/>
      <c r="L65" s="2272"/>
      <c r="M65" s="2272"/>
      <c r="N65" s="2272"/>
      <c r="O65" s="2272"/>
      <c r="P65" s="2272"/>
      <c r="Q65" s="2272"/>
    </row>
    <row r="66" spans="2:17" s="751" customFormat="1">
      <c r="B66" s="2272"/>
      <c r="C66" s="2272"/>
      <c r="D66" s="2272"/>
      <c r="E66" s="2272"/>
      <c r="F66" s="2272"/>
      <c r="G66" s="2272"/>
      <c r="H66" s="2272"/>
      <c r="I66" s="2272"/>
      <c r="J66" s="2272"/>
      <c r="K66" s="2272"/>
      <c r="L66" s="2272"/>
      <c r="M66" s="2272"/>
      <c r="N66" s="2272"/>
      <c r="O66" s="2272"/>
      <c r="P66" s="2272"/>
      <c r="Q66" s="2272"/>
    </row>
    <row r="67" spans="2:17" s="751" customFormat="1">
      <c r="B67" s="2272"/>
      <c r="C67" s="2272"/>
      <c r="D67" s="2272"/>
      <c r="E67" s="2272"/>
      <c r="F67" s="2272"/>
      <c r="G67" s="2272"/>
      <c r="H67" s="2272"/>
      <c r="I67" s="2272"/>
      <c r="J67" s="2272"/>
      <c r="K67" s="2272"/>
      <c r="L67" s="2272"/>
      <c r="M67" s="2272"/>
      <c r="N67" s="2272"/>
      <c r="O67" s="2272"/>
      <c r="P67" s="2272"/>
      <c r="Q67" s="2272"/>
    </row>
    <row r="68" spans="2:17" s="751" customFormat="1">
      <c r="B68" s="2272"/>
      <c r="C68" s="2272"/>
      <c r="D68" s="2272"/>
      <c r="E68" s="2272"/>
      <c r="F68" s="2272"/>
      <c r="G68" s="2272"/>
      <c r="H68" s="2272"/>
      <c r="I68" s="2272"/>
      <c r="J68" s="2272"/>
      <c r="K68" s="2272"/>
      <c r="L68" s="2272"/>
      <c r="M68" s="2272"/>
      <c r="N68" s="2272"/>
      <c r="O68" s="2272"/>
      <c r="P68" s="2272"/>
      <c r="Q68" s="2272"/>
    </row>
    <row r="69" spans="2:17" s="751" customFormat="1">
      <c r="B69" s="2272"/>
      <c r="C69" s="2272"/>
      <c r="D69" s="2272"/>
      <c r="E69" s="2272"/>
      <c r="F69" s="2272"/>
      <c r="G69" s="2272"/>
      <c r="H69" s="2272"/>
      <c r="I69" s="2272"/>
      <c r="J69" s="2272"/>
      <c r="K69" s="2272"/>
      <c r="L69" s="2272"/>
      <c r="M69" s="2272"/>
      <c r="N69" s="2272"/>
      <c r="O69" s="2272"/>
      <c r="P69" s="2272"/>
      <c r="Q69" s="2272"/>
    </row>
    <row r="70" spans="2:17" s="751" customFormat="1">
      <c r="B70" s="2272"/>
      <c r="C70" s="2272"/>
      <c r="D70" s="2272"/>
      <c r="E70" s="2272"/>
      <c r="F70" s="2272"/>
      <c r="G70" s="2272"/>
      <c r="H70" s="2272"/>
      <c r="I70" s="2272"/>
      <c r="J70" s="2272"/>
      <c r="K70" s="2272"/>
      <c r="L70" s="2272"/>
      <c r="M70" s="2272"/>
      <c r="N70" s="2272"/>
      <c r="O70" s="2272"/>
      <c r="P70" s="2272"/>
      <c r="Q70" s="2272"/>
    </row>
    <row r="71" spans="2:17" s="751" customFormat="1">
      <c r="B71" s="2272"/>
      <c r="C71" s="2272"/>
      <c r="D71" s="2272"/>
      <c r="E71" s="2272"/>
      <c r="F71" s="2272"/>
      <c r="G71" s="2272"/>
      <c r="H71" s="2272"/>
      <c r="I71" s="2272"/>
      <c r="J71" s="2272"/>
      <c r="K71" s="2272"/>
      <c r="L71" s="2272"/>
      <c r="M71" s="2272"/>
      <c r="N71" s="2272"/>
      <c r="O71" s="2272"/>
      <c r="P71" s="2272"/>
      <c r="Q71" s="2272"/>
    </row>
    <row r="72" spans="2:17" s="751" customFormat="1">
      <c r="B72" s="2272"/>
      <c r="C72" s="2272"/>
      <c r="D72" s="2272"/>
      <c r="E72" s="2272"/>
      <c r="F72" s="2272"/>
      <c r="G72" s="2272"/>
      <c r="H72" s="2272"/>
      <c r="I72" s="2272"/>
      <c r="J72" s="2272"/>
      <c r="K72" s="2272"/>
      <c r="L72" s="2272"/>
      <c r="M72" s="2272"/>
      <c r="N72" s="2272"/>
      <c r="O72" s="2272"/>
      <c r="P72" s="2272"/>
      <c r="Q72" s="2272"/>
    </row>
    <row r="73" spans="2:17" s="751" customFormat="1">
      <c r="B73" s="2272"/>
      <c r="C73" s="2272"/>
      <c r="D73" s="2272"/>
      <c r="E73" s="2272"/>
      <c r="F73" s="2272"/>
      <c r="G73" s="2272"/>
      <c r="H73" s="2272"/>
      <c r="I73" s="2272"/>
      <c r="J73" s="2272"/>
      <c r="K73" s="2272"/>
      <c r="L73" s="2272"/>
      <c r="M73" s="2272"/>
      <c r="N73" s="2272"/>
      <c r="O73" s="2272"/>
      <c r="P73" s="2272"/>
      <c r="Q73" s="2272"/>
    </row>
    <row r="74" spans="2:17" s="751" customFormat="1">
      <c r="B74" s="2272"/>
      <c r="C74" s="2272"/>
      <c r="D74" s="2272"/>
      <c r="E74" s="2272"/>
      <c r="F74" s="2272"/>
      <c r="G74" s="2272"/>
      <c r="H74" s="2272"/>
      <c r="I74" s="2272"/>
      <c r="J74" s="2272"/>
      <c r="K74" s="2272"/>
      <c r="L74" s="2272"/>
      <c r="M74" s="2272"/>
      <c r="N74" s="2272"/>
      <c r="O74" s="2272"/>
      <c r="P74" s="2272"/>
      <c r="Q74" s="2272"/>
    </row>
    <row r="75" spans="2:17" s="751" customFormat="1">
      <c r="B75" s="2272"/>
      <c r="C75" s="2272"/>
      <c r="D75" s="2272"/>
      <c r="E75" s="2272"/>
      <c r="F75" s="2272"/>
      <c r="G75" s="2272"/>
      <c r="H75" s="2272"/>
      <c r="I75" s="2272"/>
      <c r="J75" s="2272"/>
      <c r="K75" s="2272"/>
      <c r="L75" s="2272"/>
      <c r="M75" s="2272"/>
      <c r="N75" s="2272"/>
      <c r="O75" s="2272"/>
      <c r="P75" s="2272"/>
      <c r="Q75" s="2272"/>
    </row>
    <row r="76" spans="2:17" s="751" customFormat="1">
      <c r="B76" s="2272"/>
      <c r="C76" s="2272"/>
      <c r="D76" s="2272"/>
      <c r="E76" s="2272"/>
      <c r="F76" s="2272"/>
      <c r="G76" s="2272"/>
      <c r="H76" s="2272"/>
      <c r="I76" s="2272"/>
      <c r="J76" s="2272"/>
      <c r="K76" s="2272"/>
      <c r="L76" s="2272"/>
      <c r="M76" s="2272"/>
      <c r="N76" s="2272"/>
      <c r="O76" s="2272"/>
      <c r="P76" s="2272"/>
      <c r="Q76" s="2272"/>
    </row>
    <row r="77" spans="2:17" s="751" customFormat="1">
      <c r="B77" s="2272"/>
      <c r="C77" s="2272"/>
      <c r="D77" s="2272"/>
      <c r="E77" s="2272"/>
      <c r="F77" s="2272"/>
      <c r="G77" s="2272"/>
      <c r="H77" s="2272"/>
      <c r="I77" s="2272"/>
      <c r="J77" s="2272"/>
      <c r="K77" s="2272"/>
      <c r="L77" s="2272"/>
      <c r="M77" s="2272"/>
      <c r="N77" s="2272"/>
      <c r="O77" s="2272"/>
      <c r="P77" s="2272"/>
      <c r="Q77" s="2272"/>
    </row>
    <row r="78" spans="2:17" s="751" customFormat="1">
      <c r="B78" s="2272"/>
      <c r="C78" s="2272"/>
      <c r="D78" s="2272"/>
      <c r="E78" s="2272"/>
      <c r="F78" s="2272"/>
      <c r="G78" s="2272"/>
      <c r="H78" s="2272"/>
      <c r="I78" s="2272"/>
      <c r="J78" s="2272"/>
      <c r="K78" s="2272"/>
      <c r="L78" s="2272"/>
      <c r="M78" s="2272"/>
      <c r="N78" s="2272"/>
      <c r="O78" s="2272"/>
      <c r="P78" s="2272"/>
      <c r="Q78" s="2272"/>
    </row>
    <row r="79" spans="2:17" s="751" customFormat="1">
      <c r="B79" s="2272"/>
      <c r="C79" s="2272"/>
      <c r="D79" s="2272"/>
      <c r="E79" s="2272"/>
      <c r="F79" s="2272"/>
      <c r="G79" s="2272"/>
      <c r="H79" s="2272"/>
      <c r="I79" s="2272"/>
      <c r="J79" s="2272"/>
      <c r="K79" s="2272"/>
      <c r="L79" s="2272"/>
      <c r="M79" s="2272"/>
      <c r="N79" s="2272"/>
      <c r="O79" s="2272"/>
      <c r="P79" s="2272"/>
      <c r="Q79" s="2272"/>
    </row>
    <row r="80" spans="2:17" s="751" customFormat="1">
      <c r="B80" s="2272"/>
      <c r="C80" s="2272"/>
      <c r="D80" s="2272"/>
      <c r="E80" s="2272"/>
      <c r="F80" s="2272"/>
      <c r="G80" s="2272"/>
      <c r="H80" s="2272"/>
      <c r="I80" s="2272"/>
      <c r="J80" s="2272"/>
      <c r="K80" s="2272"/>
      <c r="L80" s="2272"/>
      <c r="M80" s="2272"/>
      <c r="N80" s="2272"/>
      <c r="O80" s="2272"/>
      <c r="P80" s="2272"/>
      <c r="Q80" s="2272"/>
    </row>
    <row r="81" spans="2:17" s="751" customFormat="1">
      <c r="B81" s="2272"/>
      <c r="C81" s="2272"/>
      <c r="D81" s="2272"/>
      <c r="E81" s="2272"/>
      <c r="F81" s="2272"/>
      <c r="G81" s="2272"/>
      <c r="H81" s="2272"/>
      <c r="I81" s="2272"/>
      <c r="J81" s="2272"/>
      <c r="K81" s="2272"/>
      <c r="L81" s="2272"/>
      <c r="M81" s="2272"/>
      <c r="N81" s="2272"/>
      <c r="O81" s="2272"/>
      <c r="P81" s="2272"/>
      <c r="Q81" s="2272"/>
    </row>
    <row r="82" spans="2:17" s="751" customFormat="1">
      <c r="B82" s="2272"/>
      <c r="C82" s="2272"/>
      <c r="D82" s="2272"/>
      <c r="E82" s="2272"/>
      <c r="F82" s="2272"/>
      <c r="G82" s="2272"/>
      <c r="H82" s="2272"/>
      <c r="I82" s="2272"/>
      <c r="J82" s="2272"/>
      <c r="K82" s="2272"/>
      <c r="L82" s="2272"/>
      <c r="M82" s="2272"/>
      <c r="N82" s="2272"/>
      <c r="O82" s="2272"/>
      <c r="P82" s="2272"/>
      <c r="Q82" s="2272"/>
    </row>
    <row r="83" spans="2:17" s="751" customFormat="1">
      <c r="B83" s="2272"/>
      <c r="C83" s="2272"/>
      <c r="D83" s="2272"/>
      <c r="E83" s="2272"/>
      <c r="F83" s="2272"/>
      <c r="G83" s="2272"/>
      <c r="H83" s="2272"/>
      <c r="I83" s="2272"/>
      <c r="J83" s="2272"/>
      <c r="K83" s="2272"/>
      <c r="L83" s="2272"/>
      <c r="M83" s="2272"/>
      <c r="N83" s="2272"/>
      <c r="O83" s="2272"/>
      <c r="P83" s="2272"/>
      <c r="Q83" s="2272"/>
    </row>
    <row r="84" spans="2:17" s="751" customFormat="1">
      <c r="B84" s="2272"/>
      <c r="C84" s="2272"/>
      <c r="D84" s="2272"/>
      <c r="E84" s="2272"/>
      <c r="F84" s="2272"/>
      <c r="G84" s="2272"/>
      <c r="H84" s="2272"/>
      <c r="I84" s="2272"/>
      <c r="J84" s="2272"/>
      <c r="K84" s="2272"/>
      <c r="L84" s="2272"/>
      <c r="M84" s="2272"/>
      <c r="N84" s="2272"/>
      <c r="O84" s="2272"/>
      <c r="P84" s="2272"/>
      <c r="Q84" s="2272"/>
    </row>
    <row r="85" spans="2:17" s="751" customFormat="1">
      <c r="B85" s="2272"/>
      <c r="C85" s="2272"/>
      <c r="D85" s="2272"/>
      <c r="E85" s="2272"/>
      <c r="F85" s="2272"/>
      <c r="G85" s="2272"/>
      <c r="H85" s="2272"/>
      <c r="I85" s="2272"/>
      <c r="J85" s="2272"/>
      <c r="K85" s="2272"/>
      <c r="L85" s="2272"/>
      <c r="M85" s="2272"/>
      <c r="N85" s="2272"/>
      <c r="O85" s="2272"/>
      <c r="P85" s="2272"/>
      <c r="Q85" s="2272"/>
    </row>
    <row r="86" spans="2:17" s="751" customFormat="1">
      <c r="B86" s="2272"/>
      <c r="C86" s="2272"/>
      <c r="D86" s="2272"/>
      <c r="E86" s="2272"/>
      <c r="F86" s="2272"/>
      <c r="G86" s="2272"/>
      <c r="H86" s="2272"/>
      <c r="I86" s="2272"/>
      <c r="J86" s="2272"/>
      <c r="K86" s="2272"/>
      <c r="L86" s="2272"/>
      <c r="M86" s="2272"/>
      <c r="N86" s="2272"/>
      <c r="O86" s="2272"/>
      <c r="P86" s="2272"/>
      <c r="Q86" s="2272"/>
    </row>
    <row r="87" spans="2:17" s="751" customFormat="1">
      <c r="B87" s="2272"/>
      <c r="C87" s="2272"/>
      <c r="D87" s="2272"/>
      <c r="E87" s="2272"/>
      <c r="F87" s="2272"/>
      <c r="G87" s="2272"/>
      <c r="H87" s="2272"/>
      <c r="I87" s="2272"/>
      <c r="J87" s="2272"/>
      <c r="K87" s="2272"/>
      <c r="L87" s="2272"/>
      <c r="M87" s="2272"/>
      <c r="N87" s="2272"/>
      <c r="O87" s="2272"/>
      <c r="P87" s="2272"/>
      <c r="Q87" s="2272"/>
    </row>
    <row r="88" spans="2:17" s="751" customFormat="1">
      <c r="B88" s="2272"/>
      <c r="C88" s="2272"/>
      <c r="D88" s="2272"/>
      <c r="E88" s="2272"/>
      <c r="F88" s="2272"/>
      <c r="G88" s="2272"/>
      <c r="H88" s="2272"/>
      <c r="I88" s="2272"/>
      <c r="J88" s="2272"/>
      <c r="K88" s="2272"/>
      <c r="L88" s="2272"/>
      <c r="M88" s="2272"/>
      <c r="N88" s="2272"/>
      <c r="O88" s="2272"/>
      <c r="P88" s="2272"/>
      <c r="Q88" s="2272"/>
    </row>
    <row r="89" spans="2:17" s="751" customFormat="1">
      <c r="B89" s="2272"/>
      <c r="C89" s="2272"/>
      <c r="D89" s="2272"/>
      <c r="E89" s="2272"/>
      <c r="F89" s="2272"/>
      <c r="G89" s="2272"/>
      <c r="H89" s="2272"/>
      <c r="I89" s="2272"/>
      <c r="J89" s="2272"/>
      <c r="K89" s="2272"/>
      <c r="L89" s="2272"/>
      <c r="M89" s="2272"/>
      <c r="N89" s="2272"/>
      <c r="O89" s="2272"/>
      <c r="P89" s="2272"/>
      <c r="Q89" s="2272"/>
    </row>
    <row r="90" spans="2:17" s="751" customFormat="1">
      <c r="B90" s="2272"/>
      <c r="C90" s="2272"/>
      <c r="D90" s="2272"/>
      <c r="E90" s="2272"/>
      <c r="F90" s="2272"/>
      <c r="G90" s="2272"/>
      <c r="H90" s="2272"/>
      <c r="I90" s="2272"/>
      <c r="J90" s="2272"/>
      <c r="K90" s="2272"/>
      <c r="L90" s="2272"/>
      <c r="M90" s="2272"/>
      <c r="N90" s="2272"/>
      <c r="O90" s="2272"/>
      <c r="P90" s="2272"/>
      <c r="Q90" s="2272"/>
    </row>
    <row r="91" spans="2:17" s="751" customFormat="1">
      <c r="B91" s="2272"/>
      <c r="C91" s="2272"/>
      <c r="D91" s="2272"/>
      <c r="E91" s="2272"/>
      <c r="F91" s="2272"/>
      <c r="G91" s="2272"/>
      <c r="H91" s="2272"/>
      <c r="I91" s="2272"/>
      <c r="J91" s="2272"/>
      <c r="K91" s="2272"/>
      <c r="L91" s="2272"/>
      <c r="M91" s="2272"/>
      <c r="N91" s="2272"/>
      <c r="O91" s="2272"/>
      <c r="P91" s="2272"/>
      <c r="Q91" s="2272"/>
    </row>
    <row r="92" spans="2:17" s="751" customFormat="1">
      <c r="B92" s="2272"/>
      <c r="C92" s="2272"/>
      <c r="D92" s="2272"/>
      <c r="E92" s="2272"/>
      <c r="F92" s="2272"/>
      <c r="G92" s="2272"/>
      <c r="H92" s="2272"/>
      <c r="I92" s="2272"/>
      <c r="J92" s="2272"/>
      <c r="K92" s="2272"/>
      <c r="L92" s="2272"/>
      <c r="M92" s="2272"/>
      <c r="N92" s="2272"/>
      <c r="O92" s="2272"/>
      <c r="P92" s="2272"/>
      <c r="Q92" s="2272"/>
    </row>
    <row r="93" spans="2:17" s="751" customFormat="1">
      <c r="B93" s="2272"/>
      <c r="C93" s="2272"/>
      <c r="D93" s="2272"/>
      <c r="E93" s="2272"/>
      <c r="F93" s="2272"/>
      <c r="G93" s="2272"/>
      <c r="H93" s="2272"/>
      <c r="I93" s="2272"/>
      <c r="J93" s="2272"/>
      <c r="K93" s="2272"/>
      <c r="L93" s="2272"/>
      <c r="M93" s="2272"/>
      <c r="N93" s="2272"/>
      <c r="O93" s="2272"/>
      <c r="P93" s="2272"/>
      <c r="Q93" s="2272"/>
    </row>
    <row r="94" spans="2:17" s="751" customFormat="1">
      <c r="B94" s="2272"/>
      <c r="C94" s="2272"/>
      <c r="D94" s="2272"/>
      <c r="E94" s="2272"/>
      <c r="F94" s="2272"/>
      <c r="G94" s="2272"/>
      <c r="H94" s="2272"/>
      <c r="I94" s="2272"/>
      <c r="J94" s="2272"/>
      <c r="K94" s="2272"/>
      <c r="L94" s="2272"/>
      <c r="M94" s="2272"/>
      <c r="N94" s="2272"/>
      <c r="O94" s="2272"/>
      <c r="P94" s="2272"/>
      <c r="Q94" s="2272"/>
    </row>
    <row r="95" spans="2:17" s="751" customFormat="1">
      <c r="B95" s="2272"/>
      <c r="C95" s="2272"/>
      <c r="D95" s="2272"/>
      <c r="E95" s="2272"/>
      <c r="F95" s="2272"/>
      <c r="G95" s="2272"/>
      <c r="H95" s="2272"/>
      <c r="I95" s="2272"/>
      <c r="J95" s="2272"/>
      <c r="K95" s="2272"/>
      <c r="L95" s="2272"/>
      <c r="M95" s="2272"/>
      <c r="N95" s="2272"/>
      <c r="O95" s="2272"/>
      <c r="P95" s="2272"/>
      <c r="Q95" s="2272"/>
    </row>
    <row r="96" spans="2:17" s="751" customFormat="1">
      <c r="B96" s="2272"/>
      <c r="C96" s="2272"/>
      <c r="D96" s="2272"/>
      <c r="E96" s="2272"/>
      <c r="F96" s="2272"/>
      <c r="G96" s="2272"/>
      <c r="H96" s="2272"/>
      <c r="I96" s="2272"/>
      <c r="J96" s="2272"/>
      <c r="K96" s="2272"/>
      <c r="L96" s="2272"/>
      <c r="M96" s="2272"/>
      <c r="N96" s="2272"/>
      <c r="O96" s="2272"/>
      <c r="P96" s="2272"/>
      <c r="Q96" s="2272"/>
    </row>
    <row r="97" spans="2:17" s="751" customFormat="1">
      <c r="B97" s="2272"/>
      <c r="C97" s="2272"/>
      <c r="D97" s="2272"/>
      <c r="E97" s="2272"/>
      <c r="F97" s="2272"/>
      <c r="G97" s="2272"/>
      <c r="H97" s="2272"/>
      <c r="I97" s="2272"/>
      <c r="J97" s="2272"/>
      <c r="K97" s="2272"/>
      <c r="L97" s="2272"/>
      <c r="M97" s="2272"/>
      <c r="N97" s="2272"/>
      <c r="O97" s="2272"/>
      <c r="P97" s="2272"/>
      <c r="Q97" s="2272"/>
    </row>
    <row r="98" spans="2:17" s="751" customFormat="1">
      <c r="B98" s="2272"/>
      <c r="C98" s="2272"/>
      <c r="D98" s="2272"/>
      <c r="E98" s="2272"/>
      <c r="F98" s="2272"/>
      <c r="G98" s="2272"/>
      <c r="H98" s="2272"/>
      <c r="I98" s="2272"/>
      <c r="J98" s="2272"/>
      <c r="K98" s="2272"/>
      <c r="L98" s="2272"/>
      <c r="M98" s="2272"/>
      <c r="N98" s="2272"/>
      <c r="O98" s="2272"/>
      <c r="P98" s="2272"/>
      <c r="Q98" s="2272"/>
    </row>
    <row r="99" spans="2:17" s="751" customFormat="1">
      <c r="B99" s="2272"/>
      <c r="C99" s="2272"/>
      <c r="D99" s="2272"/>
      <c r="E99" s="2272"/>
      <c r="F99" s="2272"/>
      <c r="G99" s="2272"/>
      <c r="H99" s="2272"/>
      <c r="I99" s="2272"/>
      <c r="J99" s="2272"/>
      <c r="K99" s="2272"/>
      <c r="L99" s="2272"/>
      <c r="M99" s="2272"/>
      <c r="N99" s="2272"/>
      <c r="O99" s="2272"/>
      <c r="P99" s="2272"/>
      <c r="Q99" s="2272"/>
    </row>
    <row r="100" spans="2:17" s="751" customFormat="1">
      <c r="B100" s="2272"/>
      <c r="C100" s="2272"/>
      <c r="D100" s="2272"/>
      <c r="E100" s="2272"/>
      <c r="F100" s="2272"/>
      <c r="G100" s="2272"/>
      <c r="H100" s="2272"/>
      <c r="I100" s="2272"/>
      <c r="J100" s="2272"/>
      <c r="K100" s="2272"/>
      <c r="L100" s="2272"/>
      <c r="M100" s="2272"/>
      <c r="N100" s="2272"/>
      <c r="O100" s="2272"/>
      <c r="P100" s="2272"/>
      <c r="Q100" s="2272"/>
    </row>
    <row r="101" spans="2:17" s="751" customFormat="1">
      <c r="B101" s="2272"/>
      <c r="C101" s="2272"/>
      <c r="D101" s="2272"/>
      <c r="E101" s="2272"/>
      <c r="F101" s="2272"/>
      <c r="G101" s="2272"/>
      <c r="H101" s="2272"/>
      <c r="I101" s="2272"/>
      <c r="J101" s="2272"/>
      <c r="K101" s="2272"/>
      <c r="L101" s="2272"/>
      <c r="M101" s="2272"/>
      <c r="N101" s="2272"/>
      <c r="O101" s="2272"/>
      <c r="P101" s="2272"/>
      <c r="Q101" s="2272"/>
    </row>
    <row r="102" spans="2:17" s="751" customFormat="1">
      <c r="B102" s="2272"/>
      <c r="C102" s="2272"/>
      <c r="D102" s="2272"/>
      <c r="E102" s="2272"/>
      <c r="F102" s="2272"/>
      <c r="G102" s="2272"/>
      <c r="H102" s="2272"/>
      <c r="I102" s="2272"/>
      <c r="J102" s="2272"/>
      <c r="K102" s="2272"/>
      <c r="L102" s="2272"/>
      <c r="M102" s="2272"/>
      <c r="N102" s="2272"/>
      <c r="O102" s="2272"/>
      <c r="P102" s="2272"/>
      <c r="Q102" s="2272"/>
    </row>
    <row r="103" spans="2:17" s="751" customFormat="1">
      <c r="B103" s="2272"/>
      <c r="C103" s="2272"/>
      <c r="D103" s="2272"/>
      <c r="E103" s="2272"/>
      <c r="F103" s="2272"/>
      <c r="G103" s="2272"/>
      <c r="H103" s="2272"/>
      <c r="I103" s="2272"/>
      <c r="J103" s="2272"/>
      <c r="K103" s="2272"/>
      <c r="L103" s="2272"/>
      <c r="M103" s="2272"/>
      <c r="N103" s="2272"/>
      <c r="O103" s="2272"/>
      <c r="P103" s="2272"/>
      <c r="Q103" s="2272"/>
    </row>
    <row r="104" spans="2:17" s="751" customFormat="1">
      <c r="B104" s="2272"/>
      <c r="C104" s="2272"/>
      <c r="D104" s="2272"/>
      <c r="E104" s="2272"/>
      <c r="F104" s="2272"/>
      <c r="G104" s="2272"/>
      <c r="H104" s="2272"/>
      <c r="I104" s="2272"/>
      <c r="J104" s="2272"/>
      <c r="K104" s="2272"/>
      <c r="L104" s="2272"/>
      <c r="M104" s="2272"/>
      <c r="N104" s="2272"/>
      <c r="O104" s="2272"/>
      <c r="P104" s="2272"/>
      <c r="Q104" s="2272"/>
    </row>
    <row r="105" spans="2:17" s="751" customFormat="1">
      <c r="B105" s="2272"/>
      <c r="C105" s="2272"/>
      <c r="D105" s="2272"/>
      <c r="E105" s="2272"/>
      <c r="F105" s="2272"/>
      <c r="G105" s="2272"/>
      <c r="H105" s="2272"/>
      <c r="I105" s="2272"/>
      <c r="J105" s="2272"/>
      <c r="K105" s="2272"/>
      <c r="L105" s="2272"/>
      <c r="M105" s="2272"/>
      <c r="N105" s="2272"/>
      <c r="O105" s="2272"/>
      <c r="P105" s="2272"/>
      <c r="Q105" s="2272"/>
    </row>
    <row r="106" spans="2:17" s="751" customFormat="1">
      <c r="B106" s="2272"/>
      <c r="C106" s="2272"/>
      <c r="D106" s="2272"/>
      <c r="E106" s="2272"/>
      <c r="F106" s="2272"/>
      <c r="G106" s="2272"/>
      <c r="H106" s="2272"/>
      <c r="I106" s="2272"/>
      <c r="J106" s="2272"/>
      <c r="K106" s="2272"/>
      <c r="L106" s="2272"/>
      <c r="M106" s="2272"/>
      <c r="N106" s="2272"/>
      <c r="O106" s="2272"/>
      <c r="P106" s="2272"/>
      <c r="Q106" s="2272"/>
    </row>
    <row r="107" spans="2:17" s="751" customFormat="1">
      <c r="B107" s="2272"/>
      <c r="C107" s="2272"/>
      <c r="D107" s="2272"/>
      <c r="E107" s="2272"/>
      <c r="F107" s="2272"/>
      <c r="G107" s="2272"/>
      <c r="H107" s="2272"/>
      <c r="I107" s="2272"/>
      <c r="J107" s="2272"/>
      <c r="K107" s="2272"/>
      <c r="L107" s="2272"/>
      <c r="M107" s="2272"/>
      <c r="N107" s="2272"/>
      <c r="O107" s="2272"/>
      <c r="P107" s="2272"/>
      <c r="Q107" s="2272"/>
    </row>
    <row r="108" spans="2:17" s="751" customFormat="1">
      <c r="B108" s="2272"/>
      <c r="C108" s="2272"/>
      <c r="D108" s="2272"/>
      <c r="E108" s="2272"/>
      <c r="F108" s="2272"/>
      <c r="G108" s="2272"/>
      <c r="H108" s="2272"/>
      <c r="I108" s="2272"/>
      <c r="J108" s="2272"/>
      <c r="K108" s="2272"/>
      <c r="L108" s="2272"/>
      <c r="M108" s="2272"/>
      <c r="N108" s="2272"/>
      <c r="O108" s="2272"/>
      <c r="P108" s="2272"/>
      <c r="Q108" s="2272"/>
    </row>
    <row r="109" spans="2:17" s="751" customFormat="1">
      <c r="B109" s="2272"/>
      <c r="C109" s="2272"/>
      <c r="D109" s="2272"/>
      <c r="E109" s="2272"/>
      <c r="F109" s="2272"/>
      <c r="G109" s="2272"/>
      <c r="H109" s="2272"/>
      <c r="I109" s="2272"/>
      <c r="J109" s="2272"/>
      <c r="K109" s="2272"/>
      <c r="L109" s="2272"/>
      <c r="M109" s="2272"/>
      <c r="N109" s="2272"/>
      <c r="O109" s="2272"/>
      <c r="P109" s="2272"/>
      <c r="Q109" s="2272"/>
    </row>
    <row r="110" spans="2:17" s="751" customFormat="1">
      <c r="B110" s="2272"/>
      <c r="C110" s="2272"/>
      <c r="D110" s="2272"/>
      <c r="E110" s="2272"/>
      <c r="F110" s="2272"/>
      <c r="G110" s="2272"/>
      <c r="H110" s="2272"/>
      <c r="I110" s="2272"/>
      <c r="J110" s="2272"/>
      <c r="K110" s="2272"/>
      <c r="L110" s="2272"/>
      <c r="M110" s="2272"/>
      <c r="N110" s="2272"/>
      <c r="O110" s="2272"/>
      <c r="P110" s="2272"/>
      <c r="Q110" s="2272"/>
    </row>
    <row r="111" spans="2:17" s="751" customFormat="1">
      <c r="B111" s="2272"/>
      <c r="C111" s="2272"/>
      <c r="D111" s="2272"/>
      <c r="E111" s="2272"/>
      <c r="F111" s="2272"/>
      <c r="G111" s="2272"/>
      <c r="H111" s="2272"/>
      <c r="I111" s="2272"/>
      <c r="J111" s="2272"/>
      <c r="K111" s="2272"/>
      <c r="L111" s="2272"/>
      <c r="M111" s="2272"/>
      <c r="N111" s="2272"/>
      <c r="O111" s="2272"/>
      <c r="P111" s="2272"/>
      <c r="Q111" s="2272"/>
    </row>
    <row r="112" spans="2:17" s="751" customFormat="1">
      <c r="B112" s="2272"/>
      <c r="C112" s="2272"/>
      <c r="D112" s="2272"/>
      <c r="E112" s="2272"/>
      <c r="F112" s="2272"/>
      <c r="G112" s="2272"/>
      <c r="H112" s="2272"/>
      <c r="I112" s="2272"/>
      <c r="J112" s="2272"/>
      <c r="K112" s="2272"/>
      <c r="L112" s="2272"/>
      <c r="M112" s="2272"/>
      <c r="N112" s="2272"/>
      <c r="O112" s="2272"/>
      <c r="P112" s="2272"/>
      <c r="Q112" s="2272"/>
    </row>
    <row r="113" spans="2:17" s="751" customFormat="1">
      <c r="B113" s="2272"/>
      <c r="C113" s="2272"/>
      <c r="D113" s="2272"/>
      <c r="E113" s="2272"/>
      <c r="F113" s="2272"/>
      <c r="G113" s="2272"/>
      <c r="H113" s="2272"/>
      <c r="I113" s="2272"/>
      <c r="J113" s="2272"/>
      <c r="K113" s="2272"/>
      <c r="L113" s="2272"/>
      <c r="M113" s="2272"/>
      <c r="N113" s="2272"/>
      <c r="O113" s="2272"/>
      <c r="P113" s="2272"/>
      <c r="Q113" s="2272"/>
    </row>
    <row r="114" spans="2:17" s="751" customFormat="1">
      <c r="B114" s="2272"/>
      <c r="C114" s="2272"/>
      <c r="D114" s="2272"/>
      <c r="E114" s="2272"/>
      <c r="F114" s="2272"/>
      <c r="G114" s="2272"/>
      <c r="H114" s="2272"/>
      <c r="I114" s="2272"/>
      <c r="J114" s="2272"/>
      <c r="K114" s="2272"/>
      <c r="L114" s="2272"/>
      <c r="M114" s="2272"/>
      <c r="N114" s="2272"/>
      <c r="O114" s="2272"/>
      <c r="P114" s="2272"/>
      <c r="Q114" s="2272"/>
    </row>
    <row r="115" spans="2:17" s="751" customFormat="1">
      <c r="B115" s="2272"/>
      <c r="C115" s="2272"/>
      <c r="D115" s="2272"/>
      <c r="E115" s="2272"/>
      <c r="F115" s="2272"/>
      <c r="G115" s="2272"/>
      <c r="H115" s="2272"/>
      <c r="I115" s="2272"/>
      <c r="J115" s="2272"/>
      <c r="K115" s="2272"/>
      <c r="L115" s="2272"/>
      <c r="M115" s="2272"/>
      <c r="N115" s="2272"/>
      <c r="O115" s="2272"/>
      <c r="P115" s="2272"/>
      <c r="Q115" s="2272"/>
    </row>
    <row r="116" spans="2:17" s="751" customFormat="1">
      <c r="B116" s="2272"/>
      <c r="C116" s="2272"/>
      <c r="D116" s="2272"/>
      <c r="E116" s="2272"/>
      <c r="F116" s="2272"/>
      <c r="G116" s="2272"/>
      <c r="H116" s="2272"/>
      <c r="I116" s="2272"/>
      <c r="J116" s="2272"/>
      <c r="K116" s="2272"/>
      <c r="L116" s="2272"/>
      <c r="M116" s="2272"/>
      <c r="N116" s="2272"/>
      <c r="O116" s="2272"/>
      <c r="P116" s="2272"/>
      <c r="Q116" s="2272"/>
    </row>
    <row r="117" spans="2:17" s="751" customFormat="1">
      <c r="B117" s="2272"/>
      <c r="C117" s="2272"/>
      <c r="D117" s="2272"/>
      <c r="E117" s="2272"/>
      <c r="F117" s="2272"/>
      <c r="G117" s="2272"/>
      <c r="H117" s="2272"/>
      <c r="I117" s="2272"/>
      <c r="J117" s="2272"/>
      <c r="K117" s="2272"/>
      <c r="L117" s="2272"/>
      <c r="M117" s="2272"/>
      <c r="N117" s="2272"/>
      <c r="O117" s="2272"/>
      <c r="P117" s="2272"/>
      <c r="Q117" s="2272"/>
    </row>
    <row r="118" spans="2:17" s="751" customFormat="1">
      <c r="B118" s="2272"/>
      <c r="C118" s="2272"/>
      <c r="D118" s="2272"/>
      <c r="E118" s="2272"/>
      <c r="F118" s="2272"/>
      <c r="G118" s="2272"/>
      <c r="H118" s="2272"/>
      <c r="I118" s="2272"/>
      <c r="J118" s="2272"/>
      <c r="K118" s="2272"/>
      <c r="L118" s="2272"/>
      <c r="M118" s="2272"/>
      <c r="N118" s="2272"/>
      <c r="O118" s="2272"/>
      <c r="P118" s="2272"/>
      <c r="Q118" s="2272"/>
    </row>
    <row r="119" spans="2:17" s="751" customFormat="1">
      <c r="B119" s="2272"/>
      <c r="C119" s="2272"/>
      <c r="D119" s="2272"/>
      <c r="E119" s="2272"/>
      <c r="F119" s="2272"/>
      <c r="G119" s="2272"/>
      <c r="H119" s="2272"/>
      <c r="I119" s="2272"/>
      <c r="J119" s="2272"/>
      <c r="K119" s="2272"/>
      <c r="L119" s="2272"/>
      <c r="M119" s="2272"/>
      <c r="N119" s="2272"/>
      <c r="O119" s="2272"/>
      <c r="P119" s="2272"/>
      <c r="Q119" s="2272"/>
    </row>
    <row r="120" spans="2:17" s="751" customFormat="1">
      <c r="B120" s="2272"/>
      <c r="C120" s="2272"/>
      <c r="D120" s="2272"/>
      <c r="E120" s="2272"/>
      <c r="F120" s="2272"/>
      <c r="G120" s="2272"/>
      <c r="H120" s="2272"/>
      <c r="I120" s="2272"/>
      <c r="J120" s="2272"/>
      <c r="K120" s="2272"/>
      <c r="L120" s="2272"/>
      <c r="M120" s="2272"/>
      <c r="N120" s="2272"/>
      <c r="O120" s="2272"/>
      <c r="P120" s="2272"/>
      <c r="Q120" s="2272"/>
    </row>
    <row r="121" spans="2:17" s="751" customFormat="1">
      <c r="B121" s="2272"/>
      <c r="C121" s="2272"/>
      <c r="D121" s="2272"/>
      <c r="E121" s="2272"/>
      <c r="F121" s="2272"/>
      <c r="G121" s="2272"/>
      <c r="H121" s="2272"/>
      <c r="I121" s="2272"/>
      <c r="J121" s="2272"/>
      <c r="K121" s="2272"/>
      <c r="L121" s="2272"/>
      <c r="M121" s="2272"/>
      <c r="N121" s="2272"/>
      <c r="O121" s="2272"/>
      <c r="P121" s="2272"/>
      <c r="Q121" s="2272"/>
    </row>
    <row r="122" spans="2:17" s="751" customFormat="1">
      <c r="B122" s="2272"/>
      <c r="C122" s="2272"/>
      <c r="D122" s="2272"/>
      <c r="E122" s="2272"/>
      <c r="F122" s="2272"/>
      <c r="G122" s="2272"/>
      <c r="H122" s="2272"/>
      <c r="I122" s="2272"/>
      <c r="J122" s="2272"/>
      <c r="K122" s="2272"/>
      <c r="L122" s="2272"/>
      <c r="M122" s="2272"/>
      <c r="N122" s="2272"/>
      <c r="O122" s="2272"/>
      <c r="P122" s="2272"/>
      <c r="Q122" s="2272"/>
    </row>
    <row r="123" spans="2:17" s="751" customFormat="1">
      <c r="B123" s="2272"/>
      <c r="C123" s="2272"/>
      <c r="D123" s="2272"/>
      <c r="E123" s="2272"/>
      <c r="F123" s="2272"/>
      <c r="G123" s="2272"/>
      <c r="H123" s="2272"/>
      <c r="I123" s="2272"/>
      <c r="J123" s="2272"/>
      <c r="K123" s="2272"/>
      <c r="L123" s="2272"/>
      <c r="M123" s="2272"/>
      <c r="N123" s="2272"/>
      <c r="O123" s="2272"/>
      <c r="P123" s="2272"/>
      <c r="Q123" s="2272"/>
    </row>
    <row r="124" spans="2:17" s="751" customFormat="1">
      <c r="B124" s="2272"/>
      <c r="C124" s="2272"/>
      <c r="D124" s="2272"/>
      <c r="E124" s="2272"/>
      <c r="F124" s="2272"/>
      <c r="G124" s="2272"/>
      <c r="H124" s="2272"/>
      <c r="I124" s="2272"/>
      <c r="J124" s="2272"/>
      <c r="K124" s="2272"/>
      <c r="L124" s="2272"/>
      <c r="M124" s="2272"/>
      <c r="N124" s="2272"/>
      <c r="O124" s="2272"/>
      <c r="P124" s="2272"/>
      <c r="Q124" s="2272"/>
    </row>
    <row r="125" spans="2:17" s="751" customFormat="1">
      <c r="B125" s="2272"/>
      <c r="C125" s="2272"/>
      <c r="D125" s="2272"/>
      <c r="E125" s="2272"/>
      <c r="F125" s="2272"/>
      <c r="G125" s="2272"/>
      <c r="H125" s="2272"/>
      <c r="I125" s="2272"/>
      <c r="J125" s="2272"/>
      <c r="K125" s="2272"/>
      <c r="L125" s="2272"/>
      <c r="M125" s="2272"/>
      <c r="N125" s="2272"/>
      <c r="O125" s="2272"/>
      <c r="P125" s="2272"/>
      <c r="Q125" s="2272"/>
    </row>
    <row r="126" spans="2:17" s="751" customFormat="1">
      <c r="B126" s="2272"/>
      <c r="C126" s="2272"/>
      <c r="D126" s="2272"/>
      <c r="E126" s="2272"/>
      <c r="F126" s="2272"/>
      <c r="G126" s="2272"/>
      <c r="H126" s="2272"/>
      <c r="I126" s="2272"/>
      <c r="J126" s="2272"/>
      <c r="K126" s="2272"/>
      <c r="L126" s="2272"/>
      <c r="M126" s="2272"/>
      <c r="N126" s="2272"/>
      <c r="O126" s="2272"/>
      <c r="P126" s="2272"/>
      <c r="Q126" s="2272"/>
    </row>
    <row r="127" spans="2:17" s="751" customFormat="1">
      <c r="B127" s="2272"/>
      <c r="C127" s="2272"/>
      <c r="D127" s="2272"/>
      <c r="E127" s="2272"/>
      <c r="F127" s="2272"/>
      <c r="G127" s="2272"/>
      <c r="H127" s="2272"/>
      <c r="I127" s="2272"/>
      <c r="J127" s="2272"/>
      <c r="K127" s="2272"/>
      <c r="L127" s="2272"/>
      <c r="M127" s="2272"/>
      <c r="N127" s="2272"/>
      <c r="O127" s="2272"/>
      <c r="P127" s="2272"/>
      <c r="Q127" s="2272"/>
    </row>
    <row r="128" spans="2:17" s="751" customFormat="1">
      <c r="B128" s="2272"/>
      <c r="C128" s="2272"/>
      <c r="D128" s="2272"/>
      <c r="E128" s="2272"/>
      <c r="F128" s="2272"/>
      <c r="G128" s="2272"/>
      <c r="H128" s="2272"/>
      <c r="I128" s="2272"/>
      <c r="J128" s="2272"/>
      <c r="K128" s="2272"/>
      <c r="L128" s="2272"/>
      <c r="M128" s="2272"/>
      <c r="N128" s="2272"/>
      <c r="O128" s="2272"/>
      <c r="P128" s="2272"/>
      <c r="Q128" s="2272"/>
    </row>
    <row r="129" spans="2:17" s="751" customFormat="1">
      <c r="B129" s="2272"/>
      <c r="C129" s="2272"/>
      <c r="D129" s="2272"/>
      <c r="E129" s="2272"/>
      <c r="F129" s="2272"/>
      <c r="G129" s="2272"/>
      <c r="H129" s="2272"/>
      <c r="I129" s="2272"/>
      <c r="J129" s="2272"/>
      <c r="K129" s="2272"/>
      <c r="L129" s="2272"/>
      <c r="M129" s="2272"/>
      <c r="N129" s="2272"/>
      <c r="O129" s="2272"/>
      <c r="P129" s="2272"/>
      <c r="Q129" s="2272"/>
    </row>
    <row r="130" spans="2:17" s="751" customFormat="1">
      <c r="B130" s="2272"/>
      <c r="C130" s="2272"/>
      <c r="D130" s="2272"/>
      <c r="E130" s="2272"/>
      <c r="F130" s="2272"/>
      <c r="G130" s="2272"/>
      <c r="H130" s="2272"/>
      <c r="I130" s="2272"/>
      <c r="J130" s="2272"/>
      <c r="K130" s="2272"/>
      <c r="L130" s="2272"/>
      <c r="M130" s="2272"/>
      <c r="N130" s="2272"/>
      <c r="O130" s="2272"/>
      <c r="P130" s="2272"/>
      <c r="Q130" s="2272"/>
    </row>
    <row r="131" spans="2:17" s="751" customFormat="1">
      <c r="B131" s="2272"/>
      <c r="C131" s="2272"/>
      <c r="D131" s="2272"/>
      <c r="E131" s="2272"/>
      <c r="F131" s="2272"/>
      <c r="G131" s="2272"/>
      <c r="H131" s="2272"/>
      <c r="I131" s="2272"/>
      <c r="J131" s="2272"/>
      <c r="K131" s="2272"/>
      <c r="L131" s="2272"/>
      <c r="M131" s="2272"/>
      <c r="N131" s="2272"/>
      <c r="O131" s="2272"/>
      <c r="P131" s="2272"/>
      <c r="Q131" s="2272"/>
    </row>
    <row r="132" spans="2:17" s="751" customFormat="1">
      <c r="B132" s="2272"/>
      <c r="C132" s="2272"/>
      <c r="D132" s="2272"/>
      <c r="E132" s="2272"/>
      <c r="F132" s="2272"/>
      <c r="G132" s="2272"/>
      <c r="H132" s="2272"/>
      <c r="I132" s="2272"/>
      <c r="J132" s="2272"/>
      <c r="K132" s="2272"/>
      <c r="L132" s="2272"/>
      <c r="M132" s="2272"/>
      <c r="N132" s="2272"/>
      <c r="O132" s="2272"/>
      <c r="P132" s="2272"/>
      <c r="Q132" s="2272"/>
    </row>
    <row r="133" spans="2:17" s="751" customFormat="1">
      <c r="B133" s="2272"/>
      <c r="C133" s="2272"/>
      <c r="D133" s="2272"/>
      <c r="E133" s="2272"/>
      <c r="F133" s="2272"/>
      <c r="G133" s="2272"/>
      <c r="H133" s="2272"/>
      <c r="I133" s="2272"/>
      <c r="J133" s="2272"/>
      <c r="K133" s="2272"/>
      <c r="L133" s="2272"/>
      <c r="M133" s="2272"/>
      <c r="N133" s="2272"/>
      <c r="O133" s="2272"/>
      <c r="P133" s="2272"/>
      <c r="Q133" s="2272"/>
    </row>
    <row r="134" spans="2:17" s="751" customFormat="1">
      <c r="B134" s="2272"/>
      <c r="C134" s="2272"/>
      <c r="D134" s="2272"/>
      <c r="E134" s="2272"/>
      <c r="F134" s="2272"/>
      <c r="G134" s="2272"/>
      <c r="H134" s="2272"/>
      <c r="I134" s="2272"/>
      <c r="J134" s="2272"/>
      <c r="K134" s="2272"/>
      <c r="L134" s="2272"/>
      <c r="M134" s="2272"/>
      <c r="N134" s="2272"/>
      <c r="O134" s="2272"/>
      <c r="P134" s="2272"/>
      <c r="Q134" s="2272"/>
    </row>
    <row r="135" spans="2:17" s="751" customFormat="1">
      <c r="B135" s="2272"/>
      <c r="C135" s="2272"/>
      <c r="D135" s="2272"/>
      <c r="E135" s="2272"/>
      <c r="F135" s="2272"/>
      <c r="G135" s="2272"/>
      <c r="H135" s="2272"/>
      <c r="I135" s="2272"/>
      <c r="J135" s="2272"/>
      <c r="K135" s="2272"/>
      <c r="L135" s="2272"/>
      <c r="M135" s="2272"/>
      <c r="N135" s="2272"/>
      <c r="O135" s="2272"/>
      <c r="P135" s="2272"/>
      <c r="Q135" s="2272"/>
    </row>
    <row r="136" spans="2:17" s="751" customFormat="1">
      <c r="B136" s="2272"/>
      <c r="C136" s="2272"/>
      <c r="D136" s="2272"/>
      <c r="E136" s="2272"/>
      <c r="F136" s="2272"/>
      <c r="G136" s="2272"/>
      <c r="H136" s="2272"/>
      <c r="I136" s="2272"/>
      <c r="J136" s="2272"/>
      <c r="K136" s="2272"/>
      <c r="L136" s="2272"/>
      <c r="M136" s="2272"/>
      <c r="N136" s="2272"/>
      <c r="O136" s="2272"/>
      <c r="P136" s="2272"/>
      <c r="Q136" s="2272"/>
    </row>
    <row r="137" spans="2:17" s="751" customFormat="1">
      <c r="B137" s="2272"/>
      <c r="C137" s="2272"/>
      <c r="D137" s="2272"/>
      <c r="E137" s="2272"/>
      <c r="F137" s="2272"/>
      <c r="G137" s="2272"/>
      <c r="H137" s="2272"/>
      <c r="I137" s="2272"/>
      <c r="J137" s="2272"/>
      <c r="K137" s="2272"/>
      <c r="L137" s="2272"/>
      <c r="M137" s="2272"/>
      <c r="N137" s="2272"/>
      <c r="O137" s="2272"/>
      <c r="P137" s="2272"/>
      <c r="Q137" s="2272"/>
    </row>
    <row r="138" spans="2:17" s="751" customFormat="1">
      <c r="B138" s="2272"/>
      <c r="C138" s="2272"/>
      <c r="D138" s="2272"/>
      <c r="E138" s="2272"/>
      <c r="F138" s="2272"/>
      <c r="G138" s="2272"/>
      <c r="H138" s="2272"/>
      <c r="I138" s="2272"/>
      <c r="J138" s="2272"/>
      <c r="K138" s="2272"/>
      <c r="L138" s="2272"/>
      <c r="M138" s="2272"/>
      <c r="N138" s="2272"/>
      <c r="O138" s="2272"/>
      <c r="P138" s="2272"/>
      <c r="Q138" s="2272"/>
    </row>
    <row r="139" spans="2:17" s="751" customFormat="1">
      <c r="B139" s="2272"/>
      <c r="C139" s="2272"/>
      <c r="D139" s="2272"/>
      <c r="E139" s="2272"/>
      <c r="F139" s="2272"/>
      <c r="G139" s="2272"/>
      <c r="H139" s="2272"/>
      <c r="I139" s="2272"/>
      <c r="J139" s="2272"/>
      <c r="K139" s="2272"/>
      <c r="L139" s="2272"/>
      <c r="M139" s="2272"/>
      <c r="N139" s="2272"/>
      <c r="O139" s="2272"/>
      <c r="P139" s="2272"/>
      <c r="Q139" s="2272"/>
    </row>
    <row r="140" spans="2:17" s="751" customFormat="1">
      <c r="B140" s="2272"/>
      <c r="C140" s="2272"/>
      <c r="D140" s="2272"/>
      <c r="E140" s="2272"/>
      <c r="F140" s="2272"/>
      <c r="G140" s="2272"/>
      <c r="H140" s="2272"/>
      <c r="I140" s="2272"/>
      <c r="J140" s="2272"/>
      <c r="K140" s="2272"/>
      <c r="L140" s="2272"/>
      <c r="M140" s="2272"/>
      <c r="N140" s="2272"/>
      <c r="O140" s="2272"/>
      <c r="P140" s="2272"/>
      <c r="Q140" s="2272"/>
    </row>
    <row r="141" spans="2:17" s="751" customFormat="1">
      <c r="B141" s="2272"/>
      <c r="C141" s="2272"/>
      <c r="D141" s="2272"/>
      <c r="E141" s="2272"/>
      <c r="F141" s="2272"/>
      <c r="G141" s="2272"/>
      <c r="H141" s="2272"/>
      <c r="I141" s="2272"/>
      <c r="J141" s="2272"/>
      <c r="K141" s="2272"/>
      <c r="L141" s="2272"/>
      <c r="M141" s="2272"/>
      <c r="N141" s="2272"/>
      <c r="O141" s="2272"/>
      <c r="P141" s="2272"/>
      <c r="Q141" s="2272"/>
    </row>
    <row r="142" spans="2:17" s="751" customFormat="1">
      <c r="B142" s="2272"/>
      <c r="C142" s="2272"/>
      <c r="D142" s="2272"/>
      <c r="E142" s="2272"/>
      <c r="F142" s="2272"/>
      <c r="G142" s="2272"/>
      <c r="H142" s="2272"/>
      <c r="I142" s="2272"/>
      <c r="J142" s="2272"/>
      <c r="K142" s="2272"/>
      <c r="L142" s="2272"/>
      <c r="M142" s="2272"/>
      <c r="N142" s="2272"/>
      <c r="O142" s="2272"/>
      <c r="P142" s="2272"/>
      <c r="Q142" s="2272"/>
    </row>
    <row r="143" spans="2:17" s="751" customFormat="1">
      <c r="B143" s="2272"/>
      <c r="C143" s="2272"/>
      <c r="D143" s="2272"/>
      <c r="E143" s="2272"/>
      <c r="F143" s="2272"/>
      <c r="G143" s="2272"/>
      <c r="H143" s="2272"/>
      <c r="I143" s="2272"/>
      <c r="J143" s="2272"/>
      <c r="K143" s="2272"/>
      <c r="L143" s="2272"/>
      <c r="M143" s="2272"/>
      <c r="N143" s="2272"/>
      <c r="O143" s="2272"/>
      <c r="P143" s="2272"/>
      <c r="Q143" s="2272"/>
    </row>
    <row r="144" spans="2:17" s="751" customFormat="1">
      <c r="B144" s="2272"/>
      <c r="C144" s="2272"/>
      <c r="D144" s="2272"/>
      <c r="E144" s="2272"/>
      <c r="F144" s="2272"/>
      <c r="G144" s="2272"/>
      <c r="H144" s="2272"/>
      <c r="I144" s="2272"/>
      <c r="J144" s="2272"/>
      <c r="K144" s="2272"/>
      <c r="L144" s="2272"/>
      <c r="M144" s="2272"/>
      <c r="N144" s="2272"/>
      <c r="O144" s="2272"/>
      <c r="P144" s="2272"/>
      <c r="Q144" s="2272"/>
    </row>
    <row r="145" spans="2:17" s="751" customFormat="1">
      <c r="B145" s="2272"/>
      <c r="C145" s="2272"/>
      <c r="D145" s="2272"/>
      <c r="E145" s="2272"/>
      <c r="F145" s="2272"/>
      <c r="G145" s="2272"/>
      <c r="H145" s="2272"/>
      <c r="I145" s="2272"/>
      <c r="J145" s="2272"/>
      <c r="K145" s="2272"/>
      <c r="L145" s="2272"/>
      <c r="M145" s="2272"/>
      <c r="N145" s="2272"/>
      <c r="O145" s="2272"/>
      <c r="P145" s="2272"/>
      <c r="Q145" s="2272"/>
    </row>
    <row r="146" spans="2:17" s="751" customFormat="1">
      <c r="B146" s="2272"/>
      <c r="C146" s="2272"/>
      <c r="D146" s="2272"/>
      <c r="E146" s="2272"/>
      <c r="F146" s="2272"/>
      <c r="G146" s="2272"/>
      <c r="H146" s="2272"/>
      <c r="I146" s="2272"/>
      <c r="J146" s="2272"/>
      <c r="K146" s="2272"/>
      <c r="L146" s="2272"/>
      <c r="M146" s="2272"/>
      <c r="N146" s="2272"/>
      <c r="O146" s="2272"/>
      <c r="P146" s="2272"/>
      <c r="Q146" s="2272"/>
    </row>
    <row r="147" spans="2:17" s="751" customFormat="1">
      <c r="B147" s="2272"/>
      <c r="C147" s="2272"/>
      <c r="D147" s="2272"/>
      <c r="E147" s="2272"/>
      <c r="F147" s="2272"/>
      <c r="G147" s="2272"/>
      <c r="H147" s="2272"/>
      <c r="I147" s="2272"/>
      <c r="J147" s="2272"/>
      <c r="K147" s="2272"/>
      <c r="L147" s="2272"/>
      <c r="M147" s="2272"/>
      <c r="N147" s="2272"/>
      <c r="O147" s="2272"/>
      <c r="P147" s="2272"/>
      <c r="Q147" s="2272"/>
    </row>
    <row r="148" spans="2:17" s="751" customFormat="1">
      <c r="B148" s="2272"/>
      <c r="C148" s="2272"/>
      <c r="D148" s="2272"/>
      <c r="E148" s="2272"/>
      <c r="F148" s="2272"/>
      <c r="G148" s="2272"/>
      <c r="H148" s="2272"/>
      <c r="I148" s="2272"/>
      <c r="J148" s="2272"/>
      <c r="K148" s="2272"/>
      <c r="L148" s="2272"/>
      <c r="M148" s="2272"/>
      <c r="N148" s="2272"/>
      <c r="O148" s="2272"/>
      <c r="P148" s="2272"/>
      <c r="Q148" s="2272"/>
    </row>
    <row r="149" spans="2:17" s="751" customFormat="1">
      <c r="B149" s="2272"/>
      <c r="C149" s="2272"/>
      <c r="D149" s="2272"/>
      <c r="E149" s="2272"/>
      <c r="F149" s="2272"/>
      <c r="G149" s="2272"/>
      <c r="H149" s="2272"/>
      <c r="I149" s="2272"/>
      <c r="J149" s="2272"/>
      <c r="K149" s="2272"/>
      <c r="L149" s="2272"/>
      <c r="M149" s="2272"/>
      <c r="N149" s="2272"/>
      <c r="O149" s="2272"/>
      <c r="P149" s="2272"/>
      <c r="Q149" s="2272"/>
    </row>
    <row r="150" spans="2:17" s="751" customFormat="1">
      <c r="B150" s="2272"/>
      <c r="C150" s="2272"/>
      <c r="D150" s="2272"/>
      <c r="E150" s="2272"/>
      <c r="F150" s="2272"/>
      <c r="G150" s="2272"/>
      <c r="H150" s="2272"/>
      <c r="I150" s="2272"/>
      <c r="J150" s="2272"/>
      <c r="K150" s="2272"/>
      <c r="L150" s="2272"/>
      <c r="M150" s="2272"/>
      <c r="N150" s="2272"/>
      <c r="O150" s="2272"/>
      <c r="P150" s="2272"/>
      <c r="Q150" s="2272"/>
    </row>
    <row r="151" spans="2:17" s="751" customFormat="1">
      <c r="B151" s="2272"/>
      <c r="C151" s="2272"/>
      <c r="D151" s="2272"/>
      <c r="E151" s="2272"/>
      <c r="F151" s="2272"/>
      <c r="G151" s="2272"/>
      <c r="H151" s="2272"/>
      <c r="I151" s="2272"/>
      <c r="J151" s="2272"/>
      <c r="K151" s="2272"/>
      <c r="L151" s="2272"/>
      <c r="M151" s="2272"/>
      <c r="N151" s="2272"/>
      <c r="O151" s="2272"/>
      <c r="P151" s="2272"/>
      <c r="Q151" s="2272"/>
    </row>
    <row r="152" spans="2:17" s="751" customFormat="1">
      <c r="B152" s="2272"/>
      <c r="C152" s="2272"/>
      <c r="D152" s="2272"/>
      <c r="E152" s="2272"/>
      <c r="F152" s="2272"/>
      <c r="G152" s="2272"/>
      <c r="H152" s="2272"/>
      <c r="I152" s="2272"/>
      <c r="J152" s="2272"/>
      <c r="K152" s="2272"/>
      <c r="L152" s="2272"/>
      <c r="M152" s="2272"/>
      <c r="N152" s="2272"/>
      <c r="O152" s="2272"/>
      <c r="P152" s="2272"/>
      <c r="Q152" s="2272"/>
    </row>
    <row r="153" spans="2:17" s="751" customFormat="1">
      <c r="B153" s="2272"/>
      <c r="C153" s="2272"/>
      <c r="D153" s="2272"/>
      <c r="E153" s="2272"/>
      <c r="F153" s="2272"/>
      <c r="G153" s="2272"/>
      <c r="H153" s="2272"/>
      <c r="I153" s="2272"/>
      <c r="J153" s="2272"/>
      <c r="K153" s="2272"/>
      <c r="L153" s="2272"/>
      <c r="M153" s="2272"/>
      <c r="N153" s="2272"/>
      <c r="O153" s="2272"/>
      <c r="P153" s="2272"/>
      <c r="Q153" s="2272"/>
    </row>
    <row r="154" spans="2:17" s="751" customFormat="1">
      <c r="B154" s="2272"/>
      <c r="C154" s="2272"/>
      <c r="D154" s="2272"/>
      <c r="E154" s="2272"/>
      <c r="F154" s="2272"/>
      <c r="G154" s="2272"/>
      <c r="H154" s="2272"/>
      <c r="I154" s="2272"/>
      <c r="J154" s="2272"/>
      <c r="K154" s="2272"/>
      <c r="L154" s="2272"/>
      <c r="M154" s="2272"/>
      <c r="N154" s="2272"/>
      <c r="O154" s="2272"/>
      <c r="P154" s="2272"/>
      <c r="Q154" s="2272"/>
    </row>
    <row r="155" spans="2:17" s="751" customFormat="1">
      <c r="B155" s="2272"/>
      <c r="C155" s="2272"/>
      <c r="D155" s="2272"/>
      <c r="E155" s="2272"/>
      <c r="F155" s="2272"/>
      <c r="G155" s="2272"/>
      <c r="H155" s="2272"/>
      <c r="I155" s="2272"/>
      <c r="J155" s="2272"/>
      <c r="K155" s="2272"/>
      <c r="L155" s="2272"/>
      <c r="M155" s="2272"/>
      <c r="N155" s="2272"/>
      <c r="O155" s="2272"/>
      <c r="P155" s="2272"/>
      <c r="Q155" s="2272"/>
    </row>
    <row r="156" spans="2:17" s="751" customFormat="1">
      <c r="B156" s="2272"/>
      <c r="C156" s="2272"/>
      <c r="D156" s="2272"/>
      <c r="E156" s="2272"/>
      <c r="F156" s="2272"/>
      <c r="G156" s="2272"/>
      <c r="H156" s="2272"/>
      <c r="I156" s="2272"/>
      <c r="J156" s="2272"/>
      <c r="K156" s="2272"/>
      <c r="L156" s="2272"/>
      <c r="M156" s="2272"/>
      <c r="N156" s="2272"/>
      <c r="O156" s="2272"/>
      <c r="P156" s="2272"/>
      <c r="Q156" s="2272"/>
    </row>
    <row r="157" spans="2:17" s="751" customFormat="1">
      <c r="B157" s="2272"/>
      <c r="C157" s="2272"/>
      <c r="D157" s="2272"/>
      <c r="E157" s="2272"/>
      <c r="F157" s="2272"/>
      <c r="G157" s="2272"/>
      <c r="H157" s="2272"/>
      <c r="I157" s="2272"/>
      <c r="J157" s="2272"/>
      <c r="K157" s="2272"/>
      <c r="L157" s="2272"/>
      <c r="M157" s="2272"/>
      <c r="N157" s="2272"/>
      <c r="O157" s="2272"/>
      <c r="P157" s="2272"/>
      <c r="Q157" s="2272"/>
    </row>
    <row r="158" spans="2:17" s="751" customFormat="1">
      <c r="B158" s="2272"/>
      <c r="C158" s="2272"/>
      <c r="D158" s="2272"/>
      <c r="E158" s="2272"/>
      <c r="F158" s="2272"/>
      <c r="G158" s="2272"/>
      <c r="H158" s="2272"/>
      <c r="I158" s="2272"/>
      <c r="J158" s="2272"/>
      <c r="K158" s="2272"/>
      <c r="L158" s="2272"/>
      <c r="M158" s="2272"/>
      <c r="N158" s="2272"/>
      <c r="O158" s="2272"/>
      <c r="P158" s="2272"/>
      <c r="Q158" s="2272"/>
    </row>
    <row r="159" spans="2:17" s="751" customFormat="1">
      <c r="B159" s="2272"/>
      <c r="C159" s="2272"/>
      <c r="D159" s="2272"/>
      <c r="E159" s="2272"/>
      <c r="F159" s="2272"/>
      <c r="G159" s="2272"/>
      <c r="H159" s="2272"/>
      <c r="I159" s="2272"/>
      <c r="J159" s="2272"/>
      <c r="K159" s="2272"/>
      <c r="L159" s="2272"/>
      <c r="M159" s="2272"/>
      <c r="N159" s="2272"/>
      <c r="O159" s="2272"/>
      <c r="P159" s="2272"/>
      <c r="Q159" s="2272"/>
    </row>
    <row r="160" spans="2:17" s="751" customFormat="1">
      <c r="B160" s="2272"/>
      <c r="C160" s="2272"/>
      <c r="D160" s="2272"/>
      <c r="E160" s="2272"/>
      <c r="F160" s="2272"/>
      <c r="G160" s="2272"/>
      <c r="H160" s="2272"/>
      <c r="I160" s="2272"/>
      <c r="J160" s="2272"/>
      <c r="K160" s="2272"/>
      <c r="L160" s="2272"/>
      <c r="M160" s="2272"/>
      <c r="N160" s="2272"/>
      <c r="O160" s="2272"/>
      <c r="P160" s="2272"/>
      <c r="Q160" s="2272"/>
    </row>
    <row r="161" spans="2:17" s="751" customFormat="1">
      <c r="B161" s="2272"/>
      <c r="C161" s="2272"/>
      <c r="D161" s="2272"/>
      <c r="E161" s="2272"/>
      <c r="F161" s="2272"/>
      <c r="G161" s="2272"/>
      <c r="H161" s="2272"/>
      <c r="I161" s="2272"/>
      <c r="J161" s="2272"/>
      <c r="K161" s="2272"/>
      <c r="L161" s="2272"/>
      <c r="M161" s="2272"/>
      <c r="N161" s="2272"/>
      <c r="O161" s="2272"/>
      <c r="P161" s="2272"/>
      <c r="Q161" s="2272"/>
    </row>
    <row r="162" spans="2:17" s="751" customFormat="1">
      <c r="B162" s="2272"/>
      <c r="C162" s="2272"/>
      <c r="D162" s="2272"/>
      <c r="E162" s="2272"/>
      <c r="F162" s="2272"/>
      <c r="G162" s="2272"/>
      <c r="H162" s="2272"/>
      <c r="I162" s="2272"/>
      <c r="J162" s="2272"/>
      <c r="K162" s="2272"/>
      <c r="L162" s="2272"/>
      <c r="M162" s="2272"/>
      <c r="N162" s="2272"/>
      <c r="O162" s="2272"/>
      <c r="P162" s="2272"/>
      <c r="Q162" s="2272"/>
    </row>
    <row r="163" spans="2:17" s="751" customFormat="1">
      <c r="B163" s="2272"/>
      <c r="C163" s="2272"/>
      <c r="D163" s="2272"/>
      <c r="E163" s="2272"/>
      <c r="F163" s="2272"/>
      <c r="G163" s="2272"/>
      <c r="H163" s="2272"/>
      <c r="I163" s="2272"/>
      <c r="J163" s="2272"/>
      <c r="K163" s="2272"/>
      <c r="L163" s="2272"/>
      <c r="M163" s="2272"/>
      <c r="N163" s="2272"/>
      <c r="O163" s="2272"/>
      <c r="P163" s="2272"/>
      <c r="Q163" s="2272"/>
    </row>
    <row r="164" spans="2:17" s="751" customFormat="1">
      <c r="B164" s="2272"/>
      <c r="C164" s="2272"/>
      <c r="D164" s="2272"/>
      <c r="E164" s="2272"/>
      <c r="F164" s="2272"/>
      <c r="G164" s="2272"/>
      <c r="H164" s="2272"/>
      <c r="I164" s="2272"/>
      <c r="J164" s="2272"/>
      <c r="K164" s="2272"/>
      <c r="L164" s="2272"/>
      <c r="M164" s="2272"/>
      <c r="N164" s="2272"/>
      <c r="O164" s="2272"/>
      <c r="P164" s="2272"/>
      <c r="Q164" s="2272"/>
    </row>
    <row r="165" spans="2:17" s="751" customFormat="1">
      <c r="B165" s="2272"/>
      <c r="C165" s="2272"/>
      <c r="D165" s="2272"/>
      <c r="E165" s="2272"/>
      <c r="F165" s="2272"/>
      <c r="G165" s="2272"/>
      <c r="H165" s="2272"/>
      <c r="I165" s="2272"/>
      <c r="J165" s="2272"/>
      <c r="K165" s="2272"/>
      <c r="L165" s="2272"/>
      <c r="M165" s="2272"/>
      <c r="N165" s="2272"/>
      <c r="O165" s="2272"/>
      <c r="P165" s="2272"/>
      <c r="Q165" s="2272"/>
    </row>
    <row r="166" spans="2:17" s="751" customFormat="1">
      <c r="B166" s="2272"/>
      <c r="C166" s="2272"/>
      <c r="D166" s="2272"/>
      <c r="E166" s="2272"/>
      <c r="F166" s="2272"/>
      <c r="G166" s="2272"/>
      <c r="H166" s="2272"/>
      <c r="I166" s="2272"/>
      <c r="J166" s="2272"/>
      <c r="K166" s="2272"/>
      <c r="L166" s="2272"/>
      <c r="M166" s="2272"/>
      <c r="N166" s="2272"/>
      <c r="O166" s="2272"/>
      <c r="P166" s="2272"/>
      <c r="Q166" s="2272"/>
    </row>
    <row r="167" spans="2:17" s="751" customFormat="1">
      <c r="B167" s="2272"/>
      <c r="C167" s="2272"/>
      <c r="D167" s="2272"/>
      <c r="E167" s="2272"/>
      <c r="F167" s="2272"/>
      <c r="G167" s="2272"/>
      <c r="H167" s="2272"/>
      <c r="I167" s="2272"/>
      <c r="J167" s="2272"/>
      <c r="K167" s="2272"/>
      <c r="L167" s="2272"/>
      <c r="M167" s="2272"/>
      <c r="N167" s="2272"/>
      <c r="O167" s="2272"/>
      <c r="P167" s="2272"/>
      <c r="Q167" s="2272"/>
    </row>
    <row r="168" spans="2:17" s="751" customFormat="1">
      <c r="B168" s="2272"/>
      <c r="C168" s="2272"/>
      <c r="D168" s="2272"/>
      <c r="E168" s="2272"/>
      <c r="F168" s="2272"/>
      <c r="G168" s="2272"/>
      <c r="H168" s="2272"/>
      <c r="I168" s="2272"/>
      <c r="J168" s="2272"/>
      <c r="K168" s="2272"/>
      <c r="L168" s="2272"/>
      <c r="M168" s="2272"/>
      <c r="N168" s="2272"/>
      <c r="O168" s="2272"/>
      <c r="P168" s="2272"/>
      <c r="Q168" s="2272"/>
    </row>
    <row r="169" spans="2:17" s="751" customFormat="1">
      <c r="B169" s="2272"/>
      <c r="C169" s="2272"/>
      <c r="D169" s="2272"/>
      <c r="E169" s="2272"/>
      <c r="F169" s="2272"/>
      <c r="G169" s="2272"/>
      <c r="H169" s="2272"/>
      <c r="I169" s="2272"/>
      <c r="J169" s="2272"/>
      <c r="K169" s="2272"/>
      <c r="L169" s="2272"/>
      <c r="M169" s="2272"/>
      <c r="N169" s="2272"/>
      <c r="O169" s="2272"/>
      <c r="P169" s="2272"/>
      <c r="Q169" s="2272"/>
    </row>
    <row r="170" spans="2:17" s="751" customFormat="1">
      <c r="B170" s="2272"/>
      <c r="C170" s="2272"/>
      <c r="D170" s="2272"/>
      <c r="E170" s="2272"/>
      <c r="F170" s="2272"/>
      <c r="G170" s="2272"/>
      <c r="H170" s="2272"/>
      <c r="I170" s="2272"/>
      <c r="J170" s="2272"/>
      <c r="K170" s="2272"/>
      <c r="L170" s="2272"/>
      <c r="M170" s="2272"/>
      <c r="N170" s="2272"/>
      <c r="O170" s="2272"/>
      <c r="P170" s="2272"/>
      <c r="Q170" s="2272"/>
    </row>
    <row r="171" spans="2:17" s="751" customFormat="1">
      <c r="B171" s="2272"/>
      <c r="C171" s="2272"/>
      <c r="D171" s="2272"/>
      <c r="E171" s="2272"/>
      <c r="F171" s="2272"/>
      <c r="G171" s="2272"/>
      <c r="H171" s="2272"/>
      <c r="I171" s="2272"/>
      <c r="J171" s="2272"/>
      <c r="K171" s="2272"/>
      <c r="L171" s="2272"/>
      <c r="M171" s="2272"/>
      <c r="N171" s="2272"/>
      <c r="O171" s="2272"/>
      <c r="P171" s="2272"/>
      <c r="Q171" s="2272"/>
    </row>
    <row r="172" spans="2:17" s="751" customFormat="1">
      <c r="B172" s="2272"/>
      <c r="C172" s="2272"/>
      <c r="D172" s="2272"/>
      <c r="E172" s="2272"/>
      <c r="F172" s="2272"/>
      <c r="G172" s="2272"/>
      <c r="H172" s="2272"/>
      <c r="I172" s="2272"/>
      <c r="J172" s="2272"/>
      <c r="K172" s="2272"/>
      <c r="L172" s="2272"/>
      <c r="M172" s="2272"/>
      <c r="N172" s="2272"/>
      <c r="O172" s="2272"/>
      <c r="P172" s="2272"/>
      <c r="Q172" s="2272"/>
    </row>
    <row r="173" spans="2:17" s="751" customFormat="1">
      <c r="B173" s="2272"/>
      <c r="C173" s="2272"/>
      <c r="D173" s="2272"/>
      <c r="E173" s="2272"/>
      <c r="F173" s="2272"/>
      <c r="G173" s="2272"/>
      <c r="H173" s="2272"/>
      <c r="I173" s="2272"/>
      <c r="J173" s="2272"/>
      <c r="K173" s="2272"/>
      <c r="L173" s="2272"/>
      <c r="M173" s="2272"/>
      <c r="N173" s="2272"/>
      <c r="O173" s="2272"/>
      <c r="P173" s="2272"/>
      <c r="Q173" s="2272"/>
    </row>
    <row r="174" spans="2:17" s="751" customFormat="1">
      <c r="B174" s="2272"/>
      <c r="C174" s="2272"/>
      <c r="D174" s="2272"/>
      <c r="E174" s="2272"/>
      <c r="F174" s="2272"/>
      <c r="G174" s="2272"/>
      <c r="H174" s="2272"/>
      <c r="I174" s="2272"/>
      <c r="J174" s="2272"/>
      <c r="K174" s="2272"/>
      <c r="L174" s="2272"/>
      <c r="M174" s="2272"/>
      <c r="N174" s="2272"/>
      <c r="O174" s="2272"/>
      <c r="P174" s="2272"/>
      <c r="Q174" s="2272"/>
    </row>
    <row r="175" spans="2:17" s="751" customFormat="1">
      <c r="B175" s="2272"/>
      <c r="C175" s="2272"/>
      <c r="D175" s="2272"/>
      <c r="E175" s="2272"/>
      <c r="F175" s="2272"/>
      <c r="G175" s="2272"/>
      <c r="H175" s="2272"/>
      <c r="I175" s="2272"/>
      <c r="J175" s="2272"/>
      <c r="K175" s="2272"/>
      <c r="L175" s="2272"/>
      <c r="M175" s="2272"/>
      <c r="N175" s="2272"/>
      <c r="O175" s="2272"/>
      <c r="P175" s="2272"/>
      <c r="Q175" s="2272"/>
    </row>
    <row r="176" spans="2:17" s="751" customFormat="1">
      <c r="B176" s="2272"/>
      <c r="C176" s="2272"/>
      <c r="D176" s="2272"/>
      <c r="E176" s="2272"/>
      <c r="F176" s="2272"/>
      <c r="G176" s="2272"/>
      <c r="H176" s="2272"/>
      <c r="I176" s="2272"/>
      <c r="J176" s="2272"/>
      <c r="K176" s="2272"/>
      <c r="L176" s="2272"/>
      <c r="M176" s="2272"/>
      <c r="N176" s="2272"/>
      <c r="O176" s="2272"/>
      <c r="P176" s="2272"/>
      <c r="Q176" s="2272"/>
    </row>
    <row r="177" spans="1:17" s="751" customFormat="1">
      <c r="B177" s="2272"/>
      <c r="C177" s="2272"/>
      <c r="D177" s="2272"/>
      <c r="E177" s="2272"/>
      <c r="F177" s="2272"/>
      <c r="G177" s="2272"/>
      <c r="H177" s="2272"/>
      <c r="I177" s="2272"/>
      <c r="J177" s="2272"/>
      <c r="K177" s="2272"/>
      <c r="L177" s="2272"/>
      <c r="M177" s="2272"/>
      <c r="N177" s="2272"/>
      <c r="O177" s="2272"/>
      <c r="P177" s="2272"/>
      <c r="Q177" s="2272"/>
    </row>
    <row r="178" spans="1:17" s="751" customFormat="1">
      <c r="B178" s="2272"/>
      <c r="C178" s="2272"/>
      <c r="D178" s="2272"/>
      <c r="E178" s="2272"/>
      <c r="F178" s="2272"/>
      <c r="G178" s="2272"/>
      <c r="H178" s="2272"/>
      <c r="I178" s="2272"/>
      <c r="J178" s="2272"/>
      <c r="K178" s="2272"/>
      <c r="L178" s="2272"/>
      <c r="M178" s="2272"/>
      <c r="N178" s="2272"/>
      <c r="O178" s="2272"/>
      <c r="P178" s="2272"/>
      <c r="Q178" s="2272"/>
    </row>
    <row r="179" spans="1:17" s="751" customFormat="1">
      <c r="B179" s="2272"/>
      <c r="C179" s="2272"/>
      <c r="D179" s="2272"/>
      <c r="E179" s="2272"/>
      <c r="F179" s="2272"/>
      <c r="G179" s="2272"/>
      <c r="H179" s="2272"/>
      <c r="I179" s="2272"/>
      <c r="J179" s="2272"/>
      <c r="K179" s="2272"/>
      <c r="L179" s="2272"/>
      <c r="M179" s="2272"/>
      <c r="N179" s="2272"/>
      <c r="O179" s="2272"/>
      <c r="P179" s="2272"/>
      <c r="Q179" s="2272"/>
    </row>
    <row r="180" spans="1:17" s="751" customFormat="1">
      <c r="B180" s="2272"/>
      <c r="C180" s="2272"/>
      <c r="D180" s="2272"/>
      <c r="E180" s="2272"/>
      <c r="F180" s="2272"/>
      <c r="G180" s="2272"/>
      <c r="H180" s="2272"/>
      <c r="I180" s="2272"/>
      <c r="J180" s="2272"/>
      <c r="K180" s="2272"/>
      <c r="L180" s="2272"/>
      <c r="M180" s="2272"/>
      <c r="N180" s="2272"/>
      <c r="O180" s="2272"/>
      <c r="P180" s="2272"/>
      <c r="Q180" s="2272"/>
    </row>
    <row r="181" spans="1:17" s="751" customFormat="1">
      <c r="B181" s="2272"/>
      <c r="C181" s="2272"/>
      <c r="D181" s="2272"/>
      <c r="E181" s="2272"/>
      <c r="F181" s="2272"/>
      <c r="G181" s="2272"/>
      <c r="H181" s="2272"/>
      <c r="I181" s="2272"/>
      <c r="J181" s="2272"/>
      <c r="K181" s="2272"/>
      <c r="L181" s="2272"/>
      <c r="M181" s="2272"/>
      <c r="N181" s="2272"/>
      <c r="O181" s="2272"/>
      <c r="P181" s="2272"/>
      <c r="Q181" s="2272"/>
    </row>
    <row r="182" spans="1:17" s="751" customFormat="1">
      <c r="B182" s="2272"/>
      <c r="C182" s="2272"/>
      <c r="D182" s="2272"/>
      <c r="E182" s="2272"/>
      <c r="F182" s="2272"/>
      <c r="G182" s="2272"/>
      <c r="H182" s="2272"/>
      <c r="I182" s="2272"/>
      <c r="J182" s="2272"/>
      <c r="K182" s="2272"/>
      <c r="L182" s="2272"/>
      <c r="M182" s="2272"/>
      <c r="N182" s="2272"/>
      <c r="O182" s="2272"/>
      <c r="P182" s="2272"/>
      <c r="Q182" s="2272"/>
    </row>
    <row r="183" spans="1:17" s="751" customFormat="1">
      <c r="B183" s="2272"/>
      <c r="C183" s="2272"/>
      <c r="D183" s="2272"/>
      <c r="E183" s="2272"/>
      <c r="F183" s="2272"/>
      <c r="G183" s="2272"/>
      <c r="H183" s="2272"/>
      <c r="I183" s="2272"/>
      <c r="J183" s="2272"/>
      <c r="K183" s="2272"/>
      <c r="L183" s="2272"/>
      <c r="M183" s="2272"/>
      <c r="N183" s="2272"/>
      <c r="O183" s="2272"/>
      <c r="P183" s="2272"/>
      <c r="Q183" s="2272"/>
    </row>
    <row r="184" spans="1:17" s="751" customFormat="1">
      <c r="B184" s="2272"/>
      <c r="C184" s="2272"/>
      <c r="D184" s="2272"/>
      <c r="E184" s="2272"/>
      <c r="F184" s="2272"/>
      <c r="G184" s="2272"/>
      <c r="H184" s="2272"/>
      <c r="I184" s="2272"/>
      <c r="J184" s="2272"/>
      <c r="K184" s="2272"/>
      <c r="L184" s="2272"/>
      <c r="M184" s="2272"/>
      <c r="N184" s="2272"/>
      <c r="O184" s="2272"/>
      <c r="P184" s="2272"/>
      <c r="Q184" s="2272"/>
    </row>
    <row r="185" spans="1:17" s="751" customFormat="1">
      <c r="B185" s="2272"/>
      <c r="C185" s="2272"/>
      <c r="D185" s="2272"/>
      <c r="E185" s="2272"/>
      <c r="F185" s="2272"/>
      <c r="G185" s="2272"/>
      <c r="H185" s="2272"/>
      <c r="I185" s="2272"/>
      <c r="J185" s="2272"/>
      <c r="K185" s="2272"/>
      <c r="L185" s="2272"/>
      <c r="M185" s="2272"/>
      <c r="N185" s="2272"/>
      <c r="O185" s="2272"/>
      <c r="P185" s="2272"/>
      <c r="Q185" s="2272"/>
    </row>
    <row r="186" spans="1:17">
      <c r="A186" s="751"/>
      <c r="B186" s="2272"/>
      <c r="C186" s="2272"/>
      <c r="E186" s="2272"/>
      <c r="F186" s="2272"/>
      <c r="G186" s="2272"/>
    </row>
    <row r="187" spans="1:17">
      <c r="A187" s="751"/>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204.54</v>
      </c>
      <c r="C1" s="2457"/>
      <c r="D1" s="2457"/>
      <c r="E1" s="2457"/>
      <c r="F1" s="2457"/>
      <c r="G1" s="2458"/>
      <c r="H1" s="2458"/>
      <c r="I1" s="2458"/>
      <c r="J1" s="2458"/>
      <c r="K1" s="2458"/>
    </row>
    <row r="2" spans="1:11" ht="16.5">
      <c r="A2" s="2295" t="s">
        <v>653</v>
      </c>
      <c r="B2" s="2295">
        <f>SUM(C14:C23)</f>
        <v>0</v>
      </c>
      <c r="C2" s="2457"/>
      <c r="D2" s="2457"/>
      <c r="E2" s="2457"/>
      <c r="F2" s="2457"/>
      <c r="G2" s="2458"/>
      <c r="H2" s="2458"/>
      <c r="I2" s="2458"/>
      <c r="J2" s="2458"/>
      <c r="K2" s="2458"/>
    </row>
    <row r="3" spans="1:11" ht="16.5">
      <c r="A3" s="2295" t="s">
        <v>662</v>
      </c>
      <c r="B3" s="2297">
        <f>项目基本情况!D3</f>
        <v>38867</v>
      </c>
      <c r="C3" s="2457"/>
      <c r="D3" s="2457"/>
      <c r="E3" s="2457"/>
      <c r="F3" s="2457"/>
      <c r="G3" s="2458"/>
      <c r="H3" s="2458"/>
      <c r="I3" s="2458"/>
      <c r="J3" s="2458"/>
      <c r="K3" s="2458"/>
    </row>
    <row r="4" spans="1:11" ht="33">
      <c r="A4" s="2295" t="s">
        <v>661</v>
      </c>
      <c r="B4" s="2295" t="s">
        <v>660</v>
      </c>
      <c r="C4" s="2295" t="s">
        <v>659</v>
      </c>
      <c r="D4" s="2295" t="s">
        <v>658</v>
      </c>
      <c r="E4" s="2457"/>
      <c r="F4" s="2458"/>
      <c r="G4" s="2458"/>
      <c r="H4" s="2458"/>
      <c r="I4" s="2458"/>
      <c r="J4" s="2458"/>
      <c r="K4" s="2458"/>
    </row>
    <row r="5" spans="1:11" ht="16.5">
      <c r="A5" s="2295" t="s">
        <v>657</v>
      </c>
      <c r="B5" s="2295">
        <f ca="1">SUM(D14:D23)</f>
        <v>189.46539999999999</v>
      </c>
      <c r="C5" s="2295" t="e">
        <f ca="1">IF(B5=D14,结果表!H102,ROUND(B5*10000/$B$1,0))</f>
        <v>#DIV/0!</v>
      </c>
      <c r="D5" s="2295" t="e">
        <f ca="1">ROUND(B5*10000/$B$2,0)</f>
        <v>#DIV/0!</v>
      </c>
      <c r="E5" s="2457"/>
      <c r="F5" s="2458"/>
      <c r="G5" s="2458"/>
      <c r="H5" s="2458"/>
      <c r="I5" s="2458"/>
      <c r="J5" s="2458"/>
      <c r="K5" s="2458"/>
    </row>
    <row r="6" spans="1:11" ht="16.5">
      <c r="A6" s="2295" t="s">
        <v>656</v>
      </c>
      <c r="B6" s="2295">
        <f>SUM(G14:G23)</f>
        <v>0</v>
      </c>
      <c r="C6" s="2295">
        <f ca="1">IF(B6=G14,结果表!H108,ROUND(B6*10000/$B$1,0))</f>
        <v>0</v>
      </c>
      <c r="D6" s="2295" t="e">
        <f>ROUND(B6*10000/$B$2,0)</f>
        <v>#DIV/0!</v>
      </c>
      <c r="E6" s="2457"/>
      <c r="F6" s="2458"/>
      <c r="G6" s="2458"/>
      <c r="H6" s="2458"/>
      <c r="I6" s="2458"/>
      <c r="J6" s="2458"/>
      <c r="K6" s="2458"/>
    </row>
    <row r="7" spans="1:11" ht="16.5">
      <c r="A7" s="2295" t="s">
        <v>664</v>
      </c>
      <c r="B7" s="2295">
        <f>SUM(H14:H23)</f>
        <v>0</v>
      </c>
      <c r="C7" s="2295" t="str">
        <f>IF(B7=H14,结果表!H110,ROUND(B7*10000/$B$1,0))</f>
        <v>——</v>
      </c>
      <c r="D7" s="2295" t="e">
        <f>ROUND(B7*10000/$B$2,0)</f>
        <v>#DIV/0!</v>
      </c>
      <c r="E7" s="2457"/>
      <c r="F7" s="2458"/>
      <c r="G7" s="2458"/>
      <c r="H7" s="2458"/>
      <c r="I7" s="2458"/>
      <c r="J7" s="2458"/>
      <c r="K7" s="2458"/>
    </row>
    <row r="8" spans="1:11" ht="16.5">
      <c r="A8" s="2295" t="s">
        <v>587</v>
      </c>
      <c r="B8" s="2295">
        <f>SUM(I14:I23)</f>
        <v>0</v>
      </c>
      <c r="C8" s="2295" t="str">
        <f>IF(B8=I14,结果表!H112,ROUND(B8*10000/$B$1,0))</f>
        <v>——</v>
      </c>
      <c r="D8" s="2295" t="e">
        <f>ROUND(B8*10000/$B$2,0)</f>
        <v>#DIV/0!</v>
      </c>
      <c r="E8" s="2457"/>
      <c r="F8" s="2458"/>
      <c r="G8" s="2458"/>
      <c r="H8" s="2458"/>
      <c r="I8" s="2458"/>
      <c r="J8" s="2458"/>
      <c r="K8" s="2458"/>
    </row>
    <row r="9" spans="1:11" ht="16.5">
      <c r="A9" s="2295" t="s">
        <v>655</v>
      </c>
      <c r="B9" s="1243"/>
      <c r="C9" s="2457"/>
      <c r="D9" s="2457"/>
      <c r="E9" s="2457"/>
      <c r="F9" s="2458"/>
      <c r="G9" s="2458"/>
      <c r="H9" s="2458"/>
      <c r="I9" s="2458"/>
      <c r="J9" s="2458"/>
      <c r="K9" s="2458"/>
    </row>
    <row r="10" spans="1:11" ht="16.5">
      <c r="A10" s="2295" t="s">
        <v>654</v>
      </c>
      <c r="B10" s="2295">
        <f>IF(E10="",0,ROUND(B1*(E10*365/G10)/10000,0))</f>
        <v>0</v>
      </c>
      <c r="C10" s="2295" t="s">
        <v>3356</v>
      </c>
      <c r="D10" s="2295" t="s">
        <v>3357</v>
      </c>
      <c r="E10" s="3132"/>
      <c r="F10" s="3136" t="s">
        <v>3358</v>
      </c>
      <c r="G10" s="3133"/>
      <c r="H10" s="2458"/>
      <c r="I10" s="2458"/>
      <c r="J10" s="2458"/>
      <c r="K10" s="2458"/>
    </row>
    <row r="11" spans="1:11" ht="16.5">
      <c r="A11" s="2295" t="s">
        <v>670</v>
      </c>
      <c r="B11" s="1243"/>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669</v>
      </c>
      <c r="B13" s="2299" t="s">
        <v>666</v>
      </c>
      <c r="C13" s="2299" t="s">
        <v>668</v>
      </c>
      <c r="D13" s="2299" t="s">
        <v>667</v>
      </c>
      <c r="E13" s="2295" t="s">
        <v>659</v>
      </c>
      <c r="F13" s="2295" t="s">
        <v>658</v>
      </c>
      <c r="G13" s="2299" t="s">
        <v>652</v>
      </c>
      <c r="H13" s="2299" t="s">
        <v>663</v>
      </c>
      <c r="I13" s="2299" t="s">
        <v>651</v>
      </c>
      <c r="J13" s="2458"/>
      <c r="K13" s="2458"/>
    </row>
    <row r="14" spans="1:11" ht="16.5">
      <c r="A14" s="2300" t="s">
        <v>650</v>
      </c>
      <c r="B14" s="2301">
        <f>'数据-汇总表'!F19</f>
        <v>204.54</v>
      </c>
      <c r="C14" s="2301"/>
      <c r="D14" s="2301">
        <f ca="1">ROUND(E14*B14/10000,4)</f>
        <v>189.46539999999999</v>
      </c>
      <c r="E14" s="2301">
        <f ca="1">结果表!G20</f>
        <v>9263</v>
      </c>
      <c r="F14" s="2301" t="e">
        <f ca="1">ROUND(D14*10000/C14,0)</f>
        <v>#DIV/0!</v>
      </c>
      <c r="G14" s="2301"/>
      <c r="H14" s="2301"/>
      <c r="I14" s="2301"/>
      <c r="J14" s="2458"/>
      <c r="K14" s="2458"/>
    </row>
    <row r="15" spans="1:11" ht="16.5">
      <c r="A15" s="2300" t="s">
        <v>649</v>
      </c>
      <c r="B15" s="2302"/>
      <c r="C15" s="2302"/>
      <c r="D15" s="2302"/>
      <c r="E15" s="2301" t="e">
        <f t="shared" ref="E15:E23" si="0">ROUND(D15*10000/B15,0)</f>
        <v>#DIV/0!</v>
      </c>
      <c r="F15" s="2301" t="e">
        <f t="shared" ref="F15:F23" si="1">ROUND(D15*10000/C15,0)</f>
        <v>#DIV/0!</v>
      </c>
      <c r="G15" s="1243"/>
      <c r="H15" s="1243"/>
      <c r="I15" s="2302"/>
      <c r="J15" s="2458"/>
      <c r="K15" s="2458"/>
    </row>
    <row r="16" spans="1:11" ht="16.5">
      <c r="A16" s="2300" t="s">
        <v>648</v>
      </c>
      <c r="B16" s="2302"/>
      <c r="C16" s="2302"/>
      <c r="D16" s="2302"/>
      <c r="E16" s="2301" t="e">
        <f t="shared" si="0"/>
        <v>#DIV/0!</v>
      </c>
      <c r="F16" s="2301" t="e">
        <f t="shared" si="1"/>
        <v>#DIV/0!</v>
      </c>
      <c r="G16" s="1243"/>
      <c r="H16" s="1243"/>
      <c r="I16" s="2302"/>
      <c r="J16" s="2458"/>
      <c r="K16" s="2458"/>
    </row>
    <row r="17" spans="1:11" ht="16.5">
      <c r="A17" s="2300" t="s">
        <v>647</v>
      </c>
      <c r="B17" s="2302"/>
      <c r="C17" s="2302"/>
      <c r="D17" s="2302"/>
      <c r="E17" s="2301" t="e">
        <f t="shared" si="0"/>
        <v>#DIV/0!</v>
      </c>
      <c r="F17" s="2301" t="e">
        <f t="shared" si="1"/>
        <v>#DIV/0!</v>
      </c>
      <c r="G17" s="1243"/>
      <c r="H17" s="1243"/>
      <c r="I17" s="2302"/>
      <c r="J17" s="2458"/>
      <c r="K17" s="2458"/>
    </row>
    <row r="18" spans="1:11" ht="16.5">
      <c r="A18" s="2300" t="s">
        <v>646</v>
      </c>
      <c r="B18" s="2302"/>
      <c r="C18" s="2302"/>
      <c r="D18" s="2302"/>
      <c r="E18" s="2301" t="e">
        <f t="shared" si="0"/>
        <v>#DIV/0!</v>
      </c>
      <c r="F18" s="2301" t="e">
        <f t="shared" si="1"/>
        <v>#DIV/0!</v>
      </c>
      <c r="G18" s="2302"/>
      <c r="H18" s="2302"/>
      <c r="I18" s="2302"/>
      <c r="J18" s="2458"/>
      <c r="K18" s="2458"/>
    </row>
    <row r="19" spans="1:11" ht="16.5">
      <c r="A19" s="2300" t="s">
        <v>645</v>
      </c>
      <c r="B19" s="2302"/>
      <c r="C19" s="2302"/>
      <c r="D19" s="2302"/>
      <c r="E19" s="2301" t="e">
        <f t="shared" si="0"/>
        <v>#DIV/0!</v>
      </c>
      <c r="F19" s="2301" t="e">
        <f t="shared" si="1"/>
        <v>#DIV/0!</v>
      </c>
      <c r="G19" s="2302"/>
      <c r="H19" s="2302"/>
      <c r="I19" s="2302"/>
      <c r="J19" s="2458"/>
      <c r="K19" s="2458"/>
    </row>
    <row r="20" spans="1:11" ht="16.5">
      <c r="A20" s="2300" t="s">
        <v>644</v>
      </c>
      <c r="B20" s="2302"/>
      <c r="C20" s="2302"/>
      <c r="D20" s="2302"/>
      <c r="E20" s="2301" t="e">
        <f t="shared" si="0"/>
        <v>#DIV/0!</v>
      </c>
      <c r="F20" s="2301" t="e">
        <f t="shared" si="1"/>
        <v>#DIV/0!</v>
      </c>
      <c r="G20" s="2302"/>
      <c r="H20" s="2302"/>
      <c r="I20" s="2302"/>
      <c r="J20" s="2458"/>
      <c r="K20" s="2458"/>
    </row>
    <row r="21" spans="1:11" ht="16.5">
      <c r="A21" s="2300" t="s">
        <v>643</v>
      </c>
      <c r="B21" s="2302"/>
      <c r="C21" s="2302"/>
      <c r="D21" s="2302"/>
      <c r="E21" s="2301" t="e">
        <f t="shared" si="0"/>
        <v>#DIV/0!</v>
      </c>
      <c r="F21" s="2301" t="e">
        <f t="shared" si="1"/>
        <v>#DIV/0!</v>
      </c>
      <c r="G21" s="2302"/>
      <c r="H21" s="2302"/>
      <c r="I21" s="2302"/>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3" t="e">
        <f t="shared" si="0"/>
        <v>#DIV/0!</v>
      </c>
      <c r="F23" s="1243"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J512"/>
  <sheetViews>
    <sheetView tabSelected="1" view="pageBreakPreview" zoomScaleNormal="100" zoomScaleSheetLayoutView="100" zoomScalePageLayoutView="80" workbookViewId="0">
      <selection activeCell="F23" sqref="F23"/>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766" t="str">
        <f>项目基本情况!S2</f>
        <v>北京市房地产</v>
      </c>
      <c r="B2" s="3767"/>
      <c r="C2" s="3767"/>
      <c r="D2" s="3767"/>
      <c r="E2" s="3767"/>
      <c r="F2" s="3767"/>
      <c r="G2" s="3767"/>
      <c r="H2" s="3767"/>
      <c r="I2" s="3768"/>
    </row>
    <row r="3" spans="1:12" ht="12.75">
      <c r="A3" s="3770" t="s">
        <v>1264</v>
      </c>
      <c r="B3" s="3771"/>
      <c r="C3" s="3771"/>
      <c r="D3" s="3771"/>
      <c r="E3" s="3771"/>
      <c r="F3" s="3771"/>
      <c r="G3" s="3771"/>
      <c r="H3" s="3771"/>
      <c r="I3" s="3771"/>
    </row>
    <row r="4" spans="1:12" ht="14.25">
      <c r="A4" s="1623" t="s">
        <v>1265</v>
      </c>
      <c r="B4" s="1624" t="s">
        <v>1266</v>
      </c>
      <c r="C4" s="1625" t="s">
        <v>3579</v>
      </c>
      <c r="D4" s="1625" t="s">
        <v>3387</v>
      </c>
      <c r="E4" s="3775" t="s">
        <v>1267</v>
      </c>
      <c r="F4" s="3776"/>
      <c r="G4" s="3776"/>
      <c r="H4" s="3776"/>
      <c r="I4" s="377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714" t="s">
        <v>1268</v>
      </c>
      <c r="B5" s="3769">
        <v>25</v>
      </c>
      <c r="C5" s="3772"/>
      <c r="D5" s="3760"/>
      <c r="E5" s="123" t="s">
        <v>1269</v>
      </c>
      <c r="F5" s="1626"/>
      <c r="G5" s="1626"/>
      <c r="H5" s="1626"/>
      <c r="I5" s="1280"/>
    </row>
    <row r="6" spans="1:12" ht="12.75">
      <c r="A6" s="3714"/>
      <c r="B6" s="3769"/>
      <c r="C6" s="3774"/>
      <c r="D6" s="3760"/>
      <c r="E6" s="123" t="s">
        <v>1270</v>
      </c>
      <c r="F6" s="1626"/>
      <c r="G6" s="1626"/>
      <c r="H6" s="1626"/>
      <c r="I6" s="1280"/>
    </row>
    <row r="7" spans="1:12" ht="12.75">
      <c r="A7" s="3714"/>
      <c r="B7" s="3769"/>
      <c r="C7" s="3773"/>
      <c r="D7" s="3760"/>
      <c r="E7" s="123" t="s">
        <v>1271</v>
      </c>
      <c r="F7" s="1626"/>
      <c r="G7" s="1626"/>
      <c r="H7" s="1626"/>
      <c r="I7" s="1280"/>
    </row>
    <row r="8" spans="1:12" ht="12.75">
      <c r="A8" s="3714" t="s">
        <v>1272</v>
      </c>
      <c r="B8" s="3769">
        <v>15</v>
      </c>
      <c r="C8" s="3772"/>
      <c r="D8" s="3760"/>
      <c r="E8" s="123" t="s">
        <v>1273</v>
      </c>
      <c r="F8" s="1626"/>
      <c r="G8" s="1626"/>
      <c r="H8" s="1626"/>
      <c r="I8" s="1280"/>
    </row>
    <row r="9" spans="1:12" ht="12.75">
      <c r="A9" s="3714"/>
      <c r="B9" s="3769"/>
      <c r="C9" s="3773"/>
      <c r="D9" s="3760"/>
      <c r="E9" s="123" t="s">
        <v>1274</v>
      </c>
      <c r="F9" s="1626"/>
      <c r="G9" s="1626"/>
      <c r="H9" s="1626"/>
      <c r="I9" s="1280"/>
    </row>
    <row r="10" spans="1:12" ht="12.75">
      <c r="A10" s="3714" t="s">
        <v>1275</v>
      </c>
      <c r="B10" s="3769">
        <v>15</v>
      </c>
      <c r="C10" s="3772"/>
      <c r="D10" s="3760"/>
      <c r="E10" s="123" t="s">
        <v>1276</v>
      </c>
      <c r="F10" s="1626"/>
      <c r="G10" s="1626"/>
      <c r="H10" s="1626"/>
      <c r="I10" s="1280"/>
    </row>
    <row r="11" spans="1:12" ht="12.75">
      <c r="A11" s="3714"/>
      <c r="B11" s="3769"/>
      <c r="C11" s="3773"/>
      <c r="D11" s="3760"/>
      <c r="E11" s="123" t="s">
        <v>1277</v>
      </c>
      <c r="F11" s="1626"/>
      <c r="G11" s="1626"/>
      <c r="H11" s="1626"/>
      <c r="I11" s="1280"/>
    </row>
    <row r="12" spans="1:12" ht="12.75">
      <c r="A12" s="3714" t="s">
        <v>1278</v>
      </c>
      <c r="B12" s="3769">
        <v>15</v>
      </c>
      <c r="C12" s="3772"/>
      <c r="D12" s="3760"/>
      <c r="E12" s="123" t="s">
        <v>1279</v>
      </c>
      <c r="F12" s="1626"/>
      <c r="G12" s="1626"/>
      <c r="H12" s="1626"/>
      <c r="I12" s="1280"/>
    </row>
    <row r="13" spans="1:12" ht="12.75">
      <c r="A13" s="3714"/>
      <c r="B13" s="3769"/>
      <c r="C13" s="3773"/>
      <c r="D13" s="3760"/>
      <c r="E13" s="123" t="s">
        <v>1280</v>
      </c>
      <c r="F13" s="1626"/>
      <c r="G13" s="1626"/>
      <c r="H13" s="1626"/>
      <c r="I13" s="1280"/>
    </row>
    <row r="14" spans="1:12" ht="12.75">
      <c r="A14" s="3714" t="s">
        <v>1281</v>
      </c>
      <c r="B14" s="3769">
        <v>30</v>
      </c>
      <c r="C14" s="3772">
        <v>4</v>
      </c>
      <c r="D14" s="3760">
        <f>10-C14</f>
        <v>6</v>
      </c>
      <c r="E14" s="123" t="s">
        <v>1282</v>
      </c>
      <c r="F14" s="1626"/>
      <c r="G14" s="1626"/>
      <c r="H14" s="1626"/>
      <c r="I14" s="1280"/>
    </row>
    <row r="15" spans="1:12" ht="12.75">
      <c r="A15" s="3714"/>
      <c r="B15" s="3769"/>
      <c r="C15" s="3774"/>
      <c r="D15" s="3760"/>
      <c r="E15" s="123" t="s">
        <v>1283</v>
      </c>
      <c r="F15" s="1626"/>
      <c r="G15" s="1626"/>
      <c r="H15" s="1626"/>
      <c r="I15" s="1280"/>
    </row>
    <row r="16" spans="1:12" ht="12.75">
      <c r="A16" s="3714"/>
      <c r="B16" s="3769"/>
      <c r="C16" s="3773"/>
      <c r="D16" s="3760"/>
      <c r="E16" s="123" t="s">
        <v>1284</v>
      </c>
      <c r="F16" s="1626"/>
      <c r="G16" s="1626"/>
      <c r="H16" s="1626"/>
      <c r="I16" s="1280"/>
    </row>
    <row r="17" spans="1:36" ht="15">
      <c r="A17" s="1627" t="s">
        <v>1285</v>
      </c>
      <c r="B17" s="54"/>
      <c r="C17" s="124">
        <f>C14</f>
        <v>4</v>
      </c>
      <c r="D17" s="124">
        <f>D14</f>
        <v>6</v>
      </c>
      <c r="E17" s="121"/>
      <c r="F17" s="121"/>
      <c r="G17" s="121"/>
      <c r="H17" s="121"/>
      <c r="I17" s="121"/>
      <c r="K17" s="294"/>
      <c r="L17" s="294" t="s">
        <v>1286</v>
      </c>
      <c r="M17" s="294" t="s">
        <v>1287</v>
      </c>
    </row>
    <row r="18" spans="1:36" ht="31.9" customHeight="1" thickBot="1">
      <c r="A18" s="1628" t="s">
        <v>1288</v>
      </c>
      <c r="B18" s="1541"/>
      <c r="C18" s="125">
        <f>ROUND(C17/SUM(C17:D17),2)</f>
        <v>0.4</v>
      </c>
      <c r="D18" s="125">
        <f>1-C18</f>
        <v>0.6</v>
      </c>
      <c r="E18" s="3791" t="s">
        <v>2128</v>
      </c>
      <c r="F18" s="3792"/>
      <c r="G18" s="3792"/>
      <c r="H18" s="3792"/>
      <c r="I18" s="3792"/>
      <c r="K18" s="294" t="s">
        <v>1289</v>
      </c>
      <c r="L18" s="294">
        <f>IF(C1="",'数据-汇总表'!E3,SUMIF(项目类型,C1,'数据-汇总表'!E17:E26)+SUMIF(项目类型,C1,'数据-汇总表'!I17:I26))</f>
        <v>204.54</v>
      </c>
      <c r="M18" s="294">
        <f>IF(C1="",'数据-汇总表'!E3,SUMIF(项目类型,C1,'数据-汇总表'!E17:E26))</f>
        <v>204.54</v>
      </c>
    </row>
    <row r="19" spans="1:36" ht="15">
      <c r="A19" s="1629" t="s">
        <v>1290</v>
      </c>
      <c r="B19" s="1630" t="s">
        <v>1291</v>
      </c>
      <c r="C19" s="126">
        <f ca="1">SUMIF(INDIRECT("'"&amp;C4&amp;"'"&amp;"!A:A"),结果表!B19,INDIRECT("'"&amp;C4&amp;"'"&amp;"!B:B"))</f>
        <v>252.1069</v>
      </c>
      <c r="D19" s="127">
        <f ca="1">SUMIF(INDIRECT("'"&amp;D4&amp;"'"&amp;"!A:A"),结果表!B19,INDIRECT("'"&amp;D4&amp;"'"&amp;"!B:B"))</f>
        <v>147.69829999999999</v>
      </c>
      <c r="E19" s="1629" t="s">
        <v>1292</v>
      </c>
      <c r="F19" s="1630" t="s">
        <v>1291</v>
      </c>
      <c r="G19" s="3165">
        <f ca="1">ROUND(C19*$C$18+D19*$D$18,4)</f>
        <v>189.46170000000001</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12326</v>
      </c>
      <c r="D20" s="130">
        <f ca="1">SUMIF(INDIRECT("'"&amp;D4&amp;"'"&amp;"!A:A"),结果表!B20,INDIRECT("'"&amp;D4&amp;"'"&amp;"!B:B"))</f>
        <v>7221</v>
      </c>
      <c r="E20" s="1632"/>
      <c r="F20" s="43" t="s">
        <v>1295</v>
      </c>
      <c r="G20" s="131">
        <f ca="1">ROUND(C20*$C$18+D20*$D$18,0)</f>
        <v>9263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0.70690454798734992</v>
      </c>
      <c r="E22" s="121"/>
      <c r="F22" s="121"/>
      <c r="G22" s="121"/>
      <c r="H22" s="121"/>
      <c r="I22" s="121"/>
    </row>
    <row r="23" spans="1:36" ht="13.5" thickBot="1">
      <c r="A23" s="646"/>
      <c r="B23" s="646"/>
      <c r="C23" s="646"/>
      <c r="D23" s="646"/>
      <c r="E23" s="121"/>
      <c r="F23" s="121"/>
      <c r="G23" s="121"/>
      <c r="H23" s="121"/>
      <c r="I23" s="121"/>
    </row>
    <row r="24" spans="1:36" ht="14.25">
      <c r="A24" s="3784" t="s">
        <v>1299</v>
      </c>
      <c r="B24" s="1630" t="s">
        <v>1291</v>
      </c>
      <c r="C24" s="128">
        <f>IF(B30=0,0,D30)</f>
        <v>0</v>
      </c>
      <c r="D24" s="1636"/>
      <c r="E24" s="121"/>
      <c r="F24" s="121"/>
      <c r="G24" s="121">
        <f ca="1">系统读取表!D14</f>
        <v>189.46539999999999</v>
      </c>
      <c r="H24" s="121"/>
      <c r="I24" s="121"/>
    </row>
    <row r="25" spans="1:36" ht="14.25">
      <c r="A25" s="3785"/>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3172" t="s">
        <v>3437</v>
      </c>
      <c r="B27" s="134">
        <f>'数据-基础表'!I13</f>
        <v>204.54</v>
      </c>
      <c r="C27" s="134">
        <v>15.6</v>
      </c>
      <c r="D27" s="135">
        <f>ROUND(C27*B27,0)</f>
        <v>3191</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f ca="1">ROUND(D30*10000/B27,0)</f>
        <v>9247</v>
      </c>
      <c r="D30" s="3173">
        <f ca="1">ROUND((G19*10000-D27)/10000,4)</f>
        <v>189.14259999999999</v>
      </c>
      <c r="E30" s="2123" t="s">
        <v>2129</v>
      </c>
      <c r="F30" s="121"/>
      <c r="G30" s="121"/>
      <c r="H30" s="121"/>
      <c r="I30" s="121"/>
    </row>
    <row r="31" spans="1:36" s="2129" customFormat="1" ht="26.45" customHeight="1" thickTop="1" thickBot="1">
      <c r="A31" s="2124"/>
      <c r="B31" s="2125"/>
      <c r="C31" s="2125"/>
      <c r="D31" s="2125"/>
      <c r="E31" s="2125"/>
      <c r="F31" s="2125"/>
      <c r="G31" s="2125"/>
      <c r="H31" s="2125"/>
      <c r="I31" s="2126" t="s">
        <v>2130</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1305</v>
      </c>
      <c r="B32" s="1534"/>
      <c r="C32" s="136">
        <f ca="1">IF(D32="总价",G19-C24,G20-C25)</f>
        <v>9263</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761" t="s">
        <v>1312</v>
      </c>
      <c r="B36" s="1651" t="s">
        <v>1313</v>
      </c>
      <c r="C36" s="137"/>
      <c r="D36" s="1652"/>
      <c r="E36" s="1566"/>
      <c r="F36" s="1653"/>
      <c r="G36" s="121"/>
      <c r="H36" s="121"/>
      <c r="I36" s="121"/>
    </row>
    <row r="37" spans="1:15" ht="15.75" thickBot="1">
      <c r="A37" s="3762"/>
      <c r="B37" s="1554" t="s">
        <v>1314</v>
      </c>
      <c r="C37" s="139"/>
      <c r="D37" s="1071"/>
      <c r="E37" s="1071"/>
      <c r="F37" s="1653"/>
      <c r="G37" s="121"/>
      <c r="H37" s="121"/>
      <c r="I37" s="121"/>
    </row>
    <row r="38" spans="1:15" ht="15.75" thickBot="1">
      <c r="A38" s="3763"/>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781" t="s">
        <v>1326</v>
      </c>
      <c r="B45" s="3782"/>
      <c r="C45" s="3783"/>
      <c r="D45" s="147" t="e">
        <f ca="1">ROUND(H101*F45,0)</f>
        <v>#REF!</v>
      </c>
      <c r="E45" s="148" t="s">
        <v>1327</v>
      </c>
      <c r="F45" s="149">
        <v>1</v>
      </c>
      <c r="G45" s="150" t="s">
        <v>1328</v>
      </c>
      <c r="H45" s="121"/>
      <c r="I45" s="121"/>
      <c r="J45" s="3701" t="s">
        <v>1329</v>
      </c>
      <c r="K45" s="3701"/>
      <c r="L45" s="3701"/>
      <c r="M45" s="3701"/>
      <c r="N45" s="3701"/>
      <c r="O45" s="3701"/>
    </row>
    <row r="46" spans="1:15" ht="14.25" customHeight="1">
      <c r="A46" s="3778" t="s">
        <v>1330</v>
      </c>
      <c r="B46" s="3779"/>
      <c r="C46" s="3779"/>
      <c r="D46" s="3779"/>
      <c r="E46" s="3779"/>
      <c r="F46" s="3779"/>
      <c r="G46" s="3780"/>
      <c r="H46" s="1667"/>
      <c r="I46" s="151"/>
      <c r="J46" s="2305">
        <v>1</v>
      </c>
      <c r="K46" s="3702" t="s">
        <v>1331</v>
      </c>
      <c r="L46" s="3702"/>
      <c r="M46" s="3703"/>
      <c r="N46" s="3703"/>
      <c r="O46" s="3703"/>
    </row>
    <row r="47" spans="1:15" ht="12" customHeight="1">
      <c r="A47" s="152" t="s">
        <v>1332</v>
      </c>
      <c r="B47" s="153"/>
      <c r="C47" s="154"/>
      <c r="D47" s="1024" t="s">
        <v>1333</v>
      </c>
      <c r="E47" s="294" t="s">
        <v>1334</v>
      </c>
      <c r="F47" s="155" t="s">
        <v>1335</v>
      </c>
      <c r="G47" s="2328" t="s">
        <v>1336</v>
      </c>
      <c r="H47" s="2329"/>
      <c r="I47" s="151"/>
      <c r="J47" s="2305">
        <v>2</v>
      </c>
      <c r="K47" s="3702" t="s">
        <v>1337</v>
      </c>
      <c r="L47" s="3702"/>
      <c r="M47" s="3704">
        <f>'数据-取费表'!B2</f>
        <v>38867</v>
      </c>
      <c r="N47" s="3704"/>
      <c r="O47" s="3704"/>
    </row>
    <row r="48" spans="1:15" ht="25.5">
      <c r="A48" s="3764" t="s">
        <v>1338</v>
      </c>
      <c r="B48" s="3765"/>
      <c r="C48" s="3765"/>
      <c r="D48" s="12" t="b">
        <f>IF(H48="情况1",0,IF(H48="情况2",D52,IF(H48="情况3",D53,IF(H48="情况4",D54))))</f>
        <v>0</v>
      </c>
      <c r="E48" s="1255" t="str">
        <f>IF(H48="情况4","(销售额-原购置价)×税（费）率","销售额×税（费）率")</f>
        <v>销售额×税（费）率</v>
      </c>
      <c r="F48" s="2330">
        <f>IF(H48="情况1","免征",'数据-取费表'!B41)</f>
        <v>5.5000000000000007E-2</v>
      </c>
      <c r="G48" s="2331" t="s">
        <v>1339</v>
      </c>
      <c r="H48" s="2332"/>
      <c r="I48" s="1667"/>
      <c r="J48" s="2305">
        <v>3</v>
      </c>
      <c r="K48" s="3702" t="s">
        <v>1340</v>
      </c>
      <c r="L48" s="3702"/>
      <c r="M48" s="3705" t="e">
        <f ca="1">H101</f>
        <v>#REF!</v>
      </c>
      <c r="N48" s="3705"/>
      <c r="O48" s="3705"/>
    </row>
    <row r="49" spans="1:35" ht="25.5" customHeight="1">
      <c r="A49" s="2148" t="s">
        <v>1341</v>
      </c>
      <c r="B49" s="3750" t="s">
        <v>1342</v>
      </c>
      <c r="C49" s="3750"/>
      <c r="D49" s="1477">
        <v>0</v>
      </c>
      <c r="E49" s="316" t="s">
        <v>1343</v>
      </c>
      <c r="F49" s="2229" t="s">
        <v>28</v>
      </c>
      <c r="G49" s="3733"/>
      <c r="H49" s="2130" t="s">
        <v>2131</v>
      </c>
      <c r="I49" s="2131"/>
      <c r="J49" s="2305">
        <v>4</v>
      </c>
      <c r="K49" s="3702" t="str">
        <f>IF(项目基本情况!E8="房地产抵押价值","房地产抵押价值","抵押担保权已注销时的房地产抵押价值")</f>
        <v>抵押担保权已注销时的房地产抵押价值</v>
      </c>
      <c r="L49" s="3702"/>
      <c r="M49" s="3705" t="str">
        <f>IF(项目基本情况!E8="房地产抵押价值",H107,H109)</f>
        <v>——</v>
      </c>
      <c r="N49" s="3705"/>
      <c r="O49" s="3705"/>
    </row>
    <row r="50" spans="1:35" ht="25.5" customHeight="1">
      <c r="A50" s="2333"/>
      <c r="B50" s="3750" t="s">
        <v>1344</v>
      </c>
      <c r="C50" s="3750"/>
      <c r="D50" s="2185"/>
      <c r="E50" s="323"/>
      <c r="F50" s="2229"/>
      <c r="G50" s="3734"/>
      <c r="H50" s="2132" t="s">
        <v>2132</v>
      </c>
      <c r="I50" s="2131"/>
      <c r="J50" s="3701" t="s">
        <v>1345</v>
      </c>
      <c r="K50" s="3701"/>
      <c r="L50" s="3701"/>
      <c r="M50" s="3701"/>
      <c r="N50" s="3701"/>
      <c r="O50" s="3701"/>
    </row>
    <row r="51" spans="1:35" ht="20.45" customHeight="1">
      <c r="A51" s="2334"/>
      <c r="B51" s="3750" t="s">
        <v>1346</v>
      </c>
      <c r="C51" s="3750"/>
      <c r="D51" s="1024"/>
      <c r="E51" s="319"/>
      <c r="F51" s="2229"/>
      <c r="G51" s="3735"/>
      <c r="H51" s="2132" t="s">
        <v>2133</v>
      </c>
      <c r="I51" s="2131"/>
      <c r="J51" s="2306" t="s">
        <v>1347</v>
      </c>
      <c r="K51" s="3702" t="s">
        <v>1348</v>
      </c>
      <c r="L51" s="3702"/>
      <c r="M51" s="2306" t="s">
        <v>1349</v>
      </c>
      <c r="N51" s="2306" t="s">
        <v>1350</v>
      </c>
      <c r="O51" s="2306" t="s">
        <v>1351</v>
      </c>
    </row>
    <row r="52" spans="1:35" ht="24" customHeight="1">
      <c r="A52" s="2149" t="s">
        <v>1352</v>
      </c>
      <c r="B52" s="3750" t="s">
        <v>1353</v>
      </c>
      <c r="C52" s="3750"/>
      <c r="D52" s="1024" t="e">
        <f ca="1">ROUND(D45*'数据-取费表'!B41/(1+'数据-取费表'!C42),0)</f>
        <v>#REF!</v>
      </c>
      <c r="E52" s="1255" t="s">
        <v>1354</v>
      </c>
      <c r="F52" s="2335">
        <f>'数据-取费表'!B41</f>
        <v>5.5000000000000007E-2</v>
      </c>
      <c r="G52" s="2336"/>
      <c r="H52" s="2326"/>
      <c r="I52" s="1668"/>
      <c r="J52" s="2305">
        <v>1</v>
      </c>
      <c r="K52" s="3727" t="s">
        <v>1355</v>
      </c>
      <c r="L52" s="3727"/>
      <c r="M52" s="2307" t="b">
        <f>D48</f>
        <v>0</v>
      </c>
      <c r="N52" s="2305" t="str">
        <f>E48</f>
        <v>销售额×税（费）率</v>
      </c>
      <c r="O52" s="2308">
        <f>F48</f>
        <v>5.5000000000000007E-2</v>
      </c>
    </row>
    <row r="53" spans="1:35" ht="12" customHeight="1">
      <c r="A53" s="2149" t="s">
        <v>1356</v>
      </c>
      <c r="B53" s="3751" t="s">
        <v>2286</v>
      </c>
      <c r="C53" s="3752"/>
      <c r="D53" s="1024" t="e">
        <f ca="1">ROUND(D45*'数据-取费表'!B41/(1+'数据-取费表'!C42),0)</f>
        <v>#REF!</v>
      </c>
      <c r="E53" s="1255" t="s">
        <v>1354</v>
      </c>
      <c r="F53" s="2335">
        <f>'数据-取费表'!B41</f>
        <v>5.5000000000000007E-2</v>
      </c>
      <c r="G53" s="2336"/>
      <c r="H53" s="2326"/>
      <c r="I53" s="1668"/>
      <c r="J53" s="2305">
        <v>2</v>
      </c>
      <c r="K53" s="3727" t="s">
        <v>1357</v>
      </c>
      <c r="L53" s="3727"/>
      <c r="M53" s="2307" t="e">
        <f t="shared" ref="M53:O54" ca="1" si="0">D55</f>
        <v>#REF!</v>
      </c>
      <c r="N53" s="2305" t="str">
        <f t="shared" si="0"/>
        <v>销售额×税（费）率</v>
      </c>
      <c r="O53" s="2308" t="str">
        <f t="shared" si="0"/>
        <v>免征</v>
      </c>
    </row>
    <row r="54" spans="1:35" ht="12" customHeight="1">
      <c r="A54" s="2149" t="s">
        <v>1358</v>
      </c>
      <c r="B54" s="3751" t="s">
        <v>2287</v>
      </c>
      <c r="C54" s="3752"/>
      <c r="D54" s="1024" t="e">
        <f ca="1">C68</f>
        <v>#REF!</v>
      </c>
      <c r="E54" s="319" t="s">
        <v>1359</v>
      </c>
      <c r="F54" s="2335">
        <f>'数据-取费表'!B41</f>
        <v>5.5000000000000007E-2</v>
      </c>
      <c r="G54" s="2336"/>
      <c r="H54" s="2337"/>
      <c r="I54" s="1668"/>
      <c r="J54" s="2305">
        <v>3</v>
      </c>
      <c r="K54" s="3727" t="s">
        <v>1360</v>
      </c>
      <c r="L54" s="3727"/>
      <c r="M54" s="2307" t="e">
        <f t="shared" ca="1" si="0"/>
        <v>#REF!</v>
      </c>
      <c r="N54" s="2305" t="str">
        <f t="shared" si="0"/>
        <v>增值额×税（费）率</v>
      </c>
      <c r="O54" s="2309" t="str">
        <f t="shared" si="0"/>
        <v>免征</v>
      </c>
    </row>
    <row r="55" spans="1:35" ht="24" customHeight="1">
      <c r="A55" s="3787" t="s">
        <v>1361</v>
      </c>
      <c r="B55" s="3765"/>
      <c r="C55" s="3765"/>
      <c r="D55" s="12" t="e">
        <f ca="1">IF(H55="个人住宅",0,ROUND(D45*I55,0))</f>
        <v>#REF!</v>
      </c>
      <c r="E55" s="1255" t="s">
        <v>1362</v>
      </c>
      <c r="F55" s="2335" t="str">
        <f>IF(H55="正常",I55,"免征")</f>
        <v>免征</v>
      </c>
      <c r="G55" s="2336"/>
      <c r="H55" s="2332"/>
      <c r="I55" s="157">
        <f>'数据-取费表'!B49</f>
        <v>5.0000000000000001E-4</v>
      </c>
      <c r="J55" s="2305">
        <f>IF(H59="非个人房产","",4)</f>
        <v>4</v>
      </c>
      <c r="K55" s="3727" t="str">
        <f>IF(H59="非个人房产","——","个人所得税")</f>
        <v>个人所得税</v>
      </c>
      <c r="L55" s="3727"/>
      <c r="M55" s="2310" t="e">
        <f ca="1">D59</f>
        <v>#REF!</v>
      </c>
      <c r="N55" s="1879" t="str">
        <f>E59</f>
        <v>差额计税</v>
      </c>
      <c r="O55" s="2311">
        <f>F59</f>
        <v>0.01</v>
      </c>
    </row>
    <row r="56" spans="1:35" ht="24.75">
      <c r="A56" s="3787" t="s">
        <v>1363</v>
      </c>
      <c r="B56" s="3765"/>
      <c r="C56" s="3765"/>
      <c r="D56" s="12" t="e">
        <f ca="1">IF(H56="个人住宅",D57,D58)</f>
        <v>#REF!</v>
      </c>
      <c r="E56" s="1255" t="s">
        <v>1364</v>
      </c>
      <c r="F56" s="2335" t="str">
        <f>IF(H56="正常",F58,"免征")</f>
        <v>免征</v>
      </c>
      <c r="G56" s="2338" t="s">
        <v>1365</v>
      </c>
      <c r="H56" s="2339"/>
      <c r="I56" s="1669"/>
      <c r="J56" s="2305" t="str">
        <f>IF(项目基本情况!K6="上海银行",IF(J55="",4,J55+1),"")</f>
        <v/>
      </c>
      <c r="K56" s="3708" t="str">
        <f>IF(项目基本情况!K6="上海银行","其他处置费用","")</f>
        <v/>
      </c>
      <c r="L56" s="3709"/>
      <c r="M56" s="2307" t="str">
        <f>IF(项目基本情况!K6="上海银行",M69,"")</f>
        <v/>
      </c>
      <c r="N56" s="3708" t="str">
        <f>IF(项目基本情况!K6="上海银行","包含处置中涉及的律师、诉讼、拍卖、评估等费用","")</f>
        <v/>
      </c>
      <c r="O56" s="3711"/>
    </row>
    <row r="57" spans="1:35" ht="12.75">
      <c r="A57" s="2149" t="s">
        <v>1341</v>
      </c>
      <c r="B57" s="3751" t="s">
        <v>1366</v>
      </c>
      <c r="C57" s="3752"/>
      <c r="D57" s="1477">
        <v>0</v>
      </c>
      <c r="E57" s="316" t="s">
        <v>1343</v>
      </c>
      <c r="F57" s="294"/>
      <c r="G57" s="2336"/>
      <c r="H57" s="2340"/>
      <c r="I57" s="1669"/>
      <c r="J57" s="3727">
        <f>IF(AND(J55="",J56=""),4,IF(项目基本情况!K6="上海银行",结果表!J56+1,结果表!J55+1))</f>
        <v>5</v>
      </c>
      <c r="K57" s="3727" t="s">
        <v>1367</v>
      </c>
      <c r="L57" s="2312" t="s">
        <v>1368</v>
      </c>
      <c r="M57" s="2313"/>
      <c r="N57" s="2314">
        <f ca="1">SUMIF(M52:M56,"&lt;9e307")</f>
        <v>0</v>
      </c>
      <c r="O57" s="2315"/>
      <c r="P57" s="2460" t="e">
        <f ca="1">N57/M49</f>
        <v>#VALUE!</v>
      </c>
    </row>
    <row r="58" spans="1:35" ht="24.75">
      <c r="A58" s="2149" t="s">
        <v>1352</v>
      </c>
      <c r="B58" s="3751" t="s">
        <v>1369</v>
      </c>
      <c r="C58" s="3750"/>
      <c r="D58" s="12" t="e">
        <f ca="1">IF(H58="转让取得",C81,C97)</f>
        <v>#REF!</v>
      </c>
      <c r="E58" s="1255" t="s">
        <v>1364</v>
      </c>
      <c r="F58" s="294" t="s">
        <v>28</v>
      </c>
      <c r="G58" s="2336"/>
      <c r="H58" s="2339"/>
      <c r="I58" s="1669"/>
      <c r="J58" s="3727"/>
      <c r="K58" s="3727"/>
      <c r="L58" s="2312" t="s">
        <v>1370</v>
      </c>
      <c r="M58" s="2316"/>
      <c r="N58" s="2317" t="str">
        <f ca="1">NUMBERSTRING(INT(N57*10000),2)&amp;"元整"</f>
        <v>零元整</v>
      </c>
      <c r="O58" s="2318"/>
    </row>
    <row r="59" spans="1:35" ht="24.75" thickBot="1">
      <c r="A59" s="3731" t="s">
        <v>1371</v>
      </c>
      <c r="B59" s="3732"/>
      <c r="C59" s="3732"/>
      <c r="D59" s="2341" t="e">
        <f ca="1">IF(H59="非个人房产","——",IF(H59="个人住宅（满五唯一有凭证）",0,IF(H59="个人其他（无凭证）",ROUND(D45*F59,0),ROUND(C67*F59,0))))</f>
        <v>#REF!</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4"/>
      <c r="I59" s="2133" t="s">
        <v>2134</v>
      </c>
      <c r="J59" s="3729">
        <f>J57+1</f>
        <v>6</v>
      </c>
      <c r="K59" s="3727" t="s">
        <v>1372</v>
      </c>
      <c r="L59" s="2305" t="s">
        <v>1368</v>
      </c>
      <c r="M59" s="2319"/>
      <c r="N59" s="2320" t="e">
        <f ca="1">M49-N57</f>
        <v>#VALUE!</v>
      </c>
      <c r="O59" s="2321"/>
    </row>
    <row r="60" spans="1:35" ht="12" customHeight="1">
      <c r="A60" s="1670"/>
      <c r="B60" s="646"/>
      <c r="C60" s="646"/>
      <c r="D60" s="646"/>
      <c r="E60" s="1465"/>
      <c r="F60" s="1669"/>
      <c r="G60" s="1669"/>
      <c r="H60" s="151"/>
      <c r="I60" s="121"/>
      <c r="J60" s="3730"/>
      <c r="K60" s="3727"/>
      <c r="L60" s="2312" t="s">
        <v>1370</v>
      </c>
      <c r="M60" s="2316"/>
      <c r="N60" s="2317" t="e">
        <f ca="1">NUMBERSTRING(INT(N59*10000),2)&amp;"元整"</f>
        <v>#VALUE!</v>
      </c>
      <c r="O60" s="2318"/>
    </row>
    <row r="61" spans="1:35" ht="13.5" thickBot="1">
      <c r="A61" s="3786" t="s">
        <v>1373</v>
      </c>
      <c r="B61" s="3786"/>
      <c r="C61" s="3786"/>
      <c r="D61" s="3786"/>
      <c r="E61" s="3786"/>
      <c r="F61" s="1669"/>
      <c r="G61" s="1669"/>
      <c r="H61" s="151"/>
      <c r="I61" s="121"/>
      <c r="J61" s="2305">
        <f>J59+1</f>
        <v>7</v>
      </c>
      <c r="K61" s="3727" t="s">
        <v>1374</v>
      </c>
      <c r="L61" s="3727"/>
      <c r="M61" s="2322"/>
      <c r="N61" s="2323" t="e">
        <f ca="1">ROUND(N59*10000/'数据-汇总表'!E3,0)</f>
        <v>#VALUE!</v>
      </c>
      <c r="O61" s="2324"/>
    </row>
    <row r="62" spans="1:35" ht="12.75">
      <c r="A62" s="3746" t="s">
        <v>1375</v>
      </c>
      <c r="B62" s="3747"/>
      <c r="C62" s="1861"/>
      <c r="D62" s="1861" t="s">
        <v>1376</v>
      </c>
      <c r="E62" s="158" t="s">
        <v>1377</v>
      </c>
      <c r="F62" s="1669"/>
      <c r="G62" s="1669"/>
      <c r="H62" s="151"/>
      <c r="I62" s="121"/>
    </row>
    <row r="63" spans="1:35" ht="12.75">
      <c r="A63" s="165" t="s">
        <v>330</v>
      </c>
      <c r="B63" s="159" t="s">
        <v>1378</v>
      </c>
      <c r="C63" s="2345" t="e">
        <f ca="1">ROUND((C64+C65)/(1+'数据-取费表'!C42),0)</f>
        <v>#REF!</v>
      </c>
      <c r="D63" s="159"/>
      <c r="E63" s="160"/>
      <c r="F63" s="1669"/>
      <c r="G63" s="1669"/>
      <c r="H63" s="151"/>
      <c r="I63" s="121"/>
      <c r="J63" s="3710" t="s">
        <v>1379</v>
      </c>
      <c r="K63" s="1244" t="s">
        <v>1380</v>
      </c>
      <c r="L63" s="1244" t="e">
        <f>IF(M49&gt;10000,M49*0.5%,IF(AND(M49&gt;1000,M49&lt;=10000),M49*1%,IF(AND(M49&gt;100,M49&lt;=1000),M49*3%,IF(AND(M49&gt;10,M49&lt;=100),M49*5%,M49*8%))))</f>
        <v>#VALUE!</v>
      </c>
      <c r="M63" s="294" t="e">
        <f>ROUND(L63,1)</f>
        <v>#VALUE!</v>
      </c>
      <c r="N63" s="2325"/>
      <c r="Z63" s="1622"/>
      <c r="AI63" s="1560"/>
    </row>
    <row r="64" spans="1:35" ht="14.25" customHeight="1">
      <c r="A64" s="161" t="s">
        <v>325</v>
      </c>
      <c r="B64" s="162" t="s">
        <v>1381</v>
      </c>
      <c r="C64" s="2346" t="e">
        <f ca="1">D45</f>
        <v>#REF!</v>
      </c>
      <c r="D64" s="162" t="s">
        <v>26</v>
      </c>
      <c r="E64" s="164"/>
      <c r="F64" s="1669"/>
      <c r="G64" s="1669"/>
      <c r="H64" s="151"/>
      <c r="I64" s="121"/>
      <c r="J64" s="3710"/>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1383</v>
      </c>
      <c r="Z64" s="1622"/>
      <c r="AI64" s="1560"/>
    </row>
    <row r="65" spans="1:35" ht="14.25" customHeight="1">
      <c r="A65" s="161" t="s">
        <v>326</v>
      </c>
      <c r="B65" s="162" t="s">
        <v>1384</v>
      </c>
      <c r="C65" s="2347"/>
      <c r="D65" s="162"/>
      <c r="E65" s="164"/>
      <c r="F65" s="1669"/>
      <c r="G65" s="1669"/>
      <c r="H65" s="151"/>
      <c r="I65" s="121"/>
      <c r="J65" s="3710"/>
      <c r="K65" s="1244" t="s">
        <v>1385</v>
      </c>
      <c r="L65" s="1244" t="e">
        <f>IF(M49&gt;1000,M49*0.1%,IF(AND(M49&gt;500,M49&lt;=1000),M49*0.5%,IF(AND(M49&gt;50,M49&lt;=500),M49*1%,IF(AND(M49&gt;1,M49&lt;=50),M49*1.5%))))</f>
        <v>#VALUE!</v>
      </c>
      <c r="M65" s="294" t="e">
        <f t="shared" si="1"/>
        <v>#VALUE!</v>
      </c>
      <c r="N65" s="2326" t="s">
        <v>1383</v>
      </c>
      <c r="Z65" s="1622"/>
      <c r="AI65" s="1560"/>
    </row>
    <row r="66" spans="1:35" ht="14.25" customHeight="1">
      <c r="A66" s="165" t="s">
        <v>327</v>
      </c>
      <c r="B66" s="166" t="s">
        <v>1386</v>
      </c>
      <c r="C66" s="2348"/>
      <c r="D66" s="166" t="s">
        <v>26</v>
      </c>
      <c r="E66" s="1250" t="s">
        <v>671</v>
      </c>
      <c r="F66" s="1669"/>
      <c r="G66" s="1669"/>
      <c r="H66" s="151"/>
      <c r="I66" s="121"/>
      <c r="J66" s="3710"/>
      <c r="K66" s="1244" t="s">
        <v>1387</v>
      </c>
      <c r="L66" s="1244" t="e">
        <f>M49*0.5%</f>
        <v>#VALUE!</v>
      </c>
      <c r="M66" s="294" t="e">
        <f>IF(L66&gt;0.5,0.5,ROUND(L66,0))</f>
        <v>#VALUE!</v>
      </c>
      <c r="N66" s="2326" t="s">
        <v>1388</v>
      </c>
      <c r="Z66" s="1622"/>
      <c r="AI66" s="1560"/>
    </row>
    <row r="67" spans="1:35" ht="14.25" customHeight="1">
      <c r="A67" s="165" t="s">
        <v>328</v>
      </c>
      <c r="B67" s="166" t="s">
        <v>1389</v>
      </c>
      <c r="C67" s="2349" t="e">
        <f ca="1">C63-C66</f>
        <v>#REF!</v>
      </c>
      <c r="D67" s="162" t="s">
        <v>26</v>
      </c>
      <c r="E67" s="164"/>
      <c r="F67" s="1669"/>
      <c r="G67" s="1669"/>
      <c r="H67" s="151"/>
      <c r="I67" s="121"/>
      <c r="J67" s="3710"/>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22"/>
      <c r="AI67" s="1560"/>
    </row>
    <row r="68" spans="1:35" ht="14.25" customHeight="1" thickBot="1">
      <c r="A68" s="168" t="s">
        <v>329</v>
      </c>
      <c r="B68" s="169" t="s">
        <v>1391</v>
      </c>
      <c r="C68" s="2350" t="e">
        <f ca="1">IF(C67&lt;=0,0,ROUND(C67*D68,0))</f>
        <v>#REF!</v>
      </c>
      <c r="D68" s="2351">
        <f>'数据-取费表'!B41</f>
        <v>5.5000000000000007E-2</v>
      </c>
      <c r="E68" s="170"/>
      <c r="F68" s="1669"/>
      <c r="G68" s="1669"/>
      <c r="H68" s="151"/>
      <c r="I68" s="121"/>
      <c r="J68" s="3710"/>
      <c r="K68" s="1244" t="s">
        <v>1392</v>
      </c>
      <c r="L68" s="1244" t="e">
        <f>IF(M49&gt;10000,M49*0.5%,IF(AND(M49&gt;5000,M49&lt;=10000),M49*1%,IF(AND(M49&gt;1000,M49&lt;=5000),M49*2%,IF(AND(M49&gt;200,M49&lt;=1000),M49*3%,M49*5%))))</f>
        <v>#VALUE!</v>
      </c>
      <c r="M68" s="294" t="e">
        <f>ROUND(L68,1)</f>
        <v>#VALUE!</v>
      </c>
      <c r="N68" s="2325"/>
      <c r="Z68" s="1622"/>
      <c r="AI68" s="1560"/>
    </row>
    <row r="69" spans="1:35" ht="16.5" customHeight="1">
      <c r="A69" s="1671"/>
      <c r="B69" s="1672"/>
      <c r="C69" s="1673"/>
      <c r="D69" s="1674"/>
      <c r="E69" s="1675"/>
      <c r="F69" s="1465"/>
      <c r="G69" s="1465"/>
      <c r="H69" s="1466"/>
      <c r="I69" s="646"/>
      <c r="J69" s="3710"/>
      <c r="K69" s="1244" t="s">
        <v>1393</v>
      </c>
      <c r="L69" s="1244"/>
      <c r="M69" s="294" t="e">
        <f>ROUND(SUM(M63:M68),0)</f>
        <v>#VALUE!</v>
      </c>
      <c r="N69" s="2327" t="e">
        <f>M69/M49</f>
        <v>#VALUE!</v>
      </c>
      <c r="Z69" s="1622"/>
      <c r="AI69" s="1560"/>
    </row>
    <row r="70" spans="1:35" s="642" customFormat="1" ht="15" thickBot="1">
      <c r="A70" s="3754" t="s">
        <v>1394</v>
      </c>
      <c r="B70" s="3755"/>
      <c r="C70" s="3755"/>
      <c r="D70" s="3755"/>
      <c r="E70" s="3755"/>
      <c r="F70" s="3755"/>
      <c r="G70" s="3755"/>
      <c r="H70" s="3755"/>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746" t="s">
        <v>1375</v>
      </c>
      <c r="B71" s="3747"/>
      <c r="C71" s="1861"/>
      <c r="D71" s="1861"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49"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49"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2"/>
      <c r="D75" s="162" t="s">
        <v>26</v>
      </c>
      <c r="E75" s="176" t="s">
        <v>1399</v>
      </c>
      <c r="F75" s="2353"/>
      <c r="G75" s="176" t="s">
        <v>1400</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5">
        <v>0.05</v>
      </c>
      <c r="E76" s="3751" t="s">
        <v>1402</v>
      </c>
      <c r="F76" s="3750"/>
      <c r="G76" s="3750"/>
      <c r="H76" s="375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7" t="e">
        <f ca="1">ROUND(D45*D78/(1+'数据-取费表'!C42),0)</f>
        <v>#REF!</v>
      </c>
      <c r="D78" s="2358">
        <f>'数据-取费表'!B43</f>
        <v>5.000000000000001E-3</v>
      </c>
      <c r="E78" s="3743" t="s">
        <v>1406</v>
      </c>
      <c r="F78" s="3744"/>
      <c r="G78" s="3744"/>
      <c r="H78" s="374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49"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754" t="s">
        <v>1410</v>
      </c>
      <c r="B83" s="3755"/>
      <c r="C83" s="3755"/>
      <c r="D83" s="3755"/>
      <c r="E83" s="3755"/>
      <c r="F83" s="3755"/>
      <c r="G83" s="3755"/>
      <c r="H83" s="375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746" t="s">
        <v>1375</v>
      </c>
      <c r="B84" s="3747"/>
      <c r="C84" s="1861"/>
      <c r="D84" s="1861"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49"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49" t="e">
        <f ca="1">IF(H88="仅含出让金",C87+C90+C91+C92+C93+C94,C87+C91+C92+C93+C94)</f>
        <v>#REF!</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7">
        <f>C88+C89</f>
        <v>0</v>
      </c>
      <c r="D87" s="2358"/>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3"/>
      <c r="D88" s="2358"/>
      <c r="E88" s="185" t="s">
        <v>1413</v>
      </c>
      <c r="F88" s="2144"/>
      <c r="G88" s="186" t="s">
        <v>1414</v>
      </c>
      <c r="H88" s="1683"/>
      <c r="I88" s="1680"/>
      <c r="J88" s="2303"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7">
        <f>ROUND(C88*D89,0)</f>
        <v>0</v>
      </c>
      <c r="D89" s="2358">
        <f>'数据-取费表'!B48+'数据-取费表'!B49</f>
        <v>3.0499999999999999E-2</v>
      </c>
      <c r="E89" s="185" t="s">
        <v>1415</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3"/>
      <c r="D90" s="2358"/>
      <c r="E90" s="185" t="str">
        <f>IF(H88="-","土地取得成本中已包含该笔费用"," ")</f>
        <v xml:space="preserve"> </v>
      </c>
      <c r="F90" s="2144"/>
      <c r="G90" s="3712" t="s">
        <v>2126</v>
      </c>
      <c r="H90" s="3713"/>
      <c r="I90" s="1680"/>
      <c r="J90" s="2303"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7">
        <f>IF(H91="——",成本法!C33,I91)</f>
        <v>0</v>
      </c>
      <c r="D91" s="2358"/>
      <c r="E91" s="3743" t="s">
        <v>1419</v>
      </c>
      <c r="F91" s="3744"/>
      <c r="G91" s="3744"/>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7">
        <f>ROUND((C87+C90+C91)*D92,0)</f>
        <v>0</v>
      </c>
      <c r="D92" s="2364"/>
      <c r="E92" s="3743" t="s">
        <v>1422</v>
      </c>
      <c r="F92" s="3744"/>
      <c r="G92" s="3744"/>
      <c r="H92" s="3745"/>
      <c r="I92" s="1680"/>
      <c r="J92" s="2304"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7" t="e">
        <f ca="1">ROUND(D45*D93/(1+'数据-取费表'!C42),0)</f>
        <v>#REF!</v>
      </c>
      <c r="D93" s="2358">
        <f>'数据-取费表'!B43</f>
        <v>5.000000000000001E-3</v>
      </c>
      <c r="E93" s="3743" t="s">
        <v>1406</v>
      </c>
      <c r="F93" s="3744"/>
      <c r="G93" s="3744"/>
      <c r="H93" s="374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3">
        <f>ROUND((C87+C90+C91)*D94,0)</f>
        <v>0</v>
      </c>
      <c r="D94" s="2358">
        <v>0.2</v>
      </c>
      <c r="E94" s="3788" t="s">
        <v>1426</v>
      </c>
      <c r="F94" s="3789"/>
      <c r="G94" s="3789"/>
      <c r="H94" s="379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49"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693" t="s">
        <v>1428</v>
      </c>
      <c r="B100" s="3694"/>
      <c r="C100" s="3694"/>
      <c r="D100" s="3728"/>
      <c r="E100" s="3694" t="s">
        <v>1429</v>
      </c>
      <c r="F100" s="3694"/>
      <c r="G100" s="3694"/>
      <c r="H100" s="3728"/>
      <c r="I100" s="121"/>
    </row>
    <row r="101" spans="1:35" ht="18.75" customHeight="1">
      <c r="A101" s="3736" t="s">
        <v>1430</v>
      </c>
      <c r="B101" s="3737"/>
      <c r="C101" s="2366" t="str">
        <f>C4</f>
        <v>成本法 (元)</v>
      </c>
      <c r="D101" s="2367" t="str">
        <f>D4</f>
        <v>比较法-住宅</v>
      </c>
      <c r="E101" s="3706" t="s">
        <v>1431</v>
      </c>
      <c r="F101" s="3707"/>
      <c r="G101" s="1686" t="s">
        <v>1432</v>
      </c>
      <c r="H101" s="2376" t="e">
        <f ca="1">H118</f>
        <v>#REF!</v>
      </c>
      <c r="I101" s="121"/>
    </row>
    <row r="102" spans="1:35" ht="18.75" customHeight="1">
      <c r="A102" s="3738" t="s">
        <v>1433</v>
      </c>
      <c r="B102" s="2365" t="s">
        <v>1432</v>
      </c>
      <c r="C102" s="2366">
        <f ca="1">IF(D32="楼面单价",ROUND(C19,0),C19)</f>
        <v>252.1069</v>
      </c>
      <c r="D102" s="2367">
        <f ca="1">IF(D32="楼面单价",ROUND(D19,0),D19)</f>
        <v>147.69829999999999</v>
      </c>
      <c r="E102" s="3706"/>
      <c r="F102" s="3707"/>
      <c r="G102" s="1686" t="s">
        <v>1434</v>
      </c>
      <c r="H102" s="2336" t="e">
        <f ca="1">I118</f>
        <v>#REF!</v>
      </c>
      <c r="I102" s="121"/>
    </row>
    <row r="103" spans="1:35" ht="42.75" customHeight="1">
      <c r="A103" s="3738"/>
      <c r="B103" s="2365" t="s">
        <v>1434</v>
      </c>
      <c r="C103" s="2368">
        <f ca="1">C20</f>
        <v>12326</v>
      </c>
      <c r="D103" s="2369">
        <f ca="1">D20</f>
        <v>7221</v>
      </c>
      <c r="E103" s="3699" t="s">
        <v>1435</v>
      </c>
      <c r="F103" s="3700"/>
      <c r="G103" s="1687" t="s">
        <v>1436</v>
      </c>
      <c r="H103" s="2376">
        <f>IF(D36="正常操作",H104+H105+H106,H105+H106)</f>
        <v>0</v>
      </c>
      <c r="I103" s="121"/>
    </row>
    <row r="104" spans="1:35" ht="18.75" customHeight="1">
      <c r="A104" s="3738" t="s">
        <v>1437</v>
      </c>
      <c r="B104" s="2370" t="s">
        <v>1432</v>
      </c>
      <c r="C104" s="2371" t="e">
        <f ca="1">H118</f>
        <v>#REF!</v>
      </c>
      <c r="D104" s="2372"/>
      <c r="E104" s="1554" t="s">
        <v>1438</v>
      </c>
      <c r="F104" s="1547"/>
      <c r="G104" s="1687" t="s">
        <v>1436</v>
      </c>
      <c r="H104" s="2377">
        <f>IF(D36="同一抵押权人同一抵押物续贷",C36&amp;"（续贷，未扣减，详见特别提示）",C36)</f>
        <v>0</v>
      </c>
      <c r="I104" s="121"/>
    </row>
    <row r="105" spans="1:35" ht="18.75" customHeight="1" thickBot="1">
      <c r="A105" s="3748"/>
      <c r="B105" s="2373" t="s">
        <v>1434</v>
      </c>
      <c r="C105" s="2374" t="e">
        <f ca="1">I118</f>
        <v>#REF!</v>
      </c>
      <c r="D105" s="2375"/>
      <c r="E105" s="1554" t="s">
        <v>1439</v>
      </c>
      <c r="F105" s="1547"/>
      <c r="G105" s="1687" t="s">
        <v>1436</v>
      </c>
      <c r="H105" s="2378">
        <f>C37</f>
        <v>0</v>
      </c>
      <c r="I105" s="121"/>
    </row>
    <row r="106" spans="1:35" ht="18.75" customHeight="1">
      <c r="A106" s="646" t="s">
        <v>1440</v>
      </c>
      <c r="B106" s="646"/>
      <c r="C106" s="646"/>
      <c r="D106" s="646"/>
      <c r="E106" s="1688" t="s">
        <v>1441</v>
      </c>
      <c r="F106" s="1547"/>
      <c r="G106" s="1687" t="s">
        <v>1436</v>
      </c>
      <c r="H106" s="2378">
        <f>C38</f>
        <v>0</v>
      </c>
      <c r="I106" s="121"/>
    </row>
    <row r="107" spans="1:35" ht="18.75" customHeight="1">
      <c r="A107" s="121"/>
      <c r="B107" s="121"/>
      <c r="C107" s="121"/>
      <c r="D107" s="121"/>
      <c r="E107" s="3739" t="str">
        <f>IF(项目基本情况!E8="已注销","——","3.房地产抵押价值")</f>
        <v>3.房地产抵押价值</v>
      </c>
      <c r="F107" s="3707"/>
      <c r="G107" s="1686" t="s">
        <v>1432</v>
      </c>
      <c r="H107" s="2376" t="e">
        <f ca="1">IF(E107="——","——",H101-H103)</f>
        <v>#REF!</v>
      </c>
      <c r="I107" s="121"/>
    </row>
    <row r="108" spans="1:35" ht="18.75" customHeight="1">
      <c r="A108" s="121"/>
      <c r="B108" s="121"/>
      <c r="C108" s="121"/>
      <c r="D108" s="121"/>
      <c r="E108" s="3739"/>
      <c r="F108" s="3707"/>
      <c r="G108" s="1686" t="s">
        <v>1434</v>
      </c>
      <c r="H108" s="2336">
        <f ca="1">IF(H107=H101,H102,ROUND(H107*10000/'数据-汇总表'!E3,0))</f>
        <v>0</v>
      </c>
      <c r="I108" s="121"/>
    </row>
    <row r="109" spans="1:35" ht="18.75" customHeight="1">
      <c r="A109" s="121"/>
      <c r="B109" s="121"/>
      <c r="C109" s="121"/>
      <c r="D109" s="121"/>
      <c r="E109" s="3739" t="str">
        <f>IF(项目基本情况!E8="已注销及未注销","4.抵押担保权已注销时的房地产抵押价值",IF(项目基本情况!E8="已注销","3.抵押担保权已注销时的房地产抵押价值","——"))</f>
        <v>——</v>
      </c>
      <c r="F109" s="3707"/>
      <c r="G109" s="1686" t="s">
        <v>1432</v>
      </c>
      <c r="H109" s="2379" t="str">
        <f>IF(E109="——","——",H101-H105-H106)</f>
        <v>——</v>
      </c>
      <c r="I109" s="121"/>
    </row>
    <row r="110" spans="1:35" ht="18.75" customHeight="1">
      <c r="A110" s="121"/>
      <c r="B110" s="121"/>
      <c r="C110" s="121"/>
      <c r="D110" s="121"/>
      <c r="E110" s="3739"/>
      <c r="F110" s="3707"/>
      <c r="G110" s="1686" t="s">
        <v>1434</v>
      </c>
      <c r="H110" s="2336" t="str">
        <f>IF(H109="——","——",ROUND(H109*10000/'数据-汇总表'!E3,0))</f>
        <v>——</v>
      </c>
      <c r="I110" s="121"/>
    </row>
    <row r="111" spans="1:35" ht="18.75" customHeight="1">
      <c r="A111" s="121"/>
      <c r="B111" s="121"/>
      <c r="C111" s="121"/>
      <c r="D111" s="121"/>
      <c r="E111" s="3740" t="str">
        <f>IF(项目基本情况!E9="抵押净值",IF(OR(项目基本情况!E8="已注销",项目基本情况!E8="房地产抵押价值"),"4.抵押净值","5.抵押净值"),"——")</f>
        <v>——</v>
      </c>
      <c r="F111" s="3726"/>
      <c r="G111" s="1686" t="s">
        <v>1432</v>
      </c>
      <c r="H111" s="2376" t="str">
        <f>IF(E111="——","——",N59)</f>
        <v>——</v>
      </c>
      <c r="I111" s="121"/>
    </row>
    <row r="112" spans="1:35" ht="18.75" customHeight="1" thickBot="1">
      <c r="A112" s="121"/>
      <c r="B112" s="121"/>
      <c r="C112" s="121"/>
      <c r="D112" s="121"/>
      <c r="E112" s="3741"/>
      <c r="F112" s="3742"/>
      <c r="G112" s="1689" t="s">
        <v>1434</v>
      </c>
      <c r="H112" s="2380" t="str">
        <f>IF(E111="——","——",N61)</f>
        <v>——</v>
      </c>
      <c r="I112" s="121"/>
    </row>
    <row r="113" spans="1:27" ht="18.75" customHeight="1">
      <c r="A113" s="121"/>
      <c r="B113" s="121"/>
      <c r="C113" s="121"/>
      <c r="D113" s="121"/>
      <c r="E113" s="3749" t="s">
        <v>1440</v>
      </c>
      <c r="F113" s="3749"/>
      <c r="G113" s="3749"/>
      <c r="H113" s="3749"/>
      <c r="I113" s="121"/>
    </row>
    <row r="114" spans="1:27" ht="3.75" customHeight="1">
      <c r="A114" s="646"/>
      <c r="B114" s="646"/>
      <c r="C114" s="646"/>
      <c r="D114" s="646"/>
      <c r="E114" s="1670"/>
      <c r="F114" s="1670"/>
      <c r="G114" s="1670"/>
      <c r="H114" s="1670"/>
      <c r="I114" s="646"/>
    </row>
    <row r="115" spans="1:27" ht="18.75" customHeight="1">
      <c r="A115" s="3757" t="s">
        <v>1442</v>
      </c>
      <c r="B115" s="3758"/>
      <c r="C115" s="3758"/>
      <c r="D115" s="3758"/>
      <c r="E115" s="3758"/>
      <c r="F115" s="3758"/>
      <c r="G115" s="3758"/>
      <c r="H115" s="3758"/>
      <c r="I115" s="3759"/>
    </row>
    <row r="116" spans="1:27" ht="27" customHeight="1">
      <c r="A116" s="3714" t="s">
        <v>1443</v>
      </c>
      <c r="B116" s="3718" t="s">
        <v>1444</v>
      </c>
      <c r="C116" s="3718" t="s">
        <v>1445</v>
      </c>
      <c r="D116" s="3724" t="s">
        <v>1446</v>
      </c>
      <c r="E116" s="3725"/>
      <c r="F116" s="3756" t="s">
        <v>1447</v>
      </c>
      <c r="G116" s="3756"/>
      <c r="H116" s="3714" t="s">
        <v>1448</v>
      </c>
      <c r="I116" s="3714"/>
    </row>
    <row r="117" spans="1:27" ht="18.75" customHeight="1">
      <c r="A117" s="3714"/>
      <c r="B117" s="3719"/>
      <c r="C117" s="3719"/>
      <c r="D117" s="2146" t="s">
        <v>1449</v>
      </c>
      <c r="E117" s="2146" t="s">
        <v>1450</v>
      </c>
      <c r="F117" s="2146" t="s">
        <v>1449</v>
      </c>
      <c r="G117" s="2146" t="s">
        <v>1451</v>
      </c>
      <c r="H117" s="2146" t="s">
        <v>1449</v>
      </c>
      <c r="I117" s="2146" t="s">
        <v>1451</v>
      </c>
    </row>
    <row r="118" spans="1:27" ht="24.75" customHeight="1">
      <c r="A118" s="2381" t="str">
        <f>项目基本情况!S2</f>
        <v>北京市房地产</v>
      </c>
      <c r="B118" s="2146">
        <f>M18</f>
        <v>204.54</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714" t="s">
        <v>1452</v>
      </c>
      <c r="B119" s="3714"/>
      <c r="C119" s="3714"/>
      <c r="D119" s="3720" t="e">
        <f ca="1">NUMBERSTRING(INT(D118*10000),2)&amp;"元整"</f>
        <v>#REF!</v>
      </c>
      <c r="E119" s="3721"/>
      <c r="F119" s="3720" t="e">
        <f ca="1">NUMBERSTRING(INT(F118*10000),2)&amp;"元整"</f>
        <v>#REF!</v>
      </c>
      <c r="G119" s="3721"/>
      <c r="H119" s="3720" t="e">
        <f ca="1">NUMBERSTRING(INT(H118*10000),2)&amp;"元整"</f>
        <v>#REF!</v>
      </c>
      <c r="I119" s="3721"/>
    </row>
    <row r="120" spans="1:27" ht="18.75" customHeight="1">
      <c r="A120" s="3715" t="str">
        <f>IF(项目基本情况!B9="房地产市场价值","",MID(E103,3,LEN(E103)-2))</f>
        <v>估价师知悉的法定优先受偿款</v>
      </c>
      <c r="B120" s="3716"/>
      <c r="C120" s="3717"/>
      <c r="D120" s="3715">
        <f>H103</f>
        <v>0</v>
      </c>
      <c r="E120" s="3716"/>
      <c r="F120" s="3716"/>
      <c r="G120" s="3716"/>
      <c r="H120" s="3716"/>
      <c r="I120" s="371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720" t="s">
        <v>1452</v>
      </c>
      <c r="B121" s="3722"/>
      <c r="C121" s="3721"/>
      <c r="D121" s="3720" t="str">
        <f>IF(D120=0,"零元整",NUMBERSTRING(INT(D120*10000),2)&amp;"元整")</f>
        <v>零元整</v>
      </c>
      <c r="E121" s="3722"/>
      <c r="F121" s="3722"/>
      <c r="G121" s="3722"/>
      <c r="H121" s="3722"/>
      <c r="I121" s="3721"/>
      <c r="AA121" s="684"/>
    </row>
    <row r="122" spans="1:27" ht="18.75" customHeight="1">
      <c r="A122" s="3726" t="str">
        <f>IF(项目基本情况!B9="房地产市场价值","",MID(E107,3,LEN(E107)-2))</f>
        <v>房地产抵押价值</v>
      </c>
      <c r="B122" s="3726"/>
      <c r="C122" s="3726"/>
      <c r="D122" s="3715" t="e">
        <f ca="1">H107</f>
        <v>#REF!</v>
      </c>
      <c r="E122" s="3716"/>
      <c r="F122" s="3716"/>
      <c r="G122" s="3716"/>
      <c r="H122" s="3716"/>
      <c r="I122" s="3717"/>
      <c r="AA122" s="684"/>
    </row>
    <row r="123" spans="1:27" ht="18.75" customHeight="1">
      <c r="A123" s="3714" t="s">
        <v>1452</v>
      </c>
      <c r="B123" s="3714"/>
      <c r="C123" s="3714"/>
      <c r="D123" s="3720" t="e">
        <f ca="1">NUMBERSTRING(INT(D122*10000),2)&amp;"元整"</f>
        <v>#REF!</v>
      </c>
      <c r="E123" s="3722"/>
      <c r="F123" s="3722"/>
      <c r="G123" s="3722"/>
      <c r="H123" s="3722"/>
      <c r="I123" s="3721"/>
      <c r="AA123" s="684"/>
    </row>
    <row r="124" spans="1:27" ht="18.75" customHeight="1">
      <c r="A124" s="3726" t="str">
        <f>IF(项目基本情况!B9="房地产市场价值","",MID(E109,3,LEN(E109)-2))</f>
        <v/>
      </c>
      <c r="B124" s="3726"/>
      <c r="C124" s="3726"/>
      <c r="D124" s="3715" t="str">
        <f>H109</f>
        <v>——</v>
      </c>
      <c r="E124" s="3716"/>
      <c r="F124" s="3716"/>
      <c r="G124" s="3716"/>
      <c r="H124" s="3716"/>
      <c r="I124" s="3717"/>
      <c r="AA124" s="684"/>
    </row>
    <row r="125" spans="1:27" ht="18.75" customHeight="1">
      <c r="A125" s="3714" t="s">
        <v>1452</v>
      </c>
      <c r="B125" s="3714"/>
      <c r="C125" s="3714"/>
      <c r="D125" s="3720" t="e">
        <f>NUMBERSTRING(INT(D124*10000),2)&amp;"元整"</f>
        <v>#VALUE!</v>
      </c>
      <c r="E125" s="3722"/>
      <c r="F125" s="3722"/>
      <c r="G125" s="3722"/>
      <c r="H125" s="3722"/>
      <c r="I125" s="3721"/>
      <c r="AA125" s="684"/>
    </row>
    <row r="126" spans="1:27" ht="18.75" customHeight="1">
      <c r="A126" s="3726" t="str">
        <f>IF(项目基本情况!B9="房地产市场价值","",MID(E111,3,LEN(E111)-2))</f>
        <v/>
      </c>
      <c r="B126" s="3726"/>
      <c r="C126" s="3726"/>
      <c r="D126" s="3715" t="str">
        <f>H111</f>
        <v>——</v>
      </c>
      <c r="E126" s="3716"/>
      <c r="F126" s="3716"/>
      <c r="G126" s="3716"/>
      <c r="H126" s="3716"/>
      <c r="I126" s="3717"/>
      <c r="AA126" s="684"/>
    </row>
    <row r="127" spans="1:27" ht="18.75" customHeight="1">
      <c r="A127" s="3714" t="s">
        <v>1452</v>
      </c>
      <c r="B127" s="3714"/>
      <c r="C127" s="3714"/>
      <c r="D127" s="3720" t="e">
        <f>NUMBERSTRING(INT(D126*10000),2)&amp;"元整"</f>
        <v>#VALUE!</v>
      </c>
      <c r="E127" s="3722"/>
      <c r="F127" s="3722"/>
      <c r="G127" s="3722"/>
      <c r="H127" s="3722"/>
      <c r="I127" s="3721"/>
      <c r="AA127" s="684"/>
    </row>
    <row r="128" spans="1:27" ht="21.75" customHeight="1">
      <c r="A128" s="3723" t="s">
        <v>1453</v>
      </c>
      <c r="B128" s="3723"/>
      <c r="C128" s="3723"/>
      <c r="D128" s="3723"/>
      <c r="E128" s="3723"/>
      <c r="F128" s="3723"/>
      <c r="G128" s="3723"/>
      <c r="H128" s="3723"/>
      <c r="I128" s="3723"/>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45704</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2234477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32726</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32726</v>
      </c>
      <c r="D8" s="214"/>
      <c r="E8" s="212"/>
      <c r="F8" s="213"/>
      <c r="G8" s="1713"/>
    </row>
    <row r="9" spans="1:9" s="206" customFormat="1" ht="13.5" customHeight="1">
      <c r="A9" s="733" t="s">
        <v>355</v>
      </c>
      <c r="B9" s="216" t="s">
        <v>1478</v>
      </c>
      <c r="C9" s="217">
        <f ca="1">ROUND(D9*E9/10000,0)</f>
        <v>3</v>
      </c>
      <c r="D9" s="795">
        <f ca="1">IF(B1="",'数据-汇总表'!E5,IF(INDIRECT("'数据-取费表'!c"&amp;$G$1)="住宅",INDIRECT("'数据-取费表'!k"&amp;$G$1),0))</f>
        <v>204.54</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204.54</v>
      </c>
      <c r="E19" s="203">
        <f>'数据-取费表'!B31</f>
        <v>200</v>
      </c>
      <c r="F19" s="223"/>
      <c r="G19" s="1713"/>
    </row>
    <row r="20" spans="1:7" s="206" customFormat="1" ht="13.5" customHeight="1">
      <c r="A20" s="247" t="s">
        <v>1493</v>
      </c>
      <c r="B20" s="202" t="s">
        <v>1494</v>
      </c>
      <c r="C20" s="224">
        <f ca="1">ROUND((C5+C19)*F20,0)</f>
        <v>655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1933</v>
      </c>
      <c r="D22" s="227">
        <f ca="1">C26</f>
        <v>5.9999999999999995E-4</v>
      </c>
      <c r="E22" s="228" t="s">
        <v>1498</v>
      </c>
      <c r="F22" s="229">
        <f ca="1">'数据-取费表'!B40</f>
        <v>5.8499999999999996E-2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1914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19</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6677</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6677</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45627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51</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3</v>
      </c>
      <c r="D36" s="212"/>
      <c r="E36" s="212"/>
      <c r="F36" s="251">
        <f>'数据-取费表'!B34</f>
        <v>0.05</v>
      </c>
      <c r="G36" s="252" t="s">
        <v>1530</v>
      </c>
    </row>
    <row r="37" spans="1:7" s="250" customFormat="1" ht="13.5" customHeight="1">
      <c r="A37" s="734" t="s">
        <v>353</v>
      </c>
      <c r="B37" s="207" t="s">
        <v>1531</v>
      </c>
      <c r="C37" s="241">
        <f ca="1">ROUND(E37*D37*F34/10000,0)</f>
        <v>4</v>
      </c>
      <c r="D37" s="209">
        <f ca="1">D19</f>
        <v>204.54</v>
      </c>
      <c r="E37" s="241">
        <f>'数据-取费表'!B35</f>
        <v>200</v>
      </c>
      <c r="F37" s="251"/>
      <c r="G37" s="253" t="s">
        <v>1532</v>
      </c>
    </row>
    <row r="38" spans="1:7" ht="13.5" customHeight="1">
      <c r="A38" s="734"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5.8499999999999996E-2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2</v>
      </c>
      <c r="D42" s="230"/>
      <c r="E42" s="230"/>
      <c r="F42" s="231"/>
      <c r="G42" s="3793" t="s">
        <v>1544</v>
      </c>
    </row>
    <row r="43" spans="1:7" ht="13.5" customHeight="1">
      <c r="A43" s="734" t="s">
        <v>347</v>
      </c>
      <c r="B43" s="207" t="s">
        <v>1545</v>
      </c>
      <c r="C43" s="230">
        <f ca="1">ROUND(IF('数据-取费表'!B22&lt;=1,C39*F22*'数据-取费表'!B21/2,C39*(POWER((1+F22),'数据-取费表'!B21/2)-1)),0)</f>
        <v>0</v>
      </c>
      <c r="D43" s="230"/>
      <c r="E43" s="230"/>
      <c r="F43" s="231"/>
      <c r="G43" s="3794"/>
    </row>
    <row r="44" spans="1:7" ht="13.5" customHeight="1">
      <c r="A44" s="734" t="s">
        <v>348</v>
      </c>
      <c r="B44" s="207" t="s">
        <v>1546</v>
      </c>
      <c r="C44" s="230">
        <f ca="1">ROUND(IF('数据-取费表'!B22&lt;=1,C40*F22*'数据-取费表'!B21/2,C40*(POWER((1+F22),'数据-取费表'!B21/2)-1)),4)</f>
        <v>5.9999999999999995E-4</v>
      </c>
      <c r="D44" s="230"/>
      <c r="E44" s="230"/>
      <c r="F44" s="231"/>
      <c r="G44" s="3795"/>
    </row>
    <row r="45" spans="1:7" s="206" customFormat="1" ht="13.5" customHeight="1">
      <c r="A45" s="247" t="s">
        <v>1547</v>
      </c>
      <c r="B45" s="236" t="s">
        <v>1513</v>
      </c>
      <c r="C45" s="237">
        <f ca="1">C46</f>
        <v>12</v>
      </c>
      <c r="D45" s="227">
        <f ca="1">C47</f>
        <v>4.0000000000000001E-3</v>
      </c>
      <c r="E45" s="228" t="s">
        <v>1539</v>
      </c>
      <c r="F45" s="238">
        <f ca="1">F27</f>
        <v>0.2</v>
      </c>
      <c r="G45" s="239" t="s">
        <v>1548</v>
      </c>
    </row>
    <row r="46" spans="1:7" s="206" customFormat="1" ht="13.5" customHeight="1">
      <c r="A46" s="734" t="s">
        <v>346</v>
      </c>
      <c r="B46" s="240" t="s">
        <v>1549</v>
      </c>
      <c r="C46" s="241">
        <f ca="1">ROUND((C33+C39)*F27,0)</f>
        <v>12</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5.5E-2</v>
      </c>
      <c r="D48" s="228" t="s">
        <v>1539</v>
      </c>
      <c r="E48" s="224"/>
      <c r="F48" s="229">
        <f>F30</f>
        <v>5.5000000000000007E-2</v>
      </c>
      <c r="G48" s="226" t="s">
        <v>1552</v>
      </c>
    </row>
    <row r="49" spans="1:7" ht="16.5" customHeight="1">
      <c r="A49" s="247" t="s">
        <v>1518</v>
      </c>
      <c r="B49" s="202" t="s">
        <v>1553</v>
      </c>
      <c r="C49" s="224">
        <f ca="1">ROUND((C33+C39+C41+C45)/(1-C40-D41-D45-C48),0)</f>
        <v>83</v>
      </c>
      <c r="D49" s="224"/>
      <c r="E49" s="224"/>
      <c r="F49" s="256"/>
      <c r="G49" s="226" t="s">
        <v>1554</v>
      </c>
    </row>
    <row r="50" spans="1:7" s="250" customFormat="1" ht="24">
      <c r="A50" s="247" t="s">
        <v>1555</v>
      </c>
      <c r="B50" s="202" t="s">
        <v>1556</v>
      </c>
      <c r="C50" s="224"/>
      <c r="D50" s="224"/>
      <c r="E50" s="224"/>
      <c r="F50" s="256">
        <f>IF('数据-取费表'!B24=0,'数据-取费表'!N16,1)</f>
        <v>0.93</v>
      </c>
      <c r="G50" s="239" t="s">
        <v>1557</v>
      </c>
    </row>
    <row r="51" spans="1:7" ht="16.5" customHeight="1">
      <c r="A51" s="247" t="s">
        <v>1558</v>
      </c>
      <c r="B51" s="202" t="s">
        <v>1559</v>
      </c>
      <c r="C51" s="224">
        <f ca="1">ROUND(C49*F50,0)</f>
        <v>77</v>
      </c>
      <c r="D51" s="224"/>
      <c r="E51" s="224"/>
      <c r="F51" s="256"/>
      <c r="G51" s="226" t="s">
        <v>1560</v>
      </c>
    </row>
    <row r="52" spans="1:7" s="200" customFormat="1" ht="16.5" thickBot="1">
      <c r="A52" s="257" t="s">
        <v>1561</v>
      </c>
      <c r="B52" s="258"/>
      <c r="C52" s="259">
        <f ca="1">C31+C51</f>
        <v>45704</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611" t="str">
        <f>项目基本情况!B1</f>
        <v>北京市预评估</v>
      </c>
      <c r="C37" s="3611"/>
      <c r="D37" s="3611"/>
      <c r="E37" s="3611"/>
      <c r="F37" s="3611"/>
      <c r="G37" s="3611"/>
      <c r="H37" s="3611"/>
      <c r="I37" s="3611"/>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3"/>
      <c r="F1" s="2563"/>
      <c r="G1" s="2444"/>
      <c r="H1" s="2563"/>
      <c r="I1" s="2563"/>
      <c r="J1" s="2563"/>
      <c r="K1" s="2564">
        <f>MATCH(C1,'数据-取费表'!A6:A16,0)+5</f>
        <v>7</v>
      </c>
    </row>
    <row r="2" spans="1:33" ht="18" customHeight="1">
      <c r="A2" s="193" t="s">
        <v>1462</v>
      </c>
      <c r="B2" s="196">
        <f ca="1">C32</f>
        <v>38867</v>
      </c>
      <c r="C2" s="268" t="s">
        <v>1595</v>
      </c>
      <c r="D2" s="268"/>
      <c r="E2" s="2563"/>
      <c r="F2" s="2563"/>
      <c r="G2" s="2563"/>
      <c r="H2" s="2563"/>
      <c r="I2" s="2563"/>
      <c r="J2" s="2563"/>
      <c r="K2" s="2563"/>
    </row>
    <row r="3" spans="1:33" ht="18" customHeight="1" thickBot="1">
      <c r="A3" s="195" t="s">
        <v>1464</v>
      </c>
      <c r="B3" s="196">
        <f ca="1">ROUND(B2*10000/IF(C1="",'数据-汇总表'!E3,INDIRECT("'数据-取费表'!K"&amp;$K$1)),0)</f>
        <v>1900215</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204.54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204.54</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-32723</v>
      </c>
      <c r="D18" s="796"/>
      <c r="E18" s="21"/>
      <c r="F18" s="756"/>
      <c r="G18" s="1719"/>
      <c r="H18" s="1105"/>
      <c r="I18" s="1720"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204.54</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-32723</v>
      </c>
      <c r="D21" s="767"/>
      <c r="E21" s="273"/>
      <c r="F21" s="273"/>
      <c r="G21" s="123" t="s">
        <v>1629</v>
      </c>
      <c r="H21" s="759"/>
      <c r="I21" s="759"/>
      <c r="J21" s="759"/>
      <c r="K21" s="760"/>
    </row>
    <row r="22" spans="1:33" s="755" customFormat="1" ht="13.5" customHeight="1">
      <c r="A22" s="744" t="s">
        <v>1601</v>
      </c>
      <c r="B22" s="765" t="s">
        <v>1630</v>
      </c>
      <c r="C22" s="766">
        <f ca="1">ROUND(C21*F22,0)</f>
        <v>-654</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5.8499999999999996E-2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-6675</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-6675</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38867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4"/>
      <c r="H2" s="2464"/>
      <c r="I2" s="2464"/>
      <c r="J2" s="2464"/>
      <c r="K2" s="2465"/>
      <c r="L2" s="2464"/>
      <c r="M2" s="2464"/>
    </row>
    <row r="3" spans="1:37" ht="18" customHeight="1" thickBot="1">
      <c r="A3" s="1296" t="s">
        <v>806</v>
      </c>
      <c r="B3" s="1297">
        <f ca="1">IF(ISERROR(B2*10000/F43),0,ROUND(B2*10000/F43,0))</f>
        <v>0</v>
      </c>
      <c r="C3" s="1288" t="s">
        <v>807</v>
      </c>
      <c r="D3" s="1288"/>
      <c r="E3" s="1294"/>
      <c r="F3" s="1295"/>
      <c r="G3" s="2474"/>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798" t="s">
        <v>694</v>
      </c>
      <c r="C6" s="1011">
        <f ca="1">ROUND(F6*F8*F7*(1-F9)/10000,0)</f>
        <v>0</v>
      </c>
      <c r="D6" s="147" t="s">
        <v>2106</v>
      </c>
      <c r="E6" s="294" t="s">
        <v>696</v>
      </c>
      <c r="F6" s="295">
        <f ca="1">INDIRECT("'数据-取费表'!u"&amp;$G$1)</f>
        <v>0</v>
      </c>
      <c r="G6" s="1291"/>
      <c r="H6" s="1006" t="s">
        <v>398</v>
      </c>
      <c r="I6" s="3798" t="s">
        <v>694</v>
      </c>
      <c r="J6" s="293">
        <f ca="1">ROUND(M6*M8*M7*(1-M9)/10000,0)</f>
        <v>0</v>
      </c>
      <c r="K6" s="147" t="s">
        <v>2105</v>
      </c>
      <c r="L6" s="294" t="s">
        <v>696</v>
      </c>
      <c r="M6" s="295">
        <f ca="1">INDIRECT("'数据-取费表'!z"&amp;$G$1)</f>
        <v>0</v>
      </c>
    </row>
    <row r="7" spans="1:37" ht="18" customHeight="1">
      <c r="A7" s="1010"/>
      <c r="B7" s="3799"/>
      <c r="C7" s="1012"/>
      <c r="D7" s="299"/>
      <c r="E7" s="1013" t="s">
        <v>697</v>
      </c>
      <c r="F7" s="295">
        <f ca="1">IF(INDIRECT("'数据-取费表'!ah"&amp;$G$1)="",INDIRECT("'数据-取费表'!k"&amp;$G$1),INDIRECT("'数据-取费表'!ah"&amp;$G$1))</f>
        <v>0</v>
      </c>
      <c r="G7" s="1291"/>
      <c r="H7" s="296"/>
      <c r="I7" s="3799"/>
      <c r="J7" s="298"/>
      <c r="K7" s="299"/>
      <c r="L7" s="294" t="s">
        <v>697</v>
      </c>
      <c r="M7" s="295">
        <f ca="1">F7</f>
        <v>0</v>
      </c>
    </row>
    <row r="8" spans="1:37" ht="18" customHeight="1">
      <c r="A8" s="296"/>
      <c r="B8" s="3799"/>
      <c r="C8" s="298"/>
      <c r="D8" s="299"/>
      <c r="E8" s="294" t="s">
        <v>698</v>
      </c>
      <c r="F8" s="295">
        <f ca="1">INDIRECT("'数据-取费表'!ai"&amp;$G$1)</f>
        <v>0</v>
      </c>
      <c r="G8" s="1291"/>
      <c r="H8" s="296"/>
      <c r="I8" s="3799"/>
      <c r="J8" s="298"/>
      <c r="K8" s="299"/>
      <c r="L8" s="294" t="s">
        <v>698</v>
      </c>
      <c r="M8" s="295">
        <f ca="1">INDIRECT("'数据-取费表'!ai"&amp;$G$1)</f>
        <v>0</v>
      </c>
    </row>
    <row r="9" spans="1:37" ht="18" customHeight="1">
      <c r="A9" s="296"/>
      <c r="B9" s="3800"/>
      <c r="C9" s="298"/>
      <c r="D9" s="299"/>
      <c r="E9" s="294" t="s">
        <v>699</v>
      </c>
      <c r="F9" s="304">
        <f ca="1">INDIRECT("'数据-取费表'!w"&amp;$G$1)</f>
        <v>0</v>
      </c>
      <c r="G9" s="1291"/>
      <c r="H9" s="296"/>
      <c r="I9" s="3800"/>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2114</v>
      </c>
      <c r="E10" s="305" t="s">
        <v>701</v>
      </c>
      <c r="F10" s="1053"/>
      <c r="G10" s="1291"/>
      <c r="H10" s="1006" t="s">
        <v>402</v>
      </c>
      <c r="I10" s="1273" t="s">
        <v>700</v>
      </c>
      <c r="J10" s="293">
        <f ca="1">ROUND(IF(M10="押一",J6/12*M11,IF(M10="押二",J6/12*2*M11,IF(M10="押三",J6/12*3*M11,J11*M11))),0)</f>
        <v>0</v>
      </c>
      <c r="K10" s="150" t="s">
        <v>2113</v>
      </c>
      <c r="L10" s="305" t="s">
        <v>701</v>
      </c>
      <c r="M10" s="1053"/>
    </row>
    <row r="11" spans="1:37" ht="18" customHeight="1">
      <c r="A11" s="300"/>
      <c r="B11" s="1274" t="s">
        <v>679</v>
      </c>
      <c r="C11" s="905"/>
      <c r="D11" s="1275"/>
      <c r="E11" s="305" t="s">
        <v>702</v>
      </c>
      <c r="F11" s="306">
        <f ca="1">'数据-取费表'!B39</f>
        <v>2.2499999999999999E-2</v>
      </c>
      <c r="G11" s="1291"/>
      <c r="H11" s="1014"/>
      <c r="I11" s="1274" t="s">
        <v>679</v>
      </c>
      <c r="J11" s="905"/>
      <c r="K11" s="646"/>
      <c r="L11" s="305" t="s">
        <v>702</v>
      </c>
      <c r="M11" s="809">
        <f ca="1">'数据-取费表'!B39</f>
        <v>2.2499999999999999E-2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6">
        <f ca="1">ROUND(IF(AND(项目基本情况!B11="自然人",项目基本情况!B10="北京市"),J6*M17/(1+'数据-取费表'!C42),J18+J19+J20),2)</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3336</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销售费用×利率×(建设周期÷2)</v>
      </c>
      <c r="E24" s="294" t="s">
        <v>747</v>
      </c>
      <c r="F24" s="322">
        <f ca="1">'数据-取费表'!B40</f>
        <v>5.8499999999999996E-2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6"/>
      <c r="I30" s="1304"/>
      <c r="J30" s="1305"/>
      <c r="K30" s="121"/>
      <c r="L30" s="2467"/>
      <c r="M30" s="2468"/>
    </row>
    <row r="31" spans="1:37" ht="18" customHeight="1">
      <c r="A31" s="928" t="s">
        <v>398</v>
      </c>
      <c r="B31" s="294" t="s">
        <v>719</v>
      </c>
      <c r="C31" s="2136">
        <f ca="1">ROUND(IF(AND(项目基本情况!B11="自然人",项目基本情况!B10="北京市"),C6*F31/(1+'数据-取费表'!C42),C32+C33+C34),2)</f>
        <v>0</v>
      </c>
      <c r="D31" s="1256" t="s">
        <v>720</v>
      </c>
      <c r="E31" s="1255" t="s">
        <v>770</v>
      </c>
      <c r="F31" s="2135">
        <f ca="1">IF(项目基本情况!B11="企业","——",IF(M47="住宅",IF(F6*F7*F8/12/(1+'数据-取费表'!F30)&gt;100000,4%,2.5%),IF(F6*F7*F8/12/(1+'数据-取费表'!F30)&gt;100000,12%,7%)))</f>
        <v>7.0000000000000007E-2</v>
      </c>
      <c r="G31" s="1291"/>
      <c r="H31" s="2565" t="s">
        <v>2305</v>
      </c>
      <c r="I31" s="1304"/>
      <c r="J31" s="1305"/>
      <c r="K31" s="121"/>
      <c r="L31" s="2467"/>
      <c r="M31" s="2468"/>
    </row>
    <row r="32" spans="1:37" ht="18" customHeight="1">
      <c r="A32" s="928" t="s">
        <v>397</v>
      </c>
      <c r="B32" s="294" t="s">
        <v>723</v>
      </c>
      <c r="C32" s="21" t="str">
        <f>IF(项目基本情况!B11="自然人","——",ROUND(C6*F32/(1+'数据-取费表'!C42),2))</f>
        <v>——</v>
      </c>
      <c r="D32" s="1255" t="s">
        <v>724</v>
      </c>
      <c r="E32" s="294" t="s">
        <v>712</v>
      </c>
      <c r="F32" s="322">
        <f>'数据-取费表'!B41</f>
        <v>5.5000000000000007E-2</v>
      </c>
      <c r="G32" s="1291"/>
      <c r="H32" s="2466"/>
      <c r="I32" s="1304"/>
      <c r="J32" s="1305"/>
      <c r="K32" s="121"/>
      <c r="L32" s="2467"/>
      <c r="M32" s="2468"/>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3336</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t="str">
        <f>IF(项目基本情况!B11="自然人","——",ROUND(F34*F35/10000,2))</f>
        <v>——</v>
      </c>
      <c r="D34" s="316" t="s">
        <v>731</v>
      </c>
      <c r="E34" s="294" t="s">
        <v>732</v>
      </c>
      <c r="F34" s="317">
        <f>'数据-取费表'!B52</f>
        <v>0</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ROUND(C29*F36,2)</f>
        <v>0</v>
      </c>
      <c r="D36" s="1255" t="s">
        <v>771</v>
      </c>
      <c r="E36" s="294" t="s">
        <v>712</v>
      </c>
      <c r="F36" s="320">
        <f ca="1">INDIRECT("'数据-取费表'!Ak"&amp;$G$1)</f>
        <v>0</v>
      </c>
      <c r="G36" s="1291"/>
      <c r="H36" s="2469"/>
      <c r="I36" s="1304"/>
      <c r="J36" s="1305"/>
      <c r="K36" s="2326"/>
      <c r="L36" s="2469"/>
      <c r="M36" s="2469"/>
    </row>
    <row r="37" spans="1:18" ht="18" customHeight="1">
      <c r="A37" s="928" t="s">
        <v>437</v>
      </c>
      <c r="B37" s="294" t="s">
        <v>742</v>
      </c>
      <c r="C37" s="21">
        <f ca="1">ROUND(C13*F37,2)</f>
        <v>0</v>
      </c>
      <c r="D37" s="1255" t="s">
        <v>743</v>
      </c>
      <c r="E37" s="294" t="s">
        <v>744</v>
      </c>
      <c r="F37" s="321">
        <f ca="1">INDIRECT("'数据-取费表'!Al"&amp;$G$1)</f>
        <v>0</v>
      </c>
      <c r="G37" s="1291"/>
      <c r="H37" s="2469"/>
      <c r="I37" s="1304"/>
      <c r="J37" s="1305"/>
      <c r="K37" s="2326"/>
      <c r="L37" s="2469"/>
      <c r="M37" s="2469"/>
    </row>
    <row r="38" spans="1:18" ht="18" customHeight="1" thickBot="1">
      <c r="A38" s="1026" t="s">
        <v>684</v>
      </c>
      <c r="B38" s="1027" t="s">
        <v>728</v>
      </c>
      <c r="C38" s="1028">
        <f ca="1">ROUND(C5*F38,2)</f>
        <v>0</v>
      </c>
      <c r="D38" s="1029" t="s">
        <v>748</v>
      </c>
      <c r="E38" s="1027" t="s">
        <v>744</v>
      </c>
      <c r="F38" s="1023">
        <f ca="1">INDIRECT("'数据-取费表'!Am"&amp;$G$1)</f>
        <v>0</v>
      </c>
      <c r="G38" s="1291"/>
      <c r="H38" s="2469"/>
      <c r="I38" s="1304"/>
      <c r="J38" s="1305"/>
      <c r="K38" s="2467"/>
      <c r="L38" s="2469"/>
      <c r="M38" s="2469"/>
    </row>
    <row r="39" spans="1:18" ht="24.6" customHeight="1" thickTop="1">
      <c r="A39" s="1016" t="s">
        <v>394</v>
      </c>
      <c r="B39" s="1031" t="s">
        <v>772</v>
      </c>
      <c r="C39" s="302">
        <f ca="1">C5-C30</f>
        <v>0</v>
      </c>
      <c r="D39" s="1032" t="s">
        <v>773</v>
      </c>
      <c r="E39" s="1033"/>
      <c r="F39" s="1034"/>
      <c r="G39" s="1291"/>
      <c r="H39" s="2469"/>
      <c r="I39" s="1304"/>
      <c r="J39" s="1305"/>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6"/>
      <c r="L41" s="121"/>
      <c r="M41" s="121"/>
    </row>
    <row r="42" spans="1:18" ht="18" customHeight="1">
      <c r="A42" s="300"/>
      <c r="B42" s="301"/>
      <c r="C42" s="302"/>
      <c r="D42" s="319"/>
      <c r="E42" s="294" t="s">
        <v>766</v>
      </c>
      <c r="F42" s="304">
        <f ca="1">INDIRECT("'数据-取费表'!v"&amp;$G$1)</f>
        <v>0</v>
      </c>
      <c r="G42" s="1291"/>
      <c r="H42" s="121"/>
      <c r="I42" s="1304"/>
      <c r="J42" s="1305"/>
      <c r="K42" s="2326"/>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3"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2107</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2113</v>
      </c>
      <c r="E53" s="305" t="s">
        <v>701</v>
      </c>
      <c r="F53" s="1053"/>
      <c r="I53" s="1343" t="s">
        <v>836</v>
      </c>
      <c r="J53" s="2002">
        <f ca="1">IF(M47="住宅",IF(D1="——",MAX(J51,L48),MAX(J51,L48-'数据-取费表'!B24)),IF(D1="——",MIN(J51,L48),MIN(J51,L48-'数据-取费表'!B24)))</f>
        <v>0</v>
      </c>
      <c r="K53" s="3796" t="s">
        <v>837</v>
      </c>
      <c r="L53" s="3797"/>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K83"/>
  <sheetViews>
    <sheetView view="pageBreakPreview" zoomScale="90" zoomScaleNormal="70" zoomScaleSheetLayoutView="90" workbookViewId="0">
      <selection activeCell="B1" sqref="B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3375</v>
      </c>
      <c r="D1" s="1270" t="s">
        <v>43</v>
      </c>
      <c r="E1" s="1271" t="s">
        <v>678</v>
      </c>
      <c r="F1" s="999">
        <f ca="1">J53</f>
        <v>70</v>
      </c>
      <c r="G1" s="1285">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19">
        <f ca="1">ROUND(D2/10000,4)</f>
        <v>0</v>
      </c>
      <c r="C2" s="1288" t="s">
        <v>879</v>
      </c>
      <c r="D2" s="1374">
        <f ca="1">C40+J29+L46</f>
        <v>0</v>
      </c>
      <c r="E2" s="1294" t="s">
        <v>880</v>
      </c>
      <c r="F2" s="1295"/>
      <c r="G2" s="2474"/>
      <c r="H2" s="2464"/>
      <c r="I2" s="2464"/>
      <c r="J2" s="2464"/>
      <c r="K2" s="2465"/>
      <c r="L2" s="2464"/>
      <c r="M2" s="2464"/>
    </row>
    <row r="3" spans="1:37" ht="18" customHeight="1" thickBot="1">
      <c r="A3" s="1296" t="s">
        <v>881</v>
      </c>
      <c r="B3" s="1297">
        <f ca="1">IF(ISERROR(D2/F43),0,ROUND(D2/F43,0))</f>
        <v>0</v>
      </c>
      <c r="C3" s="1288" t="s">
        <v>882</v>
      </c>
      <c r="D3" s="1288"/>
      <c r="E3" s="1294"/>
      <c r="F3" s="1295"/>
      <c r="G3" s="2474"/>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798" t="s">
        <v>694</v>
      </c>
      <c r="C6" s="1011">
        <f ca="1">ROUND(F6*F8*F7*(1-F9),0)</f>
        <v>0</v>
      </c>
      <c r="D6" s="147" t="s">
        <v>2103</v>
      </c>
      <c r="E6" s="294" t="s">
        <v>696</v>
      </c>
      <c r="F6" s="295">
        <f ca="1">INDIRECT("'数据-取费表'!u"&amp;$G$1)</f>
        <v>0</v>
      </c>
      <c r="G6" s="1291"/>
      <c r="H6" s="1006" t="s">
        <v>398</v>
      </c>
      <c r="I6" s="3798" t="s">
        <v>694</v>
      </c>
      <c r="J6" s="293">
        <f ca="1">ROUND(M6*M8*M7*(1-M9),0)</f>
        <v>0</v>
      </c>
      <c r="K6" s="1283" t="s">
        <v>2104</v>
      </c>
      <c r="L6" s="294" t="s">
        <v>696</v>
      </c>
      <c r="M6" s="295">
        <f ca="1">INDIRECT("'数据-取费表'!z"&amp;$G$1)</f>
        <v>0</v>
      </c>
    </row>
    <row r="7" spans="1:37" ht="18" customHeight="1">
      <c r="A7" s="1010"/>
      <c r="B7" s="3799"/>
      <c r="C7" s="1012"/>
      <c r="D7" s="299"/>
      <c r="E7" s="1013" t="s">
        <v>697</v>
      </c>
      <c r="F7" s="295">
        <f ca="1">IF(INDIRECT("'数据-取费表'!ah"&amp;$G$1)="",INDIRECT("'数据-取费表'!k"&amp;$G$1),INDIRECT("'数据-取费表'!ah"&amp;$G$1))</f>
        <v>204.54</v>
      </c>
      <c r="G7" s="1291"/>
      <c r="H7" s="296"/>
      <c r="I7" s="3799"/>
      <c r="J7" s="298"/>
      <c r="K7" s="299"/>
      <c r="L7" s="294" t="s">
        <v>697</v>
      </c>
      <c r="M7" s="295">
        <f ca="1">F7</f>
        <v>204.54</v>
      </c>
    </row>
    <row r="8" spans="1:37" ht="18" customHeight="1">
      <c r="A8" s="296"/>
      <c r="B8" s="3799"/>
      <c r="C8" s="298"/>
      <c r="D8" s="299"/>
      <c r="E8" s="294" t="s">
        <v>698</v>
      </c>
      <c r="F8" s="295">
        <f ca="1">INDIRECT("'数据-取费表'!ai"&amp;$G$1)</f>
        <v>12</v>
      </c>
      <c r="G8" s="1291"/>
      <c r="H8" s="296"/>
      <c r="I8" s="3799"/>
      <c r="J8" s="298"/>
      <c r="K8" s="299"/>
      <c r="L8" s="294" t="s">
        <v>698</v>
      </c>
      <c r="M8" s="295">
        <f ca="1">INDIRECT("'数据-取费表'!ai"&amp;$G$1)</f>
        <v>12</v>
      </c>
    </row>
    <row r="9" spans="1:37" ht="18" customHeight="1">
      <c r="A9" s="296"/>
      <c r="B9" s="3800"/>
      <c r="C9" s="298"/>
      <c r="D9" s="299"/>
      <c r="E9" s="294" t="s">
        <v>699</v>
      </c>
      <c r="F9" s="304">
        <f ca="1">INDIRECT("'数据-取费表'!w"&amp;$G$1)</f>
        <v>0</v>
      </c>
      <c r="G9" s="1291"/>
      <c r="H9" s="296"/>
      <c r="I9" s="3800"/>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2113</v>
      </c>
      <c r="E10" s="305" t="s">
        <v>701</v>
      </c>
      <c r="F10" s="1053" t="s">
        <v>3383</v>
      </c>
      <c r="G10" s="1291"/>
      <c r="H10" s="1006" t="s">
        <v>402</v>
      </c>
      <c r="I10" s="1273" t="s">
        <v>700</v>
      </c>
      <c r="J10" s="293">
        <f ca="1">ROUND(IF(M10="押一",J6/12*M11,IF(M10="押二",J6/12*2*M11,IF(M10="押三",J6/12*3*M11,J11*M11))),0)</f>
        <v>0</v>
      </c>
      <c r="K10" s="1284" t="s">
        <v>2115</v>
      </c>
      <c r="L10" s="305" t="s">
        <v>701</v>
      </c>
      <c r="M10" s="1053"/>
    </row>
    <row r="11" spans="1:37" ht="18" customHeight="1">
      <c r="A11" s="300"/>
      <c r="B11" s="1274" t="s">
        <v>890</v>
      </c>
      <c r="C11" s="905"/>
      <c r="D11" s="299"/>
      <c r="E11" s="305" t="s">
        <v>702</v>
      </c>
      <c r="F11" s="306">
        <f ca="1">'数据-取费表'!B39</f>
        <v>2.2499999999999999E-2</v>
      </c>
      <c r="G11" s="1291"/>
      <c r="H11" s="1014"/>
      <c r="I11" s="1274" t="s">
        <v>891</v>
      </c>
      <c r="J11" s="905"/>
      <c r="K11" s="646"/>
      <c r="L11" s="305" t="s">
        <v>702</v>
      </c>
      <c r="M11" s="809">
        <f ca="1">'数据-取费表'!B39</f>
        <v>2.2499999999999999E-2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761208</v>
      </c>
      <c r="D13" s="1018" t="s">
        <v>705</v>
      </c>
      <c r="E13" s="1018" t="s">
        <v>706</v>
      </c>
      <c r="F13" s="1019">
        <f ca="1">INDIRECT("'数据-取费表'!y"&amp;$G$1)</f>
        <v>0.93</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511350</v>
      </c>
      <c r="D14" s="1256" t="s">
        <v>708</v>
      </c>
      <c r="E14" s="1254"/>
      <c r="F14" s="311"/>
      <c r="G14" s="1291"/>
      <c r="H14" s="928" t="s">
        <v>398</v>
      </c>
      <c r="I14" s="294" t="s">
        <v>709</v>
      </c>
      <c r="J14" s="21">
        <f ca="1">C29</f>
        <v>818503</v>
      </c>
      <c r="K14" s="12"/>
      <c r="L14" s="759"/>
      <c r="M14" s="760"/>
    </row>
    <row r="15" spans="1:37" s="1303" customFormat="1" ht="18" customHeight="1" thickBot="1">
      <c r="A15" s="928" t="s">
        <v>399</v>
      </c>
      <c r="B15" s="294" t="s">
        <v>710</v>
      </c>
      <c r="C15" s="21">
        <f ca="1">ROUND(C14*F15,0)</f>
        <v>15341</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25568</v>
      </c>
      <c r="D16" s="294" t="s">
        <v>711</v>
      </c>
      <c r="E16" s="294" t="s">
        <v>712</v>
      </c>
      <c r="F16" s="314">
        <f ca="1">IF(INDIRECT("'数据-取费表'!c"&amp;$G$1)="住宅",'数据-取费表'!B34,0)</f>
        <v>0.05</v>
      </c>
      <c r="G16" s="1291"/>
      <c r="H16" s="1016" t="s">
        <v>393</v>
      </c>
      <c r="I16" s="1017" t="s">
        <v>714</v>
      </c>
      <c r="J16" s="302">
        <f ca="1">ROUND(J17+J22+J23+J24,0)</f>
        <v>1637</v>
      </c>
      <c r="K16" s="1024" t="s">
        <v>715</v>
      </c>
      <c r="L16" s="1025"/>
      <c r="M16" s="1009"/>
    </row>
    <row r="17" spans="1:37" s="1303" customFormat="1" ht="18" customHeight="1">
      <c r="A17" s="928" t="s">
        <v>681</v>
      </c>
      <c r="B17" s="294" t="s">
        <v>716</v>
      </c>
      <c r="C17" s="21">
        <f ca="1">ROUND(F17*(F43+INDIRECT("'数据-取费表'!S"&amp;$G$1)),0)</f>
        <v>40908</v>
      </c>
      <c r="D17" s="294" t="s">
        <v>717</v>
      </c>
      <c r="E17" s="294" t="s">
        <v>718</v>
      </c>
      <c r="F17" s="23">
        <f>'数据-取费表'!B35</f>
        <v>200</v>
      </c>
      <c r="G17" s="1302"/>
      <c r="H17" s="928" t="s">
        <v>398</v>
      </c>
      <c r="I17" s="294" t="s">
        <v>719</v>
      </c>
      <c r="J17" s="2136">
        <f ca="1">ROUND(IF(AND(项目基本情况!B11="自然人",项目基本情况!B10="北京市"),J6*M17/(1+'数据-取费表'!C42),J18+J19+J20),0)</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7670</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600837</v>
      </c>
      <c r="D19" s="123" t="s">
        <v>726</v>
      </c>
      <c r="E19" s="1268"/>
      <c r="F19" s="23"/>
      <c r="G19" s="1291"/>
      <c r="H19" s="928" t="s">
        <v>399</v>
      </c>
      <c r="I19" s="294" t="s">
        <v>727</v>
      </c>
      <c r="J19" s="21">
        <f ca="1">IF(K19="按租金收入计税",ROUND(J6*M19/(1+'数据-取费表'!C42),0),ROUND(C29*M19*0.7,0))</f>
        <v>0</v>
      </c>
      <c r="K19" s="1277" t="s">
        <v>3336</v>
      </c>
      <c r="L19" s="294" t="s">
        <v>712</v>
      </c>
      <c r="M19" s="314">
        <f>IF(K19="按租金收入计税",'数据-取费表'!B51,'数据-取费表'!B50)</f>
        <v>0.12</v>
      </c>
    </row>
    <row r="20" spans="1:37" s="1303" customFormat="1" ht="18" customHeight="1">
      <c r="A20" s="928" t="s">
        <v>402</v>
      </c>
      <c r="B20" s="294" t="s">
        <v>728</v>
      </c>
      <c r="C20" s="21">
        <f ca="1">ROUND(C19*F20,0)</f>
        <v>12017</v>
      </c>
      <c r="D20" s="315" t="s">
        <v>729</v>
      </c>
      <c r="E20" s="294" t="s">
        <v>712</v>
      </c>
      <c r="F20" s="314">
        <f>'数据-取费表'!B37</f>
        <v>0.02</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1637</v>
      </c>
      <c r="K22" s="1255" t="s">
        <v>739</v>
      </c>
      <c r="L22" s="294" t="s">
        <v>712</v>
      </c>
      <c r="M22" s="320">
        <f ca="1">INDIRECT("'数据-取费表'!Ak"&amp;$G$1)</f>
        <v>2E-3</v>
      </c>
    </row>
    <row r="23" spans="1:37" s="1303" customFormat="1" ht="18" customHeight="1">
      <c r="A23" s="928" t="s">
        <v>397</v>
      </c>
      <c r="B23" s="294" t="s">
        <v>740</v>
      </c>
      <c r="C23" s="21">
        <f ca="1">IF('数据-取费表'!B22&lt;=1,ROUND(C19*F24*F23/2,0)+ROUND(C20*F24*F23/2,0),ROUND(C19*(POWER((1+F24),F23/2)-1),0)+ROUND(C20*(POWER((1+F24),F23/2)-1),0))</f>
        <v>17925</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销售费用×利率×(建设周期÷2)</v>
      </c>
      <c r="E24" s="294" t="s">
        <v>747</v>
      </c>
      <c r="F24" s="322">
        <f ca="1">'数据-取费表'!B40</f>
        <v>5.8499999999999996E-2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-1637</v>
      </c>
      <c r="K25" s="1032" t="s">
        <v>753</v>
      </c>
      <c r="L25" s="1033"/>
      <c r="M25" s="1034"/>
    </row>
    <row r="26" spans="1:37" ht="18" customHeight="1">
      <c r="A26" s="928" t="s">
        <v>397</v>
      </c>
      <c r="B26" s="294" t="s">
        <v>754</v>
      </c>
      <c r="C26" s="21">
        <f ca="1">ROUND((C19+C20)*F26,0)</f>
        <v>122571</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818503</v>
      </c>
      <c r="D29" s="1029"/>
      <c r="E29" s="1027"/>
      <c r="F29" s="1030"/>
      <c r="G29" s="1302"/>
      <c r="H29" s="325" t="s">
        <v>396</v>
      </c>
      <c r="I29" s="326" t="s">
        <v>768</v>
      </c>
      <c r="J29" s="327">
        <f ca="1">ROUND(J26/(1+F40)^F41,0)</f>
        <v>0</v>
      </c>
      <c r="K29" s="328" t="s">
        <v>769</v>
      </c>
      <c r="L29" s="329"/>
      <c r="M29" s="330">
        <f ca="1">INDIRECT("'数据-取费表'!k"&amp;$G$1)</f>
        <v>204.54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2398</v>
      </c>
      <c r="D30" s="1024" t="s">
        <v>715</v>
      </c>
      <c r="E30" s="1025"/>
      <c r="F30" s="1009"/>
      <c r="G30" s="1291"/>
      <c r="H30" s="2466"/>
      <c r="I30" s="1304"/>
      <c r="J30" s="1305"/>
      <c r="K30" s="121"/>
      <c r="L30" s="2467"/>
      <c r="M30" s="2468"/>
    </row>
    <row r="31" spans="1:37" ht="18" customHeight="1">
      <c r="A31" s="928" t="s">
        <v>398</v>
      </c>
      <c r="B31" s="294" t="s">
        <v>719</v>
      </c>
      <c r="C31" s="2136">
        <f ca="1">ROUND(IF(AND(项目基本情况!B11="自然人",项目基本情况!B10="北京市"),C6*F31/(1+'数据-取费表'!C42),C32+C33+C34),0)</f>
        <v>0</v>
      </c>
      <c r="D31" s="1256" t="s">
        <v>720</v>
      </c>
      <c r="E31" s="1255" t="s">
        <v>770</v>
      </c>
      <c r="F31" s="2135">
        <f ca="1">IF(项目基本情况!B11="企业","——",IF(M47="住宅",IF(F6*F7*F8/12/(1+'数据-取费表'!F30)&gt;100000,4%,2.5%),IF(F6*F7*F8/12/(1+'数据-取费表'!F30)&gt;100000,12%,7%)))</f>
        <v>2.5000000000000001E-2</v>
      </c>
      <c r="G31" s="1291"/>
      <c r="H31" s="2565" t="s">
        <v>2305</v>
      </c>
      <c r="I31" s="1304"/>
      <c r="J31" s="1305"/>
      <c r="K31" s="121"/>
      <c r="L31" s="2467"/>
      <c r="M31" s="2468"/>
    </row>
    <row r="32" spans="1:37" ht="18" customHeight="1">
      <c r="A32" s="928" t="s">
        <v>397</v>
      </c>
      <c r="B32" s="294" t="s">
        <v>723</v>
      </c>
      <c r="C32" s="21" t="str">
        <f>IF(项目基本情况!B11="自然人","——",ROUND(C6*F32/(1+'数据-取费表'!C42),0))</f>
        <v>——</v>
      </c>
      <c r="D32" s="1255" t="s">
        <v>724</v>
      </c>
      <c r="E32" s="294" t="s">
        <v>712</v>
      </c>
      <c r="F32" s="322">
        <f>'数据-取费表'!B41</f>
        <v>5.5000000000000007E-2</v>
      </c>
      <c r="G32" s="1291"/>
      <c r="H32" s="2466"/>
      <c r="I32" s="1304"/>
      <c r="J32" s="1305"/>
      <c r="K32" s="121"/>
      <c r="L32" s="2467"/>
      <c r="M32" s="2468"/>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3336</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t="str">
        <f>IF(项目基本情况!B11="自然人","——",ROUND(F34*F35,0))</f>
        <v>——</v>
      </c>
      <c r="D34" s="316" t="s">
        <v>731</v>
      </c>
      <c r="E34" s="294" t="s">
        <v>732</v>
      </c>
      <c r="F34" s="317">
        <f>'数据-取费表'!B52</f>
        <v>0</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ROUND(C29*F36,0)</f>
        <v>1637</v>
      </c>
      <c r="D36" s="1255" t="s">
        <v>771</v>
      </c>
      <c r="E36" s="294" t="s">
        <v>712</v>
      </c>
      <c r="F36" s="320">
        <f ca="1">INDIRECT("'数据-取费表'!Ak"&amp;$G$1)</f>
        <v>2E-3</v>
      </c>
      <c r="G36" s="1291"/>
      <c r="H36" s="2469"/>
      <c r="I36" s="1304"/>
      <c r="J36" s="1305"/>
      <c r="K36" s="2326"/>
      <c r="L36" s="2469"/>
      <c r="M36" s="2469"/>
    </row>
    <row r="37" spans="1:18" ht="18" customHeight="1">
      <c r="A37" s="928" t="s">
        <v>437</v>
      </c>
      <c r="B37" s="294" t="s">
        <v>742</v>
      </c>
      <c r="C37" s="21">
        <f ca="1">ROUND(C13*F37,0)</f>
        <v>761</v>
      </c>
      <c r="D37" s="1255" t="s">
        <v>743</v>
      </c>
      <c r="E37" s="294" t="s">
        <v>744</v>
      </c>
      <c r="F37" s="321">
        <f ca="1">INDIRECT("'数据-取费表'!Al"&amp;$G$1)</f>
        <v>1E-3</v>
      </c>
      <c r="G37" s="1291"/>
      <c r="H37" s="2469"/>
      <c r="I37" s="1304"/>
      <c r="J37" s="1305"/>
      <c r="K37" s="2326"/>
      <c r="L37" s="2469"/>
      <c r="M37" s="2469"/>
    </row>
    <row r="38" spans="1:18" ht="18" customHeight="1" thickBot="1">
      <c r="A38" s="1026" t="s">
        <v>684</v>
      </c>
      <c r="B38" s="1027" t="s">
        <v>728</v>
      </c>
      <c r="C38" s="1028">
        <f ca="1">ROUND(C5*F38,0)</f>
        <v>0</v>
      </c>
      <c r="D38" s="1029" t="s">
        <v>748</v>
      </c>
      <c r="E38" s="1027" t="s">
        <v>744</v>
      </c>
      <c r="F38" s="1023">
        <f ca="1">INDIRECT("'数据-取费表'!Am"&amp;$G$1)</f>
        <v>0.01</v>
      </c>
      <c r="G38" s="1291"/>
      <c r="H38" s="2469"/>
      <c r="I38" s="1304"/>
      <c r="J38" s="1305"/>
      <c r="K38" s="2467"/>
      <c r="L38" s="2469"/>
      <c r="M38" s="2469"/>
    </row>
    <row r="39" spans="1:18" ht="24.6" customHeight="1" thickTop="1">
      <c r="A39" s="1016" t="s">
        <v>394</v>
      </c>
      <c r="B39" s="1031" t="s">
        <v>772</v>
      </c>
      <c r="C39" s="302">
        <f ca="1">C5-C30</f>
        <v>-2398</v>
      </c>
      <c r="D39" s="1032" t="s">
        <v>773</v>
      </c>
      <c r="E39" s="1033"/>
      <c r="F39" s="1034"/>
      <c r="G39" s="1291"/>
      <c r="H39" s="2469"/>
      <c r="I39" s="1304"/>
      <c r="J39" s="1305"/>
      <c r="K39" s="2467"/>
      <c r="L39" s="2469"/>
      <c r="M39" s="2469"/>
    </row>
    <row r="40" spans="1:18" ht="18" customHeight="1">
      <c r="A40" s="291" t="s">
        <v>395</v>
      </c>
      <c r="B40" s="292" t="s">
        <v>774</v>
      </c>
      <c r="C40" s="293">
        <f ca="1">ROUND(C39*(1-((1+F42)/(1+F40))^F41)/(F40-F42),0)</f>
        <v>0</v>
      </c>
      <c r="D40" s="316" t="s">
        <v>758</v>
      </c>
      <c r="E40" s="294" t="s">
        <v>759</v>
      </c>
      <c r="F40" s="304">
        <f ca="1">INDIRECT("'数据-取费表'!I"&amp;$G$1)</f>
        <v>4.4999999999999998E-2</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6"/>
      <c r="L41" s="121"/>
      <c r="M41" s="121"/>
    </row>
    <row r="42" spans="1:18" ht="18" customHeight="1">
      <c r="A42" s="300"/>
      <c r="B42" s="301"/>
      <c r="C42" s="302"/>
      <c r="D42" s="319"/>
      <c r="E42" s="294" t="s">
        <v>766</v>
      </c>
      <c r="F42" s="304">
        <f ca="1">INDIRECT("'数据-取费表'!v"&amp;$G$1)</f>
        <v>0</v>
      </c>
      <c r="G42" s="1291"/>
      <c r="H42" s="121"/>
      <c r="I42" s="1304"/>
      <c r="J42" s="1305"/>
      <c r="K42" s="2326"/>
      <c r="L42" s="121"/>
      <c r="M42" s="121"/>
    </row>
    <row r="43" spans="1:18" ht="18" customHeight="1" thickBot="1">
      <c r="A43" s="325" t="s">
        <v>396</v>
      </c>
      <c r="B43" s="326" t="s">
        <v>776</v>
      </c>
      <c r="C43" s="327">
        <f ca="1">ROUND(C40/F43,0)</f>
        <v>0</v>
      </c>
      <c r="D43" s="328" t="s">
        <v>777</v>
      </c>
      <c r="E43" s="329" t="s">
        <v>778</v>
      </c>
      <c r="F43" s="330">
        <f ca="1">INDIRECT("'数据-取费表'!k"&amp;$G$1)</f>
        <v>204.54</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3125" t="s">
        <v>3352</v>
      </c>
      <c r="B45" s="1306"/>
      <c r="C45" s="1375">
        <f ca="1">ROUND((C68-C40)/10000,4)</f>
        <v>0</v>
      </c>
      <c r="D45" s="3126" t="s">
        <v>3353</v>
      </c>
      <c r="E45" s="1306"/>
      <c r="F45" s="1306"/>
      <c r="O45" s="1309" t="s">
        <v>808</v>
      </c>
      <c r="P45" s="1365"/>
      <c r="Q45" s="1365"/>
      <c r="R45" s="1365"/>
    </row>
    <row r="46" spans="1:18" s="1291" customFormat="1" ht="13.5" thickBot="1">
      <c r="A46" s="1310" t="s">
        <v>809</v>
      </c>
      <c r="C46" s="1311">
        <f ca="1">ROUND(C45,0)</f>
        <v>0</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3384</v>
      </c>
      <c r="K47" s="1322" t="s">
        <v>816</v>
      </c>
      <c r="L47" s="1323">
        <f ca="1">INDIRECT("'数据-取费表'!d"&amp;$G$1)</f>
        <v>70</v>
      </c>
      <c r="M47" s="1287" t="str">
        <f>IF(ISNUMBER(FIND("住宅",C1)),"住宅","非住宅")</f>
        <v>住宅</v>
      </c>
      <c r="O47" s="1324" t="s">
        <v>403</v>
      </c>
      <c r="P47" s="1325" t="s">
        <v>817</v>
      </c>
      <c r="Q47" s="1326">
        <f ca="1">C40+J29</f>
        <v>0</v>
      </c>
      <c r="R47" s="1326" t="s">
        <v>818</v>
      </c>
    </row>
    <row r="48" spans="1:18" s="1291" customFormat="1" ht="28.5" thickBot="1">
      <c r="A48" s="1047" t="s">
        <v>438</v>
      </c>
      <c r="B48" s="292" t="s">
        <v>692</v>
      </c>
      <c r="C48" s="1267">
        <f ca="1">C49+C53+C55</f>
        <v>0</v>
      </c>
      <c r="D48" s="1049"/>
      <c r="E48" s="1050"/>
      <c r="F48" s="908"/>
      <c r="G48" s="681"/>
      <c r="H48" s="682"/>
      <c r="I48" s="1327" t="s">
        <v>819</v>
      </c>
      <c r="J48" s="1328" t="s">
        <v>3385</v>
      </c>
      <c r="K48" s="1329" t="s">
        <v>820</v>
      </c>
      <c r="L48" s="1330">
        <f ca="1">INDIRECT("'数据-取费表'!f"&amp;$G$1)</f>
        <v>70</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v>1979</v>
      </c>
      <c r="K49" s="1329" t="s">
        <v>824</v>
      </c>
      <c r="L49" s="1332"/>
      <c r="O49" s="1333" t="s">
        <v>405</v>
      </c>
      <c r="P49" s="1325" t="s">
        <v>825</v>
      </c>
      <c r="Q49" s="1326">
        <f ca="1">C29</f>
        <v>818503</v>
      </c>
      <c r="R49" s="1326" t="s">
        <v>818</v>
      </c>
    </row>
    <row r="50" spans="1:18" s="1291" customFormat="1" ht="13.5" thickBot="1">
      <c r="A50" s="922"/>
      <c r="B50" s="925"/>
      <c r="C50" s="926"/>
      <c r="D50" s="899"/>
      <c r="E50" s="993" t="s">
        <v>697</v>
      </c>
      <c r="F50" s="994">
        <f ca="1">F7</f>
        <v>204.54</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33</v>
      </c>
      <c r="K51" s="1338" t="s">
        <v>830</v>
      </c>
      <c r="L51" s="1339">
        <f ca="1">ROUND(-PV(INDIRECT("'数据-取费表'!h"&amp;$G$1),J51,(C39-C13*C76),0),0)</f>
        <v>-734225</v>
      </c>
      <c r="M51" s="1340"/>
      <c r="O51" s="1333" t="s">
        <v>407</v>
      </c>
      <c r="P51" s="1325" t="s">
        <v>831</v>
      </c>
      <c r="Q51" s="1336">
        <f>J52</f>
        <v>5.5E-2</v>
      </c>
      <c r="R51" s="1326"/>
    </row>
    <row r="52" spans="1:18" s="1291" customFormat="1" ht="13.5" thickBot="1">
      <c r="A52" s="923"/>
      <c r="B52" s="925"/>
      <c r="C52" s="926"/>
      <c r="D52" s="899"/>
      <c r="E52" s="927" t="s">
        <v>699</v>
      </c>
      <c r="F52" s="991"/>
      <c r="I52" s="1341" t="s">
        <v>832</v>
      </c>
      <c r="J52" s="1342">
        <v>5.5E-2</v>
      </c>
      <c r="K52" s="1341" t="s">
        <v>833</v>
      </c>
      <c r="L52" s="1342"/>
      <c r="O52" s="1333" t="s">
        <v>408</v>
      </c>
      <c r="P52" s="1325" t="s">
        <v>834</v>
      </c>
      <c r="Q52" s="1326">
        <f ca="1">J53</f>
        <v>70</v>
      </c>
      <c r="R52" s="1326" t="s">
        <v>835</v>
      </c>
    </row>
    <row r="53" spans="1:18" s="1291" customFormat="1" ht="30.75" customHeight="1" thickBot="1">
      <c r="A53" s="1048" t="s">
        <v>440</v>
      </c>
      <c r="B53" s="315" t="s">
        <v>700</v>
      </c>
      <c r="C53" s="308">
        <f ca="1">ROUND(IF(F53="押一",C49/12*F11,IF(F53="押二",C49/12*2*F11,IF(F53="押三",C49/12*3*F11,C54*F11))),0)</f>
        <v>0</v>
      </c>
      <c r="D53" s="150" t="s">
        <v>2116</v>
      </c>
      <c r="E53" s="305" t="s">
        <v>701</v>
      </c>
      <c r="F53" s="1053"/>
      <c r="I53" s="1343" t="s">
        <v>836</v>
      </c>
      <c r="J53" s="2002">
        <f ca="1">IF(M47="住宅",IF(D1="——",MAX(J51,L48),MAX(J51,L48-'数据-取费表'!B24)),IF(D1="——",MIN(J51,L48),MIN(J51,L48-'数据-取费表'!B24)))</f>
        <v>70</v>
      </c>
      <c r="K53" s="3796" t="s">
        <v>837</v>
      </c>
      <c r="L53" s="3797"/>
      <c r="O53" s="1324" t="s">
        <v>409</v>
      </c>
      <c r="P53" s="1325" t="s">
        <v>838</v>
      </c>
      <c r="Q53" s="1326">
        <f ca="1">Q47+Q48</f>
        <v>0</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761208</v>
      </c>
      <c r="D56" s="1351"/>
      <c r="E56" s="1352"/>
      <c r="F56" s="1344"/>
      <c r="I56" s="1353" t="s">
        <v>842</v>
      </c>
      <c r="J56" s="1354" t="s">
        <v>3386</v>
      </c>
      <c r="K56" s="1327" t="s">
        <v>843</v>
      </c>
      <c r="L56" s="1330">
        <f ca="1">IF(L48&lt;J51,"——",L48-J51)</f>
        <v>37</v>
      </c>
      <c r="O56" s="1324" t="s">
        <v>403</v>
      </c>
      <c r="P56" s="1325" t="s">
        <v>817</v>
      </c>
      <c r="Q56" s="1326">
        <f ca="1">C40+J29</f>
        <v>0</v>
      </c>
      <c r="R56" s="1326" t="s">
        <v>818</v>
      </c>
    </row>
    <row r="57" spans="1:18" s="1291" customFormat="1" ht="24.75" thickBot="1">
      <c r="A57" s="1355"/>
      <c r="B57" s="896" t="s">
        <v>767</v>
      </c>
      <c r="C57" s="230">
        <f ca="1">C29</f>
        <v>818503</v>
      </c>
      <c r="D57" s="1356"/>
      <c r="E57" s="1357"/>
      <c r="F57" s="1358"/>
      <c r="I57" s="1359" t="s">
        <v>844</v>
      </c>
      <c r="J57" s="1360" t="str">
        <f ca="1">IF(OR(M47="住宅",J51&lt;L48,J56="是"),"——",J51-L48)</f>
        <v>——</v>
      </c>
      <c r="K57" s="1327" t="s">
        <v>892</v>
      </c>
      <c r="L57" s="1330">
        <f ca="1">IF(L48&lt;J51,"——",IF(L55="比较法",L49,IF(L55="基准地价",L50,L51)))</f>
        <v>-734225</v>
      </c>
      <c r="O57" s="1324" t="s">
        <v>404</v>
      </c>
      <c r="P57" s="1325" t="s">
        <v>893</v>
      </c>
      <c r="Q57" s="1326">
        <f ca="1">L60</f>
        <v>0</v>
      </c>
      <c r="R57" s="1326" t="s">
        <v>894</v>
      </c>
    </row>
    <row r="58" spans="1:18" s="1291" customFormat="1" ht="24.75" thickBot="1">
      <c r="A58" s="307" t="s">
        <v>393</v>
      </c>
      <c r="B58" s="904" t="s">
        <v>714</v>
      </c>
      <c r="C58" s="308">
        <f ca="1">ROUND(C59+C64+C65+C66,0)</f>
        <v>2398</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1637</v>
      </c>
      <c r="D64" s="910" t="s">
        <v>791</v>
      </c>
      <c r="E64" s="896"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761</v>
      </c>
      <c r="D65" s="910" t="s">
        <v>743</v>
      </c>
      <c r="E65" s="896" t="s">
        <v>744</v>
      </c>
      <c r="F65" s="321">
        <f t="shared" ca="1" si="0"/>
        <v>1E-3</v>
      </c>
      <c r="I65" s="1366" t="s">
        <v>867</v>
      </c>
      <c r="J65" s="610">
        <v>40</v>
      </c>
      <c r="K65" s="610">
        <v>30</v>
      </c>
      <c r="L65" s="610">
        <v>50</v>
      </c>
      <c r="M65" s="1368">
        <v>0.02</v>
      </c>
      <c r="O65" s="1324" t="s">
        <v>403</v>
      </c>
      <c r="P65" s="1325" t="s">
        <v>868</v>
      </c>
      <c r="Q65" s="1326">
        <f ca="1">C40+J29</f>
        <v>0</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-2398</v>
      </c>
      <c r="D67" s="909" t="s">
        <v>753</v>
      </c>
      <c r="E67" s="914"/>
      <c r="F67" s="915"/>
      <c r="O67" s="1333" t="s">
        <v>405</v>
      </c>
      <c r="P67" s="1325" t="s">
        <v>850</v>
      </c>
      <c r="Q67" s="1369">
        <f ca="1">L51</f>
        <v>-734225</v>
      </c>
      <c r="R67" s="1326" t="s">
        <v>870</v>
      </c>
    </row>
    <row r="68" spans="1:18" s="1291" customFormat="1" ht="16.5" thickBot="1">
      <c r="A68" s="893" t="s">
        <v>395</v>
      </c>
      <c r="B68" s="894" t="s">
        <v>774</v>
      </c>
      <c r="C68" s="293">
        <f ca="1">ROUND(C67*(1-((1+F70)/(1+F68))^F69)/(F68-F70),0)</f>
        <v>0</v>
      </c>
      <c r="D68" s="911" t="s">
        <v>758</v>
      </c>
      <c r="E68" s="896" t="s">
        <v>759</v>
      </c>
      <c r="F68" s="304">
        <f ca="1">F40</f>
        <v>4.4999999999999998E-2</v>
      </c>
      <c r="O68" s="1333" t="s">
        <v>406</v>
      </c>
      <c r="P68" s="1370" t="s">
        <v>871</v>
      </c>
      <c r="Q68" s="1326">
        <f ca="1">ROUND(Q69-Q70*Q71,0)</f>
        <v>-40458</v>
      </c>
      <c r="R68" s="1326" t="s">
        <v>414</v>
      </c>
    </row>
    <row r="69" spans="1:18" s="1291" customFormat="1" ht="13.5" thickBot="1">
      <c r="A69" s="897"/>
      <c r="B69" s="898"/>
      <c r="C69" s="298"/>
      <c r="D69" s="916" t="s">
        <v>762</v>
      </c>
      <c r="E69" s="896" t="s">
        <v>763</v>
      </c>
      <c r="F69" s="324">
        <f ca="1">F41</f>
        <v>0</v>
      </c>
      <c r="O69" s="1333" t="s">
        <v>411</v>
      </c>
      <c r="P69" s="1370" t="s">
        <v>872</v>
      </c>
      <c r="Q69" s="1326">
        <f ca="1">C39</f>
        <v>-2398</v>
      </c>
      <c r="R69" s="1326" t="s">
        <v>818</v>
      </c>
    </row>
    <row r="70" spans="1:18" s="1291" customFormat="1" ht="13.5" thickBot="1">
      <c r="A70" s="900"/>
      <c r="B70" s="901"/>
      <c r="C70" s="302"/>
      <c r="D70" s="912"/>
      <c r="E70" s="896" t="s">
        <v>766</v>
      </c>
      <c r="F70" s="991"/>
      <c r="O70" s="1333" t="s">
        <v>412</v>
      </c>
      <c r="P70" s="1370" t="s">
        <v>873</v>
      </c>
      <c r="Q70" s="1326">
        <f ca="1">C13</f>
        <v>761208</v>
      </c>
      <c r="R70" s="1326" t="s">
        <v>818</v>
      </c>
    </row>
    <row r="71" spans="1:18" s="1291" customFormat="1" ht="13.5" thickBot="1">
      <c r="A71" s="917" t="s">
        <v>396</v>
      </c>
      <c r="B71" s="918" t="s">
        <v>776</v>
      </c>
      <c r="C71" s="327">
        <f ca="1">ROUND(C68/F71,0)</f>
        <v>0</v>
      </c>
      <c r="D71" s="919" t="s">
        <v>777</v>
      </c>
      <c r="E71" s="920" t="s">
        <v>778</v>
      </c>
      <c r="F71" s="330">
        <f ca="1">F43</f>
        <v>204.54</v>
      </c>
      <c r="O71" s="1333" t="s">
        <v>413</v>
      </c>
      <c r="P71" s="1370" t="s">
        <v>874</v>
      </c>
      <c r="Q71" s="1336">
        <f ca="1">C76</f>
        <v>0.05</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38060</v>
      </c>
      <c r="D75" s="1291"/>
      <c r="E75" s="1291"/>
      <c r="F75" s="1291"/>
      <c r="K75" s="1308"/>
      <c r="L75" s="1291"/>
      <c r="O75" s="1324" t="s">
        <v>409</v>
      </c>
      <c r="P75" s="1325" t="s">
        <v>838</v>
      </c>
      <c r="Q75" s="1326">
        <f ca="1">Q65+Q66</f>
        <v>0</v>
      </c>
      <c r="R75" s="1326" t="s">
        <v>410</v>
      </c>
    </row>
    <row r="76" spans="1:18">
      <c r="B76" s="333" t="s">
        <v>796</v>
      </c>
      <c r="C76" s="334">
        <f ca="1">INDIRECT("'数据-取费表'!j"&amp;$G$1)</f>
        <v>0.05</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16.872</v>
      </c>
    </row>
    <row r="80" spans="1:18">
      <c r="B80" s="331" t="s">
        <v>800</v>
      </c>
      <c r="C80" s="266">
        <f ca="1">ROUND(C75/C39,3)</f>
        <v>-15.872</v>
      </c>
    </row>
    <row r="81" spans="2:3">
      <c r="B81" s="262" t="s">
        <v>801</v>
      </c>
      <c r="C81" s="230"/>
    </row>
    <row r="82" spans="2:3">
      <c r="B82" s="265" t="s">
        <v>802</v>
      </c>
      <c r="C82" s="267" t="e">
        <f ca="1">1-C83</f>
        <v>#DIV/0!</v>
      </c>
    </row>
    <row r="83" spans="2:3">
      <c r="B83" s="265" t="s">
        <v>803</v>
      </c>
      <c r="C83" s="266"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W44"/>
  <sheetViews>
    <sheetView zoomScale="80" zoomScaleNormal="80" workbookViewId="0">
      <selection activeCell="E2" sqref="E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2433</v>
      </c>
      <c r="B1" s="2579"/>
      <c r="C1" s="2591"/>
      <c r="D1" s="2591"/>
      <c r="E1" s="2580"/>
      <c r="F1" s="2581"/>
      <c r="G1" s="2582"/>
      <c r="J1" s="2585" t="s">
        <v>2312</v>
      </c>
      <c r="K1" s="2586"/>
      <c r="L1" s="2586"/>
      <c r="M1" s="2586"/>
      <c r="N1" s="2586"/>
      <c r="O1" s="2586"/>
      <c r="P1" s="2586"/>
      <c r="Q1" s="2586"/>
      <c r="R1" s="2587"/>
      <c r="S1" s="2588"/>
      <c r="T1" s="2588"/>
      <c r="U1" s="2588"/>
    </row>
    <row r="2" spans="1:22" s="2600" customFormat="1" ht="13.15" customHeight="1">
      <c r="A2" s="1292" t="s">
        <v>2313</v>
      </c>
      <c r="B2" s="2590" t="e">
        <f>IF(D2="——",C40,C40+E2)</f>
        <v>#DIV/0!</v>
      </c>
      <c r="C2" s="2591" t="s">
        <v>2314</v>
      </c>
      <c r="D2" s="3134" t="s">
        <v>3359</v>
      </c>
      <c r="E2" s="3135"/>
      <c r="F2" s="2593"/>
      <c r="G2" s="2594"/>
      <c r="H2" s="2595"/>
      <c r="I2" s="2596"/>
      <c r="J2" s="3801" t="s">
        <v>2315</v>
      </c>
      <c r="K2" s="3802"/>
      <c r="L2" s="2597" t="s">
        <v>2316</v>
      </c>
      <c r="M2" s="2597" t="s">
        <v>2317</v>
      </c>
      <c r="N2" s="2597" t="s">
        <v>2318</v>
      </c>
      <c r="O2" s="2597" t="s">
        <v>2319</v>
      </c>
      <c r="P2" s="2597" t="s">
        <v>2320</v>
      </c>
      <c r="Q2" s="2598" t="s">
        <v>2321</v>
      </c>
      <c r="R2" s="2599" t="s">
        <v>2322</v>
      </c>
      <c r="S2" s="2588"/>
      <c r="T2" s="2588"/>
      <c r="U2" s="2588"/>
      <c r="V2" s="2596"/>
    </row>
    <row r="3" spans="1:22" s="2600" customFormat="1" ht="13.15" customHeight="1">
      <c r="A3" s="2601" t="s">
        <v>2323</v>
      </c>
      <c r="B3" s="2602" t="e">
        <f>ROUND(B2*10000/B4,0)</f>
        <v>#DIV/0!</v>
      </c>
      <c r="C3" s="2591" t="s">
        <v>2324</v>
      </c>
      <c r="D3" s="2591"/>
      <c r="E3" s="2592"/>
      <c r="F3" s="2593"/>
      <c r="G3" s="2594"/>
      <c r="H3" s="2595"/>
      <c r="I3" s="2596"/>
      <c r="J3" s="3803" t="s">
        <v>2325</v>
      </c>
      <c r="K3" s="3804"/>
      <c r="L3" s="2603"/>
      <c r="M3" s="2603"/>
      <c r="N3" s="2603"/>
      <c r="O3" s="2603"/>
      <c r="P3" s="2603"/>
      <c r="Q3" s="2604"/>
      <c r="R3" s="2605">
        <f>SUM(L3:Q3)</f>
        <v>0</v>
      </c>
      <c r="S3" s="2588"/>
      <c r="T3" s="2588"/>
      <c r="U3" s="2588"/>
      <c r="V3" s="2596"/>
    </row>
    <row r="4" spans="1:22" s="2600" customFormat="1" ht="13.15" customHeight="1">
      <c r="A4" s="2606" t="s">
        <v>2326</v>
      </c>
      <c r="B4" s="2607"/>
      <c r="C4" s="2591"/>
      <c r="D4" s="2591"/>
      <c r="E4" s="2592"/>
      <c r="F4" s="2593"/>
      <c r="G4" s="2594"/>
      <c r="H4" s="2595"/>
      <c r="I4" s="2596"/>
      <c r="J4" s="3803" t="s">
        <v>2327</v>
      </c>
      <c r="K4" s="3804"/>
      <c r="L4" s="2608"/>
      <c r="M4" s="2608"/>
      <c r="N4" s="2608"/>
      <c r="O4" s="2608"/>
      <c r="P4" s="2608"/>
      <c r="Q4" s="2609"/>
      <c r="R4" s="2610">
        <f>SUM(L4:Q4)</f>
        <v>0</v>
      </c>
      <c r="S4" s="2588"/>
      <c r="T4" s="2588"/>
      <c r="U4" s="2588"/>
      <c r="V4" s="2596"/>
    </row>
    <row r="5" spans="1:22" s="2600" customFormat="1" ht="13.15" customHeight="1" thickBot="1">
      <c r="A5" s="2611" t="s">
        <v>2328</v>
      </c>
      <c r="B5" s="2612"/>
      <c r="C5" s="2591"/>
      <c r="D5" s="2613"/>
      <c r="E5" s="2593"/>
      <c r="F5" s="2593"/>
      <c r="G5" s="2594"/>
      <c r="H5" s="2595"/>
      <c r="I5" s="2596"/>
      <c r="J5" s="2614" t="s">
        <v>2329</v>
      </c>
      <c r="K5" s="2615"/>
      <c r="L5" s="2615"/>
      <c r="M5" s="2616"/>
      <c r="N5" s="2616"/>
      <c r="O5" s="2616"/>
      <c r="P5" s="2616"/>
      <c r="Q5" s="2616"/>
      <c r="R5" s="2599">
        <f>SUM(R14,R19,R24,R25,R27,R28)</f>
        <v>0</v>
      </c>
      <c r="S5" s="2588"/>
      <c r="T5" s="2588" t="s">
        <v>2330</v>
      </c>
      <c r="U5" s="2588" t="e">
        <f>ROUND(R5*10000/365/R3,1)</f>
        <v>#DIV/0!</v>
      </c>
      <c r="V5" s="2596"/>
    </row>
    <row r="6" spans="1:22" s="2600" customFormat="1" ht="13.15" customHeight="1" thickBot="1">
      <c r="A6" s="3805" t="s">
        <v>2331</v>
      </c>
      <c r="B6" s="3806"/>
      <c r="C6" s="3807"/>
      <c r="D6" s="2617"/>
      <c r="E6" s="2618"/>
      <c r="F6" s="2619"/>
      <c r="G6" s="2620"/>
      <c r="H6" s="2595"/>
      <c r="I6" s="2596"/>
      <c r="J6" s="3808">
        <v>1</v>
      </c>
      <c r="K6" s="3809" t="s">
        <v>2332</v>
      </c>
      <c r="L6" s="2621" t="s">
        <v>2333</v>
      </c>
      <c r="M6" s="2622" t="s">
        <v>2334</v>
      </c>
      <c r="N6" s="2622" t="s">
        <v>2335</v>
      </c>
      <c r="O6" s="2622" t="s">
        <v>2336</v>
      </c>
      <c r="P6" s="2622" t="s">
        <v>2337</v>
      </c>
      <c r="Q6" s="2622" t="s">
        <v>2338</v>
      </c>
      <c r="R6" s="2605" t="s">
        <v>2339</v>
      </c>
      <c r="S6" s="2588"/>
      <c r="T6" s="2588" t="s">
        <v>2340</v>
      </c>
      <c r="U6" s="2588"/>
      <c r="V6" s="2596"/>
    </row>
    <row r="7" spans="1:22" s="2600" customFormat="1" ht="13.15" customHeight="1">
      <c r="A7" s="2623" t="s">
        <v>2341</v>
      </c>
      <c r="B7" s="2624"/>
      <c r="C7" s="2625"/>
      <c r="D7" s="2626">
        <f>SUM(D9,D10,D11,D17,0)</f>
        <v>0</v>
      </c>
      <c r="E7" s="2627" t="e">
        <f>E9+E10+E11+E17</f>
        <v>#DIV/0!</v>
      </c>
      <c r="F7" s="2628"/>
      <c r="G7" s="2629"/>
      <c r="H7" s="2595"/>
      <c r="I7" s="2596"/>
      <c r="J7" s="3808"/>
      <c r="K7" s="3810"/>
      <c r="L7" s="2630" t="s">
        <v>2342</v>
      </c>
      <c r="M7" s="2631"/>
      <c r="N7" s="2607"/>
      <c r="O7" s="2632"/>
      <c r="P7" s="2632"/>
      <c r="Q7" s="2633">
        <v>365</v>
      </c>
      <c r="R7" s="2634">
        <f>ROUND(M7*N7*O7*P7*Q7/10000,0)</f>
        <v>0</v>
      </c>
      <c r="S7" s="2588"/>
      <c r="T7" s="2588" t="s">
        <v>2343</v>
      </c>
      <c r="U7" s="2588"/>
      <c r="V7" s="2596"/>
    </row>
    <row r="8" spans="1:22" s="2600" customFormat="1" ht="13.15" customHeight="1">
      <c r="A8" s="2635" t="s">
        <v>2344</v>
      </c>
      <c r="B8" s="3812" t="s">
        <v>2345</v>
      </c>
      <c r="C8" s="3813"/>
      <c r="D8" s="2636" t="s">
        <v>2346</v>
      </c>
      <c r="E8" s="2637" t="s">
        <v>2347</v>
      </c>
      <c r="F8" s="2638" t="s">
        <v>2348</v>
      </c>
      <c r="G8" s="2639"/>
      <c r="H8" s="2595"/>
      <c r="I8" s="2596"/>
      <c r="J8" s="3808"/>
      <c r="K8" s="3810"/>
      <c r="L8" s="2630" t="s">
        <v>2349</v>
      </c>
      <c r="M8" s="2631"/>
      <c r="N8" s="2607"/>
      <c r="O8" s="2632"/>
      <c r="P8" s="2632"/>
      <c r="Q8" s="2633">
        <v>365</v>
      </c>
      <c r="R8" s="2634">
        <f t="shared" ref="R8:R13" si="0">ROUND(M8*N8*O8*P8*Q8/10000,0)</f>
        <v>0</v>
      </c>
      <c r="S8" s="2588"/>
      <c r="T8" s="2588" t="s">
        <v>2350</v>
      </c>
      <c r="U8" s="2588"/>
      <c r="V8" s="2596"/>
    </row>
    <row r="9" spans="1:22" s="2600" customFormat="1" ht="13.15" customHeight="1">
      <c r="A9" s="2635">
        <v>1</v>
      </c>
      <c r="B9" s="3812" t="s">
        <v>2351</v>
      </c>
      <c r="C9" s="3813"/>
      <c r="D9" s="2636">
        <f>ROUND(D6*E9,0)</f>
        <v>0</v>
      </c>
      <c r="E9" s="2640"/>
      <c r="F9" s="2641" t="s">
        <v>2352</v>
      </c>
      <c r="G9" s="2620"/>
      <c r="H9" s="2595"/>
      <c r="I9" s="2596"/>
      <c r="J9" s="3808"/>
      <c r="K9" s="3810"/>
      <c r="L9" s="2630" t="s">
        <v>2353</v>
      </c>
      <c r="M9" s="2631"/>
      <c r="N9" s="2607"/>
      <c r="O9" s="2632"/>
      <c r="P9" s="2632"/>
      <c r="Q9" s="2633">
        <v>365</v>
      </c>
      <c r="R9" s="2634">
        <f t="shared" si="0"/>
        <v>0</v>
      </c>
      <c r="S9" s="2588"/>
      <c r="T9" s="2588"/>
      <c r="U9" s="2588"/>
      <c r="V9" s="2596"/>
    </row>
    <row r="10" spans="1:22" s="2600" customFormat="1" ht="13.15" customHeight="1">
      <c r="A10" s="2635">
        <v>2</v>
      </c>
      <c r="B10" s="3812" t="s">
        <v>2354</v>
      </c>
      <c r="C10" s="3813"/>
      <c r="D10" s="2636">
        <f>ROUND(D6*E10,0)</f>
        <v>0</v>
      </c>
      <c r="E10" s="2640"/>
      <c r="F10" s="2641" t="s">
        <v>2355</v>
      </c>
      <c r="G10" s="2620"/>
      <c r="H10" s="2595"/>
      <c r="I10" s="2596"/>
      <c r="J10" s="3808"/>
      <c r="K10" s="3810"/>
      <c r="L10" s="2630" t="s">
        <v>2356</v>
      </c>
      <c r="M10" s="2631"/>
      <c r="N10" s="2607"/>
      <c r="O10" s="2632"/>
      <c r="P10" s="2632"/>
      <c r="Q10" s="2633">
        <v>365</v>
      </c>
      <c r="R10" s="2634">
        <f t="shared" si="0"/>
        <v>0</v>
      </c>
      <c r="S10" s="2588"/>
      <c r="T10" s="2588"/>
      <c r="U10" s="2588"/>
      <c r="V10" s="2596"/>
    </row>
    <row r="11" spans="1:22" s="2600" customFormat="1" ht="13.15" customHeight="1">
      <c r="A11" s="2635">
        <v>3</v>
      </c>
      <c r="B11" s="3812" t="s">
        <v>2357</v>
      </c>
      <c r="C11" s="3813"/>
      <c r="D11" s="2636">
        <f>D12+D14+D15+D16</f>
        <v>0</v>
      </c>
      <c r="E11" s="2642" t="e">
        <f>D11/D6</f>
        <v>#DIV/0!</v>
      </c>
      <c r="F11" s="2638"/>
      <c r="G11" s="2639"/>
      <c r="H11" s="2595"/>
      <c r="I11" s="2596"/>
      <c r="J11" s="3808"/>
      <c r="K11" s="3810"/>
      <c r="L11" s="2630" t="s">
        <v>2358</v>
      </c>
      <c r="M11" s="2631"/>
      <c r="N11" s="2607"/>
      <c r="O11" s="2632"/>
      <c r="P11" s="2632"/>
      <c r="Q11" s="2633">
        <v>365</v>
      </c>
      <c r="R11" s="2634">
        <f t="shared" si="0"/>
        <v>0</v>
      </c>
      <c r="S11" s="2588"/>
      <c r="T11" s="2588"/>
      <c r="U11" s="2588"/>
      <c r="V11" s="2596"/>
    </row>
    <row r="12" spans="1:22" s="2600" customFormat="1" ht="13.15" customHeight="1">
      <c r="A12" s="2643" t="s">
        <v>2359</v>
      </c>
      <c r="B12" s="3814" t="s">
        <v>2360</v>
      </c>
      <c r="C12" s="3815"/>
      <c r="D12" s="2644">
        <f>ROUND(D13*1.2%*(1-30%),0)</f>
        <v>0</v>
      </c>
      <c r="E12" s="2645">
        <v>1.2E-2</v>
      </c>
      <c r="F12" s="2638" t="s">
        <v>2361</v>
      </c>
      <c r="G12" s="2639"/>
      <c r="H12" s="2595"/>
      <c r="I12" s="2596"/>
      <c r="J12" s="3808"/>
      <c r="K12" s="3810"/>
      <c r="L12" s="2630" t="s">
        <v>2362</v>
      </c>
      <c r="M12" s="2631"/>
      <c r="N12" s="2607"/>
      <c r="O12" s="2632"/>
      <c r="P12" s="2632"/>
      <c r="Q12" s="2633">
        <v>365</v>
      </c>
      <c r="R12" s="2634">
        <f t="shared" si="0"/>
        <v>0</v>
      </c>
      <c r="S12" s="2588"/>
      <c r="T12" s="2588"/>
      <c r="U12" s="2588"/>
      <c r="V12" s="2596"/>
    </row>
    <row r="13" spans="1:22" s="2600" customFormat="1" ht="13.15" customHeight="1">
      <c r="A13" s="2643"/>
      <c r="B13" s="2646"/>
      <c r="C13" s="2647" t="s">
        <v>2363</v>
      </c>
      <c r="D13" s="2648"/>
      <c r="E13" s="2649"/>
      <c r="F13" s="2638"/>
      <c r="G13" s="2639"/>
      <c r="H13" s="2595"/>
      <c r="I13" s="2596"/>
      <c r="J13" s="3808"/>
      <c r="K13" s="3810"/>
      <c r="L13" s="2630" t="s">
        <v>2364</v>
      </c>
      <c r="M13" s="2631"/>
      <c r="N13" s="2607"/>
      <c r="O13" s="2632"/>
      <c r="P13" s="2632"/>
      <c r="Q13" s="2633">
        <v>365</v>
      </c>
      <c r="R13" s="2634">
        <f t="shared" si="0"/>
        <v>0</v>
      </c>
      <c r="S13" s="2588"/>
      <c r="T13" s="2588"/>
      <c r="U13" s="2588"/>
      <c r="V13" s="2596"/>
    </row>
    <row r="14" spans="1:22" s="2600" customFormat="1" ht="13.15" customHeight="1">
      <c r="A14" s="2643" t="s">
        <v>2365</v>
      </c>
      <c r="B14" s="3814" t="s">
        <v>2366</v>
      </c>
      <c r="C14" s="3815"/>
      <c r="D14" s="2644">
        <f>ROUND(E14*B5/10000,0)</f>
        <v>0</v>
      </c>
      <c r="E14" s="2633"/>
      <c r="F14" s="2638" t="s">
        <v>2367</v>
      </c>
      <c r="G14" s="2639"/>
      <c r="H14" s="2595"/>
      <c r="I14" s="2596"/>
      <c r="J14" s="3808"/>
      <c r="K14" s="3811"/>
      <c r="L14" s="2650" t="s">
        <v>2368</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2369</v>
      </c>
      <c r="B15" s="3814" t="s">
        <v>2370</v>
      </c>
      <c r="C15" s="3815"/>
      <c r="D15" s="2644">
        <f>ROUND(D6*E15,0)</f>
        <v>0</v>
      </c>
      <c r="E15" s="2645">
        <v>5.5E-2</v>
      </c>
      <c r="F15" s="2638" t="s">
        <v>2371</v>
      </c>
      <c r="G15" s="2620"/>
      <c r="H15" s="2595"/>
      <c r="I15" s="2596"/>
      <c r="J15" s="3808">
        <v>2</v>
      </c>
      <c r="K15" s="3809" t="s">
        <v>2372</v>
      </c>
      <c r="L15" s="2630" t="s">
        <v>2373</v>
      </c>
      <c r="M15" s="2631" t="s">
        <v>2374</v>
      </c>
      <c r="N15" s="2631" t="s">
        <v>2375</v>
      </c>
      <c r="O15" s="2632" t="s">
        <v>2376</v>
      </c>
      <c r="P15" s="2632" t="s">
        <v>2338</v>
      </c>
      <c r="Q15" s="2607" t="s">
        <v>2377</v>
      </c>
      <c r="R15" s="2654" t="s">
        <v>2339</v>
      </c>
      <c r="S15" s="2588"/>
      <c r="T15" s="2588"/>
      <c r="U15" s="2588"/>
      <c r="V15" s="2596"/>
    </row>
    <row r="16" spans="1:22" s="2600" customFormat="1" ht="13.15" customHeight="1">
      <c r="A16" s="2643" t="s">
        <v>2378</v>
      </c>
      <c r="B16" s="3814" t="s">
        <v>2379</v>
      </c>
      <c r="C16" s="3815"/>
      <c r="D16" s="2655">
        <f>D6*E16</f>
        <v>0</v>
      </c>
      <c r="E16" s="2656"/>
      <c r="F16" s="2641" t="s">
        <v>2380</v>
      </c>
      <c r="G16" s="2620"/>
      <c r="H16" s="2595"/>
      <c r="I16" s="2596"/>
      <c r="J16" s="3808"/>
      <c r="K16" s="3810"/>
      <c r="L16" s="2630" t="s">
        <v>2381</v>
      </c>
      <c r="M16" s="2631"/>
      <c r="N16" s="2631"/>
      <c r="O16" s="2632"/>
      <c r="P16" s="2633">
        <v>365</v>
      </c>
      <c r="Q16" s="2607"/>
      <c r="R16" s="2654">
        <f>ROUND(M16*N16*O16*P16/10000,0)</f>
        <v>0</v>
      </c>
      <c r="S16" s="2588"/>
      <c r="T16" s="2588"/>
      <c r="U16" s="2588"/>
      <c r="V16" s="2596"/>
    </row>
    <row r="17" spans="1:22" s="2600" customFormat="1" ht="13.15" customHeight="1" thickBot="1">
      <c r="A17" s="2657">
        <v>4</v>
      </c>
      <c r="B17" s="3816" t="s">
        <v>2382</v>
      </c>
      <c r="C17" s="3817"/>
      <c r="D17" s="2658">
        <f>ROUND(D6*E17,0)</f>
        <v>0</v>
      </c>
      <c r="E17" s="2659"/>
      <c r="F17" s="2660" t="s">
        <v>2383</v>
      </c>
      <c r="G17" s="2620"/>
      <c r="H17" s="2595"/>
      <c r="I17" s="2596"/>
      <c r="J17" s="3808"/>
      <c r="K17" s="3810"/>
      <c r="L17" s="2630" t="s">
        <v>2384</v>
      </c>
      <c r="M17" s="2631"/>
      <c r="N17" s="2631"/>
      <c r="O17" s="2632"/>
      <c r="P17" s="2633">
        <v>365</v>
      </c>
      <c r="Q17" s="2607"/>
      <c r="R17" s="2654">
        <f>ROUND(M17*N17*O17*P17/10000,0)</f>
        <v>0</v>
      </c>
      <c r="S17" s="2588"/>
      <c r="T17" s="2588"/>
      <c r="U17" s="2588"/>
      <c r="V17" s="2596"/>
    </row>
    <row r="18" spans="1:22" s="2600" customFormat="1" ht="13.15" customHeight="1" thickBot="1">
      <c r="A18" s="2623" t="s">
        <v>2385</v>
      </c>
      <c r="B18" s="2624"/>
      <c r="C18" s="2624"/>
      <c r="D18" s="2661">
        <f>ROUND(D6*E18,0)</f>
        <v>0</v>
      </c>
      <c r="E18" s="2662"/>
      <c r="F18" s="2663" t="s">
        <v>2386</v>
      </c>
      <c r="G18" s="2620"/>
      <c r="H18" s="2595"/>
      <c r="I18" s="2596"/>
      <c r="J18" s="3808"/>
      <c r="K18" s="3810"/>
      <c r="L18" s="2630" t="s">
        <v>2387</v>
      </c>
      <c r="M18" s="2631"/>
      <c r="N18" s="2631"/>
      <c r="O18" s="2632"/>
      <c r="P18" s="2633">
        <v>365</v>
      </c>
      <c r="Q18" s="2607"/>
      <c r="R18" s="2654">
        <f>ROUND(M18*N18*O18*P18/10000,0)</f>
        <v>0</v>
      </c>
      <c r="S18" s="2588"/>
      <c r="T18" s="2588"/>
      <c r="U18" s="2588"/>
      <c r="V18" s="2596"/>
    </row>
    <row r="19" spans="1:22" s="2600" customFormat="1" ht="13.15" customHeight="1" thickBot="1">
      <c r="A19" s="2664" t="s">
        <v>2388</v>
      </c>
      <c r="B19" s="2618"/>
      <c r="C19" s="2618"/>
      <c r="D19" s="2618"/>
      <c r="E19" s="2618"/>
      <c r="F19" s="2619"/>
      <c r="G19" s="2639"/>
      <c r="H19" s="2595"/>
      <c r="I19" s="2596"/>
      <c r="J19" s="3808"/>
      <c r="K19" s="3811"/>
      <c r="L19" s="2650" t="s">
        <v>2368</v>
      </c>
      <c r="M19" s="2651"/>
      <c r="N19" s="2651">
        <f>SUM(N16:N18)</f>
        <v>0</v>
      </c>
      <c r="O19" s="2652"/>
      <c r="P19" s="2665" t="s">
        <v>2432</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808">
        <v>3</v>
      </c>
      <c r="K20" s="3809" t="s">
        <v>2389</v>
      </c>
      <c r="L20" s="2630" t="s">
        <v>2390</v>
      </c>
      <c r="M20" s="2631" t="s">
        <v>2391</v>
      </c>
      <c r="N20" s="2668" t="s">
        <v>2392</v>
      </c>
      <c r="O20" s="2632" t="s">
        <v>2393</v>
      </c>
      <c r="P20" s="2633" t="s">
        <v>2394</v>
      </c>
      <c r="Q20" s="2607" t="s">
        <v>2395</v>
      </c>
      <c r="R20" s="2654" t="s">
        <v>2396</v>
      </c>
      <c r="S20" s="2588"/>
      <c r="T20" s="2588"/>
      <c r="U20" s="2588"/>
      <c r="V20" s="2596"/>
    </row>
    <row r="21" spans="1:22" s="2600" customFormat="1" ht="13.15" customHeight="1">
      <c r="A21" s="2623"/>
      <c r="B21" s="2624"/>
      <c r="C21" s="2669" t="s">
        <v>2397</v>
      </c>
      <c r="D21" s="2670" t="s">
        <v>2398</v>
      </c>
      <c r="E21" s="2671" t="s">
        <v>2399</v>
      </c>
      <c r="F21" s="2667"/>
      <c r="G21" s="2639"/>
      <c r="H21" s="2595"/>
      <c r="I21" s="2596"/>
      <c r="J21" s="3808"/>
      <c r="K21" s="3810"/>
      <c r="L21" s="2630" t="s">
        <v>2400</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2401</v>
      </c>
      <c r="D22" s="2674" t="s">
        <v>2402</v>
      </c>
      <c r="E22" s="2675" t="s">
        <v>2403</v>
      </c>
      <c r="F22" s="2667"/>
      <c r="G22" s="2588"/>
      <c r="H22" s="2595"/>
      <c r="I22" s="2596"/>
      <c r="J22" s="3808"/>
      <c r="K22" s="3810"/>
      <c r="L22" s="2630" t="s">
        <v>2404</v>
      </c>
      <c r="M22" s="2631"/>
      <c r="N22" s="2631"/>
      <c r="O22" s="2632"/>
      <c r="P22" s="2633">
        <v>365</v>
      </c>
      <c r="Q22" s="2607"/>
      <c r="R22" s="2672">
        <f>ROUND(M22*N22*O22*P22/10000,0)</f>
        <v>0</v>
      </c>
      <c r="S22" s="2588"/>
      <c r="T22" s="2588"/>
      <c r="U22" s="2588"/>
      <c r="V22" s="2596"/>
    </row>
    <row r="23" spans="1:22" s="2600" customFormat="1" ht="13.15" customHeight="1">
      <c r="A23" s="2676">
        <v>1</v>
      </c>
      <c r="B23" s="2677" t="s">
        <v>2405</v>
      </c>
      <c r="C23" s="2678">
        <f>D6</f>
        <v>0</v>
      </c>
      <c r="D23" s="2679">
        <f>C23*(1+D24)</f>
        <v>0</v>
      </c>
      <c r="E23" s="2680">
        <f>D23*(1+E24)</f>
        <v>0</v>
      </c>
      <c r="F23" s="2681"/>
      <c r="G23" s="2682"/>
      <c r="H23" s="2595"/>
      <c r="I23" s="2596"/>
      <c r="J23" s="3808"/>
      <c r="K23" s="3810"/>
      <c r="L23" s="2630" t="s">
        <v>2406</v>
      </c>
      <c r="M23" s="2631"/>
      <c r="N23" s="2631"/>
      <c r="O23" s="2632"/>
      <c r="P23" s="2633">
        <v>365</v>
      </c>
      <c r="Q23" s="2607"/>
      <c r="R23" s="2672">
        <f>ROUND(M23*N23*O23*P23/10000,0)</f>
        <v>0</v>
      </c>
      <c r="S23" s="2588"/>
      <c r="T23" s="2588"/>
      <c r="U23" s="2588"/>
      <c r="V23" s="2596"/>
    </row>
    <row r="24" spans="1:22" s="2600" customFormat="1" ht="13.15" customHeight="1">
      <c r="A24" s="2683"/>
      <c r="B24" s="2684" t="s">
        <v>2407</v>
      </c>
      <c r="C24" s="2685"/>
      <c r="D24" s="2686"/>
      <c r="E24" s="2687"/>
      <c r="F24" s="2688"/>
      <c r="G24" s="2682"/>
      <c r="H24" s="2595"/>
      <c r="I24" s="2596"/>
      <c r="J24" s="3808"/>
      <c r="K24" s="3811"/>
      <c r="L24" s="2650" t="s">
        <v>2368</v>
      </c>
      <c r="M24" s="2651">
        <f>SUM(M21:M23)</f>
        <v>0</v>
      </c>
      <c r="N24" s="2651"/>
      <c r="O24" s="2652"/>
      <c r="P24" s="2665" t="s">
        <v>2432</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2408</v>
      </c>
      <c r="L25" s="2691"/>
      <c r="M25" s="2691"/>
      <c r="N25" s="2691"/>
      <c r="O25" s="2691"/>
      <c r="P25" s="2692"/>
      <c r="Q25" s="2693">
        <v>0</v>
      </c>
      <c r="R25" s="2666">
        <f>ROUND(R14*Q25,0)</f>
        <v>0</v>
      </c>
      <c r="S25" s="2588"/>
      <c r="T25" s="2588"/>
      <c r="U25" s="2588"/>
      <c r="V25" s="2694"/>
    </row>
    <row r="26" spans="1:22" s="2695" customFormat="1" ht="13.15" customHeight="1">
      <c r="A26" s="2676">
        <v>2</v>
      </c>
      <c r="B26" s="2677" t="s">
        <v>2409</v>
      </c>
      <c r="C26" s="2678">
        <f>D7</f>
        <v>0</v>
      </c>
      <c r="D26" s="2679">
        <f>D23*D27</f>
        <v>0</v>
      </c>
      <c r="E26" s="2680">
        <f>E23*E27</f>
        <v>0</v>
      </c>
      <c r="F26" s="2681"/>
      <c r="G26" s="2682"/>
      <c r="H26" s="2595"/>
      <c r="I26" s="2596"/>
      <c r="J26" s="3818">
        <v>5</v>
      </c>
      <c r="K26" s="2696" t="s">
        <v>2410</v>
      </c>
      <c r="L26" s="2697"/>
      <c r="M26" s="2698"/>
      <c r="N26" s="2699" t="s">
        <v>2411</v>
      </c>
      <c r="O26" s="2699" t="s">
        <v>2412</v>
      </c>
      <c r="P26" s="2700" t="s">
        <v>2413</v>
      </c>
      <c r="Q26" s="2700" t="s">
        <v>2414</v>
      </c>
      <c r="R26" s="2605" t="s">
        <v>2339</v>
      </c>
      <c r="S26" s="2639"/>
      <c r="T26" s="2639"/>
      <c r="U26" s="2639"/>
      <c r="V26" s="2694"/>
    </row>
    <row r="27" spans="1:22" s="2600" customFormat="1" ht="13.15" customHeight="1">
      <c r="A27" s="2683"/>
      <c r="B27" s="2684" t="s">
        <v>2415</v>
      </c>
      <c r="C27" s="2701" t="e">
        <f>E7</f>
        <v>#DIV/0!</v>
      </c>
      <c r="D27" s="2686"/>
      <c r="E27" s="2687"/>
      <c r="F27" s="2688"/>
      <c r="G27" s="2682"/>
      <c r="H27" s="2702"/>
      <c r="I27" s="2694"/>
      <c r="J27" s="3819"/>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2416</v>
      </c>
      <c r="F28" s="2688"/>
      <c r="G28" s="2588"/>
      <c r="H28" s="2702"/>
      <c r="I28" s="2694"/>
      <c r="J28" s="2708">
        <v>6</v>
      </c>
      <c r="K28" s="2709" t="s">
        <v>2417</v>
      </c>
      <c r="L28" s="2710" t="s">
        <v>2418</v>
      </c>
      <c r="M28" s="2711"/>
      <c r="N28" s="2710" t="s">
        <v>2419</v>
      </c>
      <c r="O28" s="2712"/>
      <c r="P28" s="2710" t="s">
        <v>2420</v>
      </c>
      <c r="Q28" s="2713">
        <v>1.4999999999999999E-2</v>
      </c>
      <c r="R28" s="2714"/>
      <c r="S28" s="2588"/>
      <c r="T28" s="2588"/>
      <c r="U28" s="2588"/>
      <c r="V28" s="2694"/>
    </row>
    <row r="29" spans="1:22" s="2695" customFormat="1" ht="13.15" customHeight="1">
      <c r="A29" s="2676">
        <v>3</v>
      </c>
      <c r="B29" s="2677" t="s">
        <v>2421</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2415</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2422</v>
      </c>
      <c r="K31" s="2586"/>
      <c r="L31" s="2586"/>
      <c r="M31" s="2586"/>
      <c r="N31" s="2586"/>
      <c r="O31" s="2586"/>
      <c r="P31" s="2586"/>
      <c r="Q31" s="2586"/>
      <c r="R31" s="2587"/>
      <c r="S31" s="2588"/>
      <c r="T31" s="2588"/>
      <c r="U31" s="2588"/>
      <c r="V31" s="2694"/>
    </row>
    <row r="32" spans="1:22" s="2695" customFormat="1" ht="13.15" customHeight="1">
      <c r="A32" s="2676">
        <v>4</v>
      </c>
      <c r="B32" s="2677" t="s">
        <v>2423</v>
      </c>
      <c r="C32" s="2678">
        <f>C23-C26-C29</f>
        <v>0</v>
      </c>
      <c r="D32" s="2679">
        <f>D23-D26-D29</f>
        <v>0</v>
      </c>
      <c r="E32" s="2680">
        <f>E23-E26-E29</f>
        <v>0</v>
      </c>
      <c r="F32" s="2681"/>
      <c r="G32" s="2588"/>
      <c r="H32" s="2595"/>
      <c r="I32" s="2596"/>
      <c r="J32" s="3801" t="s">
        <v>2315</v>
      </c>
      <c r="K32" s="3802"/>
      <c r="L32" s="2597" t="s">
        <v>2316</v>
      </c>
      <c r="M32" s="2597" t="s">
        <v>2317</v>
      </c>
      <c r="N32" s="2597" t="s">
        <v>2318</v>
      </c>
      <c r="O32" s="2597" t="s">
        <v>2319</v>
      </c>
      <c r="P32" s="2597" t="s">
        <v>2320</v>
      </c>
      <c r="Q32" s="2598" t="s">
        <v>2321</v>
      </c>
      <c r="R32" s="2717" t="s">
        <v>2322</v>
      </c>
      <c r="S32" s="2588"/>
      <c r="T32" s="2588"/>
      <c r="U32" s="2588"/>
      <c r="V32" s="2694"/>
    </row>
    <row r="33" spans="1:23" s="2600" customFormat="1" ht="13.15" customHeight="1">
      <c r="A33" s="2676"/>
      <c r="B33" s="2677"/>
      <c r="C33" s="2678"/>
      <c r="D33" s="2718"/>
      <c r="E33" s="2719"/>
      <c r="F33" s="2681"/>
      <c r="G33" s="2588"/>
      <c r="H33" s="2702"/>
      <c r="I33" s="2694"/>
      <c r="J33" s="3803" t="s">
        <v>2325</v>
      </c>
      <c r="K33" s="3804"/>
      <c r="L33" s="2603"/>
      <c r="M33" s="2603"/>
      <c r="N33" s="2603"/>
      <c r="O33" s="2603"/>
      <c r="P33" s="2603"/>
      <c r="Q33" s="2604"/>
      <c r="R33" s="2720">
        <f>SUM(L33:Q33)</f>
        <v>0</v>
      </c>
      <c r="S33" s="2588"/>
      <c r="T33" s="2588"/>
      <c r="U33" s="2588"/>
      <c r="V33" s="2596"/>
    </row>
    <row r="34" spans="1:23" s="2600" customFormat="1" ht="13.15" customHeight="1">
      <c r="A34" s="2676">
        <v>5</v>
      </c>
      <c r="B34" s="2677" t="s">
        <v>2424</v>
      </c>
      <c r="C34" s="2721"/>
      <c r="D34" s="2722"/>
      <c r="E34" s="2723"/>
      <c r="F34" s="2681"/>
      <c r="G34" s="2588"/>
      <c r="H34" s="2702"/>
      <c r="I34" s="2694"/>
      <c r="J34" s="3803" t="s">
        <v>2327</v>
      </c>
      <c r="K34" s="3804"/>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2425</v>
      </c>
      <c r="C35" s="2725"/>
      <c r="D35" s="2726"/>
      <c r="E35" s="2727"/>
      <c r="F35" s="2681"/>
      <c r="G35" s="2728"/>
      <c r="H35" s="2595"/>
      <c r="I35" s="2694"/>
      <c r="J35" s="2614" t="s">
        <v>2329</v>
      </c>
      <c r="K35" s="2615"/>
      <c r="L35" s="2615"/>
      <c r="M35" s="2616"/>
      <c r="N35" s="2616"/>
      <c r="O35" s="2616"/>
      <c r="P35" s="2616"/>
      <c r="Q35" s="2616"/>
      <c r="R35" s="2729">
        <f>R40+R41+R43</f>
        <v>0</v>
      </c>
      <c r="S35" s="2588"/>
      <c r="T35" s="2588" t="s">
        <v>2330</v>
      </c>
      <c r="U35" s="2588"/>
      <c r="V35" s="2596"/>
    </row>
    <row r="36" spans="1:23" s="2600" customFormat="1" ht="13.15" customHeight="1" thickBot="1">
      <c r="A36" s="2676">
        <v>7</v>
      </c>
      <c r="B36" s="2730" t="s">
        <v>2426</v>
      </c>
      <c r="C36" s="2731"/>
      <c r="D36" s="2732"/>
      <c r="E36" s="2733"/>
      <c r="F36" s="2734">
        <f>C36+D36+E36</f>
        <v>0</v>
      </c>
      <c r="G36" s="2588"/>
      <c r="H36" s="2595"/>
      <c r="I36" s="2596"/>
      <c r="J36" s="3808">
        <v>1</v>
      </c>
      <c r="K36" s="3809" t="s">
        <v>2427</v>
      </c>
      <c r="L36" s="2621"/>
      <c r="M36" s="2622"/>
      <c r="N36" s="2622"/>
      <c r="O36" s="2622"/>
      <c r="P36" s="2622"/>
      <c r="Q36" s="2622"/>
      <c r="R36" s="2605" t="s">
        <v>2339</v>
      </c>
      <c r="S36" s="2588"/>
      <c r="T36" s="2588" t="s">
        <v>2340</v>
      </c>
      <c r="U36" s="2588"/>
      <c r="V36" s="2596"/>
    </row>
    <row r="37" spans="1:23" s="2600" customFormat="1" ht="13.15" customHeight="1">
      <c r="A37" s="2676"/>
      <c r="B37" s="2677"/>
      <c r="C37" s="2677"/>
      <c r="D37" s="2677"/>
      <c r="E37" s="2677"/>
      <c r="F37" s="2681"/>
      <c r="G37" s="2588"/>
      <c r="H37" s="2595"/>
      <c r="I37" s="2596"/>
      <c r="J37" s="3808"/>
      <c r="K37" s="3810"/>
      <c r="L37" s="2630"/>
      <c r="M37" s="2631"/>
      <c r="N37" s="2607"/>
      <c r="O37" s="2632"/>
      <c r="P37" s="2632"/>
      <c r="Q37" s="2633"/>
      <c r="R37" s="2634"/>
      <c r="S37" s="2588"/>
      <c r="T37" s="2588" t="s">
        <v>2343</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808"/>
      <c r="K38" s="3810"/>
      <c r="L38" s="2630"/>
      <c r="M38" s="2631"/>
      <c r="N38" s="2607"/>
      <c r="O38" s="2632"/>
      <c r="P38" s="2632"/>
      <c r="Q38" s="2633"/>
      <c r="R38" s="2634"/>
      <c r="S38" s="2588"/>
      <c r="T38" s="2588" t="s">
        <v>2350</v>
      </c>
      <c r="U38" s="2588"/>
      <c r="V38" s="2596"/>
    </row>
    <row r="39" spans="1:23" s="2600" customFormat="1" ht="13.15" customHeight="1">
      <c r="A39" s="2676">
        <v>9</v>
      </c>
      <c r="B39" s="2677" t="s">
        <v>2428</v>
      </c>
      <c r="C39" s="2644" t="e">
        <f>C38</f>
        <v>#DIV/0!</v>
      </c>
      <c r="D39" s="2677">
        <f>D38/(1+D34)^C36</f>
        <v>0</v>
      </c>
      <c r="E39" s="2677">
        <f>E38/(1+E34)^(C36+D36)</f>
        <v>0</v>
      </c>
      <c r="F39" s="2681"/>
      <c r="G39" s="2596"/>
      <c r="H39" s="2595"/>
      <c r="I39" s="2596"/>
      <c r="J39" s="3808"/>
      <c r="K39" s="3810"/>
      <c r="L39" s="2630"/>
      <c r="M39" s="2631"/>
      <c r="N39" s="2607"/>
      <c r="O39" s="2632"/>
      <c r="P39" s="2632"/>
      <c r="Q39" s="2633"/>
      <c r="R39" s="2634"/>
      <c r="S39" s="2588"/>
      <c r="T39" s="2588"/>
      <c r="U39" s="2588"/>
      <c r="V39" s="2596"/>
    </row>
    <row r="40" spans="1:23" s="2600" customFormat="1" ht="13.15" customHeight="1">
      <c r="A40" s="2735">
        <v>10</v>
      </c>
      <c r="B40" s="2677" t="s">
        <v>2429</v>
      </c>
      <c r="C40" s="2736" t="e">
        <f>C39+D39+E39</f>
        <v>#DIV/0!</v>
      </c>
      <c r="D40" s="2737"/>
      <c r="E40" s="2737"/>
      <c r="F40" s="2738"/>
      <c r="G40" s="2588"/>
      <c r="H40" s="2595"/>
      <c r="I40" s="2596"/>
      <c r="J40" s="3808"/>
      <c r="K40" s="3811"/>
      <c r="L40" s="2650" t="s">
        <v>2368</v>
      </c>
      <c r="M40" s="2651"/>
      <c r="N40" s="2651"/>
      <c r="O40" s="2652"/>
      <c r="P40" s="2652"/>
      <c r="Q40" s="2653"/>
      <c r="R40" s="2599">
        <f>SUM(R37:R39)</f>
        <v>0</v>
      </c>
      <c r="S40" s="2588"/>
      <c r="T40" s="2588"/>
      <c r="U40" s="2588"/>
      <c r="V40" s="2596"/>
    </row>
    <row r="41" spans="1:23" s="2600" customFormat="1" ht="13.15" customHeight="1" thickBot="1">
      <c r="A41" s="2739">
        <v>11</v>
      </c>
      <c r="B41" s="2740" t="s">
        <v>2430</v>
      </c>
      <c r="C41" s="2740" t="e">
        <f>ROUND(C40*10000/B4,0)</f>
        <v>#DIV/0!</v>
      </c>
      <c r="D41" s="2741"/>
      <c r="E41" s="2741"/>
      <c r="F41" s="2742"/>
      <c r="G41" s="2595"/>
      <c r="H41" s="2595"/>
      <c r="I41" s="2596"/>
      <c r="J41" s="2689">
        <v>2</v>
      </c>
      <c r="K41" s="2690" t="s">
        <v>2408</v>
      </c>
      <c r="L41" s="2691"/>
      <c r="M41" s="2691"/>
      <c r="N41" s="2691"/>
      <c r="O41" s="2691"/>
      <c r="P41" s="2692"/>
      <c r="Q41" s="2693"/>
      <c r="R41" s="2666">
        <f>ROUND(R40*Q41,0)</f>
        <v>0</v>
      </c>
      <c r="S41" s="2588"/>
      <c r="T41" s="2588"/>
      <c r="U41" s="2639"/>
      <c r="V41" s="2596"/>
    </row>
    <row r="42" spans="1:23" s="2600" customFormat="1" ht="13.15" customHeight="1">
      <c r="G42" s="2595"/>
      <c r="H42" s="2595"/>
      <c r="I42" s="2596"/>
      <c r="J42" s="3818">
        <v>3</v>
      </c>
      <c r="K42" s="2696" t="s">
        <v>2410</v>
      </c>
      <c r="L42" s="2697"/>
      <c r="M42" s="2698"/>
      <c r="N42" s="2699" t="s">
        <v>2411</v>
      </c>
      <c r="O42" s="2699" t="s">
        <v>2412</v>
      </c>
      <c r="P42" s="2700" t="s">
        <v>2413</v>
      </c>
      <c r="Q42" s="2700" t="s">
        <v>2414</v>
      </c>
      <c r="R42" s="2605" t="s">
        <v>2339</v>
      </c>
      <c r="S42" s="2639"/>
      <c r="T42" s="2639"/>
      <c r="U42" s="2588"/>
      <c r="V42" s="2596"/>
    </row>
    <row r="43" spans="1:23" ht="13.15" customHeight="1">
      <c r="A43" s="2600"/>
      <c r="B43" s="2600"/>
      <c r="C43" s="2600"/>
      <c r="D43" s="2600"/>
      <c r="E43" s="2600"/>
      <c r="F43" s="2600"/>
      <c r="I43" s="2583"/>
      <c r="J43" s="3819"/>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2417</v>
      </c>
      <c r="L44" s="2745" t="s">
        <v>2418</v>
      </c>
      <c r="M44" s="2711"/>
      <c r="N44" s="2745" t="s">
        <v>2419</v>
      </c>
      <c r="O44" s="2711"/>
      <c r="P44" s="2745" t="s">
        <v>2420</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5"/>
      <c r="G1" s="459"/>
      <c r="H1" s="459"/>
      <c r="I1" s="459"/>
      <c r="J1" s="459"/>
      <c r="K1" s="459"/>
      <c r="L1" s="459"/>
      <c r="M1" s="459"/>
      <c r="N1" s="459"/>
      <c r="O1" s="459"/>
      <c r="P1" s="459"/>
      <c r="Q1" s="459"/>
      <c r="R1" s="459"/>
      <c r="S1" s="459"/>
    </row>
    <row r="2" spans="1:22" ht="15.75">
      <c r="A2" s="1727" t="s">
        <v>1462</v>
      </c>
      <c r="B2" s="811">
        <f ca="1">SUMIF(B6:B13,"&lt;&gt;#ref!",B6:B13)</f>
        <v>252.1069</v>
      </c>
      <c r="C2" s="1728" t="s">
        <v>1651</v>
      </c>
      <c r="D2" s="1729" t="s">
        <v>1652</v>
      </c>
      <c r="E2" s="2388">
        <f>SUM(E6:E13)</f>
        <v>204.54</v>
      </c>
      <c r="F2" s="2475"/>
      <c r="G2" s="459"/>
      <c r="H2" s="459"/>
      <c r="I2" s="459"/>
      <c r="J2" s="459"/>
      <c r="K2" s="459"/>
      <c r="L2" s="459"/>
      <c r="M2" s="459"/>
      <c r="N2" s="459"/>
      <c r="O2" s="459"/>
      <c r="P2" s="459"/>
      <c r="Q2" s="459"/>
      <c r="R2" s="459"/>
      <c r="S2" s="459"/>
    </row>
    <row r="3" spans="1:22" ht="15.75">
      <c r="A3" s="1727" t="s">
        <v>686</v>
      </c>
      <c r="B3" s="2382">
        <f ca="1">ROUND(B2*10000/E2,0)</f>
        <v>12326</v>
      </c>
      <c r="C3" s="1728"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4" t="s">
        <v>1653</v>
      </c>
      <c r="B5" s="3820" t="s">
        <v>1654</v>
      </c>
      <c r="C5" s="3821"/>
      <c r="D5" s="2476"/>
      <c r="E5" s="1730" t="s">
        <v>1655</v>
      </c>
      <c r="F5" s="129" t="s">
        <v>1656</v>
      </c>
      <c r="G5" s="459"/>
      <c r="H5" s="459"/>
      <c r="I5" s="459"/>
      <c r="J5" s="459"/>
      <c r="K5" s="459"/>
      <c r="L5" s="459"/>
      <c r="M5" s="459"/>
      <c r="N5" s="459"/>
      <c r="O5" s="459"/>
      <c r="P5" s="459"/>
      <c r="Q5" s="459"/>
      <c r="R5" s="459"/>
      <c r="S5" s="459"/>
    </row>
    <row r="6" spans="1:22">
      <c r="A6" s="2385" t="str">
        <f>'数据-取费表'!AN6</f>
        <v>成本法 (元)</v>
      </c>
      <c r="B6" s="2383">
        <f ca="1">IF(F6="是",'数据-取费表'!AO6,0)</f>
        <v>252.1069</v>
      </c>
      <c r="C6" s="1728" t="s">
        <v>1651</v>
      </c>
      <c r="D6" s="2475"/>
      <c r="E6" s="2387">
        <f>IF(OR(A6=0,F6="否"),0,'数据-取费表'!K6+'数据-取费表'!S6)</f>
        <v>204.54</v>
      </c>
      <c r="F6" s="1731" t="s">
        <v>1657</v>
      </c>
      <c r="G6" s="459"/>
      <c r="H6" s="459"/>
      <c r="I6" s="459"/>
      <c r="J6" s="459"/>
      <c r="K6" s="459"/>
      <c r="L6" s="459"/>
      <c r="M6" s="459"/>
      <c r="N6" s="459"/>
      <c r="O6" s="459"/>
      <c r="P6" s="459"/>
      <c r="Q6" s="459"/>
      <c r="R6" s="459"/>
      <c r="S6" s="459"/>
    </row>
    <row r="7" spans="1:22">
      <c r="A7" s="2385">
        <f>'数据-取费表'!AN7</f>
        <v>0</v>
      </c>
      <c r="B7" s="2383" t="e">
        <f ca="1">IF(F7="是",'数据-取费表'!AO7,0)</f>
        <v>#REF!</v>
      </c>
      <c r="C7" s="1728" t="s">
        <v>1651</v>
      </c>
      <c r="D7" s="2475"/>
      <c r="E7" s="2387">
        <f>IF(OR(A7=0,F7="否"),0,'数据-取费表'!K7+'数据-取费表'!S7)</f>
        <v>0</v>
      </c>
      <c r="F7" s="1731" t="s">
        <v>1657</v>
      </c>
      <c r="G7" s="459"/>
      <c r="H7" s="459"/>
      <c r="I7" s="459"/>
      <c r="J7" s="459"/>
      <c r="K7" s="459"/>
      <c r="L7" s="459"/>
      <c r="M7" s="459"/>
      <c r="N7" s="459"/>
      <c r="O7" s="459"/>
      <c r="P7" s="459"/>
      <c r="Q7" s="459"/>
      <c r="R7" s="459"/>
      <c r="S7" s="459"/>
    </row>
    <row r="8" spans="1:22">
      <c r="A8" s="2385">
        <f>'数据-取费表'!AN8</f>
        <v>0</v>
      </c>
      <c r="B8" s="2383" t="e">
        <f ca="1">IF(F8="是",'数据-取费表'!AO8,0)</f>
        <v>#REF!</v>
      </c>
      <c r="C8" s="1728" t="s">
        <v>1651</v>
      </c>
      <c r="D8" s="2475"/>
      <c r="E8" s="2387">
        <f>IF(OR(A8=0,F8="否"),0,'数据-取费表'!K8+'数据-取费表'!S8)</f>
        <v>0</v>
      </c>
      <c r="F8" s="1731" t="s">
        <v>1657</v>
      </c>
      <c r="G8" s="459"/>
      <c r="H8" s="459"/>
      <c r="I8" s="459"/>
      <c r="J8" s="459"/>
      <c r="K8" s="459"/>
      <c r="L8" s="459"/>
      <c r="M8" s="459"/>
      <c r="N8" s="459"/>
      <c r="O8" s="459"/>
      <c r="P8" s="459"/>
      <c r="Q8" s="459"/>
      <c r="R8" s="459"/>
      <c r="S8" s="459"/>
    </row>
    <row r="9" spans="1:22">
      <c r="A9" s="2385">
        <f>'数据-取费表'!AN9</f>
        <v>0</v>
      </c>
      <c r="B9" s="2383" t="e">
        <f ca="1">IF(F9="是",'数据-取费表'!AO9,0)</f>
        <v>#REF!</v>
      </c>
      <c r="C9" s="1728" t="s">
        <v>1651</v>
      </c>
      <c r="D9" s="2475"/>
      <c r="E9" s="2387">
        <f>IF(OR(A9=0,F9="否"),0,'数据-取费表'!K9+'数据-取费表'!S9)</f>
        <v>0</v>
      </c>
      <c r="F9" s="1731" t="s">
        <v>1657</v>
      </c>
      <c r="G9" s="459"/>
      <c r="H9" s="459"/>
      <c r="I9" s="459"/>
      <c r="J9" s="459"/>
      <c r="K9" s="459"/>
      <c r="L9" s="459"/>
      <c r="M9" s="459"/>
      <c r="N9" s="459"/>
      <c r="O9" s="459"/>
      <c r="P9" s="459"/>
      <c r="Q9" s="459"/>
      <c r="R9" s="459"/>
      <c r="S9" s="459"/>
    </row>
    <row r="10" spans="1:22">
      <c r="A10" s="2385">
        <f>'数据-取费表'!AN10</f>
        <v>0</v>
      </c>
      <c r="B10" s="2383" t="e">
        <f ca="1">IF(F10="是",'数据-取费表'!AO10,0)</f>
        <v>#REF!</v>
      </c>
      <c r="C10" s="1728" t="s">
        <v>1651</v>
      </c>
      <c r="D10" s="2475"/>
      <c r="E10" s="2387">
        <f>IF(OR(A10=0,F10="否"),0,'数据-取费表'!K10+'数据-取费表'!S10)</f>
        <v>0</v>
      </c>
      <c r="F10" s="1731" t="s">
        <v>1657</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8" t="s">
        <v>1651</v>
      </c>
      <c r="D11" s="2475"/>
      <c r="E11" s="2387">
        <f>IF(OR(A11=0,F11="否"),0,'数据-取费表'!K11+'数据-取费表'!S11)</f>
        <v>0</v>
      </c>
      <c r="F11" s="1731" t="s">
        <v>1657</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8" t="s">
        <v>1651</v>
      </c>
      <c r="D12" s="2475"/>
      <c r="E12" s="2387">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2" t="s">
        <v>1651</v>
      </c>
      <c r="D13" s="2477"/>
      <c r="E13" s="2387">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sheetPr codeName="Sheet13">
    <tabColor rgb="FF92D050"/>
    <pageSetUpPr fitToPage="1"/>
  </sheetPr>
  <dimension ref="A1:AC148"/>
  <sheetViews>
    <sheetView view="pageBreakPreview" topLeftCell="A30" zoomScale="90" zoomScaleNormal="60" zoomScaleSheetLayoutView="90" workbookViewId="0">
      <selection activeCell="L47" sqref="L4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3375</v>
      </c>
      <c r="E1" s="3120" t="s">
        <v>3388</v>
      </c>
      <c r="F1" s="1734" t="s">
        <v>3382</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1">
        <f>IF(E1="项目模式",IF(C2="——",ROUND(C49*D3/10000,0),ROUND(C49*D3/10000,0)-D2),IF(E1="单套模式",IF(C2="——",ROUND(C49*D3/10000,4),ROUND(C49*D3/10000,4)-D2)))</f>
        <v>147.69829999999999</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0"/>
      <c r="M2" s="2481"/>
      <c r="N2" s="2481"/>
      <c r="O2" s="2481"/>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7221</v>
      </c>
      <c r="C3" s="344" t="s">
        <v>1665</v>
      </c>
      <c r="D3" s="343">
        <f>IF(D1="",'数据-汇总表'!E3,SUMIF('数据-汇总表'!$C19:$C33,D1,'数据-汇总表'!$E19:$E33))</f>
        <v>204.54</v>
      </c>
      <c r="E3" s="854"/>
      <c r="F3" s="1742"/>
      <c r="G3" s="854"/>
      <c r="H3" s="854"/>
      <c r="I3" s="854"/>
      <c r="J3" s="854"/>
      <c r="K3" s="1739"/>
      <c r="L3" s="2480"/>
      <c r="M3" s="2481"/>
      <c r="N3" s="2481"/>
      <c r="O3" s="2481"/>
      <c r="P3" s="1740"/>
      <c r="Q3" s="1741"/>
      <c r="R3" s="1741"/>
      <c r="S3" s="1741"/>
      <c r="T3" s="1741"/>
      <c r="U3" s="1741"/>
      <c r="V3" s="1741"/>
      <c r="W3" s="1741"/>
      <c r="X3" s="1741"/>
      <c r="Y3" s="1741"/>
      <c r="Z3" s="1741"/>
      <c r="AA3" s="1741"/>
      <c r="AB3" s="1741"/>
      <c r="AC3" s="998"/>
    </row>
    <row r="4" spans="1:29" ht="15">
      <c r="A4" s="345" t="s">
        <v>1666</v>
      </c>
      <c r="B4" s="346"/>
      <c r="C4" s="3841" t="s">
        <v>1667</v>
      </c>
      <c r="D4" s="3842"/>
      <c r="E4" s="3843" t="s">
        <v>1668</v>
      </c>
      <c r="F4" s="3844"/>
      <c r="G4" s="3841" t="s">
        <v>1669</v>
      </c>
      <c r="H4" s="3842"/>
      <c r="I4" s="3841" t="s">
        <v>1670</v>
      </c>
      <c r="J4" s="3842"/>
      <c r="K4" s="1743" t="s">
        <v>1671</v>
      </c>
      <c r="L4" s="2482"/>
      <c r="M4" s="2483"/>
      <c r="N4" s="2483"/>
      <c r="O4" s="2483"/>
      <c r="P4" s="3845" t="s">
        <v>1672</v>
      </c>
      <c r="Q4" s="3846"/>
      <c r="R4" s="3827" t="s">
        <v>1668</v>
      </c>
      <c r="S4" s="3828"/>
      <c r="T4" s="3827" t="s">
        <v>1669</v>
      </c>
      <c r="U4" s="3828"/>
      <c r="V4" s="3853" t="s">
        <v>1670</v>
      </c>
      <c r="W4" s="3853"/>
      <c r="X4" s="1264"/>
      <c r="Y4" s="3827" t="s">
        <v>1672</v>
      </c>
      <c r="Z4" s="3828"/>
      <c r="AA4" s="3822" t="s">
        <v>1668</v>
      </c>
      <c r="AB4" s="3822" t="s">
        <v>1669</v>
      </c>
      <c r="AC4" s="3822" t="s">
        <v>1670</v>
      </c>
    </row>
    <row r="5" spans="1:29" ht="15">
      <c r="A5" s="348"/>
      <c r="B5" s="349"/>
      <c r="C5" s="3833" t="s">
        <v>3786</v>
      </c>
      <c r="D5" s="3834"/>
      <c r="E5" s="3831" t="str">
        <f>案例!C18</f>
        <v>海淀区北洼西里11号楼</v>
      </c>
      <c r="F5" s="3832"/>
      <c r="G5" s="3837" t="str">
        <f>案例!C19</f>
        <v>海淀区北洼西里7号楼</v>
      </c>
      <c r="H5" s="3834"/>
      <c r="I5" s="3837" t="str">
        <f>案例!C21</f>
        <v>海淀区北洼西里7号楼</v>
      </c>
      <c r="J5" s="3834"/>
      <c r="K5" s="1744"/>
      <c r="L5" s="2482"/>
      <c r="M5" s="2483"/>
      <c r="N5" s="2483"/>
      <c r="O5" s="2483"/>
      <c r="P5" s="3847"/>
      <c r="Q5" s="3848"/>
      <c r="R5" s="3829"/>
      <c r="S5" s="3830"/>
      <c r="T5" s="3829"/>
      <c r="U5" s="3830"/>
      <c r="V5" s="3853"/>
      <c r="W5" s="3853"/>
      <c r="X5" s="1264"/>
      <c r="Y5" s="3829"/>
      <c r="Z5" s="3830"/>
      <c r="AA5" s="3823"/>
      <c r="AB5" s="3823"/>
      <c r="AC5" s="3823"/>
    </row>
    <row r="6" spans="1:29" ht="15.75" thickBot="1">
      <c r="A6" s="350"/>
      <c r="B6" s="351"/>
      <c r="C6" s="3835" t="s">
        <v>1677</v>
      </c>
      <c r="D6" s="3836"/>
      <c r="E6" s="3838" t="s">
        <v>1677</v>
      </c>
      <c r="F6" s="3839"/>
      <c r="G6" s="3835" t="s">
        <v>1677</v>
      </c>
      <c r="H6" s="3836"/>
      <c r="I6" s="3835" t="s">
        <v>1677</v>
      </c>
      <c r="J6" s="3836"/>
      <c r="K6" s="1744" t="s">
        <v>1678</v>
      </c>
      <c r="L6" s="2482"/>
      <c r="M6" s="2483"/>
      <c r="N6" s="2483"/>
      <c r="O6" s="2483"/>
      <c r="P6" s="3849"/>
      <c r="Q6" s="3850"/>
      <c r="R6" s="3829"/>
      <c r="S6" s="3830"/>
      <c r="T6" s="3851"/>
      <c r="U6" s="3852"/>
      <c r="V6" s="3853"/>
      <c r="W6" s="3853"/>
      <c r="X6" s="1264"/>
      <c r="Y6" s="3851"/>
      <c r="Z6" s="3852"/>
      <c r="AA6" s="3824"/>
      <c r="AB6" s="3824"/>
      <c r="AC6" s="3824"/>
    </row>
    <row r="7" spans="1:29" s="102" customFormat="1" ht="15.75" thickBot="1">
      <c r="A7" s="352" t="s">
        <v>1679</v>
      </c>
      <c r="B7" s="353"/>
      <c r="C7" s="354">
        <f>'数据-取费表'!B2</f>
        <v>38867</v>
      </c>
      <c r="D7" s="355">
        <v>100</v>
      </c>
      <c r="E7" s="356">
        <f>案例!BG2</f>
        <v>38865</v>
      </c>
      <c r="F7" s="357">
        <f>SUMIF(58:58,YEAR(E7)&amp;"-"&amp;MONTH(E7),59:59)</f>
        <v>100</v>
      </c>
      <c r="G7" s="356">
        <f>案例!BG3</f>
        <v>38798</v>
      </c>
      <c r="H7" s="355">
        <f>SUMIF(58:58,YEAR(G7)&amp;"-"&amp;MONTH(G7),59:59)</f>
        <v>99.4</v>
      </c>
      <c r="I7" s="356">
        <f>案例!BG5</f>
        <v>38672</v>
      </c>
      <c r="J7" s="355">
        <f>SUMIF(58:58,YEAR(I7)&amp;"-"&amp;MONTH(I7),59:59)</f>
        <v>98.200000000000017</v>
      </c>
      <c r="K7" s="1745"/>
      <c r="L7" s="2484"/>
      <c r="M7" s="2435"/>
      <c r="N7" s="2435"/>
      <c r="O7" s="2435"/>
      <c r="P7" s="3825" t="s">
        <v>1680</v>
      </c>
      <c r="Q7" s="3854"/>
      <c r="R7" s="664" t="s">
        <v>20</v>
      </c>
      <c r="S7" s="665">
        <f t="shared" ref="S7:S15" si="0">F7</f>
        <v>100</v>
      </c>
      <c r="T7" s="664" t="s">
        <v>20</v>
      </c>
      <c r="U7" s="665">
        <f t="shared" ref="U7:U15" si="1">H7</f>
        <v>99.4</v>
      </c>
      <c r="V7" s="664" t="s">
        <v>20</v>
      </c>
      <c r="W7" s="665">
        <f t="shared" ref="W7:W15" si="2">J7</f>
        <v>98.200000000000017</v>
      </c>
      <c r="X7" s="666"/>
      <c r="Y7" s="3825" t="s">
        <v>1680</v>
      </c>
      <c r="Z7" s="3826"/>
      <c r="AA7" s="50">
        <f>D7/F7</f>
        <v>1</v>
      </c>
      <c r="AB7" s="50">
        <f>D7/H7</f>
        <v>1.0060362173038229</v>
      </c>
      <c r="AC7" s="50">
        <f>D7/J7</f>
        <v>1.0183299389002034</v>
      </c>
    </row>
    <row r="8" spans="1:29" s="102" customFormat="1" ht="15.75" thickBot="1">
      <c r="A8" s="352" t="s">
        <v>1681</v>
      </c>
      <c r="B8" s="353"/>
      <c r="C8" s="358" t="s">
        <v>3409</v>
      </c>
      <c r="D8" s="355">
        <v>100</v>
      </c>
      <c r="E8" s="358" t="s">
        <v>3409</v>
      </c>
      <c r="F8" s="357">
        <f>SUMIF(61:61,E8,62:62)-SUMIF(61:61,C8,62:62)+100</f>
        <v>100</v>
      </c>
      <c r="G8" s="358" t="s">
        <v>3409</v>
      </c>
      <c r="H8" s="355">
        <f>SUMIF(61:61,G8,62:62)-SUMIF(61:61,C8,62:62)+100</f>
        <v>100</v>
      </c>
      <c r="I8" s="358" t="s">
        <v>3409</v>
      </c>
      <c r="J8" s="355">
        <f>SUMIF(61:61,I8,62:62)-SUMIF(61:61,C8,62:62)+100</f>
        <v>100</v>
      </c>
      <c r="K8" s="1745"/>
      <c r="L8" s="2484"/>
      <c r="M8" s="2435"/>
      <c r="N8" s="2435"/>
      <c r="O8" s="2435"/>
      <c r="P8" s="3825" t="s">
        <v>1683</v>
      </c>
      <c r="Q8" s="3826"/>
      <c r="R8" s="664" t="s">
        <v>20</v>
      </c>
      <c r="S8" s="665">
        <f t="shared" si="0"/>
        <v>100</v>
      </c>
      <c r="T8" s="664" t="s">
        <v>20</v>
      </c>
      <c r="U8" s="665">
        <f t="shared" si="1"/>
        <v>100</v>
      </c>
      <c r="V8" s="664" t="s">
        <v>20</v>
      </c>
      <c r="W8" s="665">
        <f t="shared" si="2"/>
        <v>100</v>
      </c>
      <c r="X8" s="666"/>
      <c r="Y8" s="3825" t="s">
        <v>1683</v>
      </c>
      <c r="Z8" s="3826"/>
      <c r="AA8" s="50">
        <f t="shared" ref="AA8:AA19" si="3">D8/F8</f>
        <v>1</v>
      </c>
      <c r="AB8" s="50">
        <f t="shared" ref="AB8:AB19" si="4">D8/H8</f>
        <v>1</v>
      </c>
      <c r="AC8" s="50">
        <f t="shared" ref="AC8:AC19" si="5">D8/J8</f>
        <v>1</v>
      </c>
    </row>
    <row r="9" spans="1:29" s="102" customFormat="1">
      <c r="A9" s="359" t="s">
        <v>1684</v>
      </c>
      <c r="B9" s="60" t="s">
        <v>1685</v>
      </c>
      <c r="C9" s="3154" t="s">
        <v>3412</v>
      </c>
      <c r="D9" s="59">
        <v>100</v>
      </c>
      <c r="E9" s="361" t="s">
        <v>3375</v>
      </c>
      <c r="F9" s="60">
        <f>SUMIF(63:63,E9,64:64)-SUMIF(63:63,C9,64:64)+100</f>
        <v>100</v>
      </c>
      <c r="G9" s="362" t="s">
        <v>3375</v>
      </c>
      <c r="H9" s="59">
        <f>SUMIF(63:63,G9,64:64)-SUMIF(63:63,C9,64:64)+100</f>
        <v>100</v>
      </c>
      <c r="I9" s="362" t="s">
        <v>3375</v>
      </c>
      <c r="J9" s="59">
        <f>SUMIF(63:63,I9,64:64)-SUMIF(63:63,C9,64:64)+100</f>
        <v>100</v>
      </c>
      <c r="K9" s="1745"/>
      <c r="L9" s="2484"/>
      <c r="M9" s="2435"/>
      <c r="N9" s="2435"/>
      <c r="O9" s="2435"/>
      <c r="P9" s="3840" t="s">
        <v>1686</v>
      </c>
      <c r="Q9" s="530" t="str">
        <f t="shared" ref="Q9:Q15" si="6">B9</f>
        <v>用途</v>
      </c>
      <c r="R9" s="664" t="s">
        <v>14</v>
      </c>
      <c r="S9" s="665">
        <f t="shared" si="0"/>
        <v>100</v>
      </c>
      <c r="T9" s="664" t="s">
        <v>14</v>
      </c>
      <c r="U9" s="665">
        <f t="shared" si="1"/>
        <v>100</v>
      </c>
      <c r="V9" s="664" t="s">
        <v>14</v>
      </c>
      <c r="W9" s="665">
        <f t="shared" si="2"/>
        <v>100</v>
      </c>
      <c r="X9" s="666"/>
      <c r="Y9" s="3769" t="s">
        <v>1687</v>
      </c>
      <c r="Z9" s="50" t="str">
        <f t="shared" ref="Z9:Z15" si="7">Q9</f>
        <v>用途</v>
      </c>
      <c r="AA9" s="50">
        <f t="shared" si="3"/>
        <v>1</v>
      </c>
      <c r="AB9" s="50">
        <f t="shared" si="4"/>
        <v>1</v>
      </c>
      <c r="AC9" s="50">
        <f t="shared" si="5"/>
        <v>1</v>
      </c>
    </row>
    <row r="10" spans="1:29" s="366" customFormat="1" ht="27.75" thickBot="1">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840"/>
      <c r="Q10" s="530" t="str">
        <f t="shared" si="6"/>
        <v>土地使用年限（年）</v>
      </c>
      <c r="R10" s="664" t="s">
        <v>14</v>
      </c>
      <c r="S10" s="665">
        <f t="shared" si="0"/>
        <v>100</v>
      </c>
      <c r="T10" s="664" t="s">
        <v>14</v>
      </c>
      <c r="U10" s="665">
        <f t="shared" si="1"/>
        <v>100</v>
      </c>
      <c r="V10" s="664" t="s">
        <v>14</v>
      </c>
      <c r="W10" s="665">
        <f t="shared" si="2"/>
        <v>100</v>
      </c>
      <c r="X10" s="666"/>
      <c r="Y10" s="3769"/>
      <c r="Z10" s="50" t="str">
        <f t="shared" si="7"/>
        <v>土地使用年限（年）</v>
      </c>
      <c r="AA10" s="50">
        <f t="shared" si="3"/>
        <v>1</v>
      </c>
      <c r="AB10" s="50">
        <f t="shared" si="4"/>
        <v>1</v>
      </c>
      <c r="AC10" s="50">
        <f t="shared" si="5"/>
        <v>1</v>
      </c>
    </row>
    <row r="11" spans="1:29" ht="15.75" hidden="1"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7"/>
      <c r="M11" s="2483"/>
      <c r="N11" s="2483"/>
      <c r="O11" s="2483"/>
      <c r="P11" s="3840"/>
      <c r="Q11" s="530" t="str">
        <f t="shared" si="6"/>
        <v>容积率</v>
      </c>
      <c r="R11" s="664" t="s">
        <v>18</v>
      </c>
      <c r="S11" s="665">
        <f t="shared" si="0"/>
        <v>100</v>
      </c>
      <c r="T11" s="664" t="s">
        <v>18</v>
      </c>
      <c r="U11" s="665">
        <f t="shared" si="1"/>
        <v>100</v>
      </c>
      <c r="V11" s="664" t="s">
        <v>18</v>
      </c>
      <c r="W11" s="665">
        <f t="shared" si="2"/>
        <v>100</v>
      </c>
      <c r="X11" s="666"/>
      <c r="Y11" s="3769"/>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4"/>
      <c r="M12" s="2435"/>
      <c r="N12" s="2435"/>
      <c r="O12" s="2435"/>
      <c r="P12" s="3840"/>
      <c r="Q12" s="530">
        <f t="shared" si="6"/>
        <v>111</v>
      </c>
      <c r="R12" s="664" t="s">
        <v>18</v>
      </c>
      <c r="S12" s="665">
        <f t="shared" si="0"/>
        <v>100</v>
      </c>
      <c r="T12" s="664" t="s">
        <v>18</v>
      </c>
      <c r="U12" s="665">
        <f t="shared" si="1"/>
        <v>100</v>
      </c>
      <c r="V12" s="664" t="s">
        <v>18</v>
      </c>
      <c r="W12" s="665">
        <f t="shared" si="2"/>
        <v>100</v>
      </c>
      <c r="X12" s="666"/>
      <c r="Y12" s="3769"/>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8"/>
      <c r="M13" s="2483"/>
      <c r="N13" s="2483"/>
      <c r="O13" s="2483"/>
      <c r="P13" s="3840"/>
      <c r="Q13" s="530">
        <f t="shared" si="6"/>
        <v>111</v>
      </c>
      <c r="R13" s="664" t="s">
        <v>18</v>
      </c>
      <c r="S13" s="665">
        <f t="shared" si="0"/>
        <v>100</v>
      </c>
      <c r="T13" s="664" t="s">
        <v>18</v>
      </c>
      <c r="U13" s="665">
        <f t="shared" si="1"/>
        <v>100</v>
      </c>
      <c r="V13" s="664" t="s">
        <v>18</v>
      </c>
      <c r="W13" s="665">
        <f t="shared" si="2"/>
        <v>100</v>
      </c>
      <c r="X13" s="666"/>
      <c r="Y13" s="3769"/>
      <c r="Z13" s="50">
        <f t="shared" si="7"/>
        <v>111</v>
      </c>
      <c r="AA13" s="50">
        <f t="shared" si="3"/>
        <v>1</v>
      </c>
      <c r="AB13" s="50">
        <f t="shared" si="4"/>
        <v>1</v>
      </c>
      <c r="AC13" s="50">
        <f t="shared" si="5"/>
        <v>1</v>
      </c>
    </row>
    <row r="14" spans="1:29" ht="15.75" hidden="1"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8"/>
      <c r="M14" s="2483"/>
      <c r="N14" s="2483"/>
      <c r="O14" s="2483"/>
      <c r="P14" s="3840"/>
      <c r="Q14" s="530">
        <f t="shared" si="6"/>
        <v>111</v>
      </c>
      <c r="R14" s="664" t="s">
        <v>18</v>
      </c>
      <c r="S14" s="665">
        <f t="shared" si="0"/>
        <v>100</v>
      </c>
      <c r="T14" s="664" t="s">
        <v>18</v>
      </c>
      <c r="U14" s="665">
        <f t="shared" si="1"/>
        <v>100</v>
      </c>
      <c r="V14" s="664" t="s">
        <v>18</v>
      </c>
      <c r="W14" s="665">
        <f t="shared" si="2"/>
        <v>100</v>
      </c>
      <c r="X14" s="666"/>
      <c r="Y14" s="3769"/>
      <c r="Z14" s="50">
        <f t="shared" si="7"/>
        <v>111</v>
      </c>
      <c r="AA14" s="50">
        <f t="shared" si="3"/>
        <v>1</v>
      </c>
      <c r="AB14" s="50">
        <f t="shared" si="4"/>
        <v>1</v>
      </c>
      <c r="AC14" s="50">
        <f t="shared" si="5"/>
        <v>1</v>
      </c>
    </row>
    <row r="15" spans="1:29" ht="41.25" customHeight="1">
      <c r="A15" s="379" t="s">
        <v>1690</v>
      </c>
      <c r="B15" s="58" t="s">
        <v>1257</v>
      </c>
      <c r="C15" s="1748" t="str">
        <f>估价对象房地状况!C3</f>
        <v>周边有中海雅园、北洼西里等住宅小区，居住社区成熟度较好。</v>
      </c>
      <c r="D15" s="380">
        <v>100</v>
      </c>
      <c r="E15" s="3157"/>
      <c r="F15" s="380">
        <f>SUMIF(76:76,E16,77:77)-SUMIF(76:76,C16,77:77)+100</f>
        <v>100</v>
      </c>
      <c r="G15" s="3166"/>
      <c r="H15" s="380">
        <f>SUMIF(76:76,G16,77:77)-SUMIF(76:76,C16,77:77)+100</f>
        <v>100</v>
      </c>
      <c r="I15" s="3166"/>
      <c r="J15" s="380">
        <f>SUMIF(76:76,I16,77:77)-SUMIF(76:76,C16,77:77)+100</f>
        <v>100</v>
      </c>
      <c r="K15" s="384"/>
      <c r="L15" s="2488"/>
      <c r="M15" s="2483"/>
      <c r="N15" s="2483"/>
      <c r="O15" s="2483"/>
      <c r="P15" s="3866" t="s">
        <v>1691</v>
      </c>
      <c r="Q15" s="1262" t="str">
        <f t="shared" si="6"/>
        <v>居住社区成熟度</v>
      </c>
      <c r="R15" s="667" t="s">
        <v>18</v>
      </c>
      <c r="S15" s="668">
        <f t="shared" si="0"/>
        <v>100</v>
      </c>
      <c r="T15" s="667" t="s">
        <v>18</v>
      </c>
      <c r="U15" s="668">
        <f t="shared" si="1"/>
        <v>100</v>
      </c>
      <c r="V15" s="667" t="s">
        <v>18</v>
      </c>
      <c r="W15" s="668">
        <f t="shared" si="2"/>
        <v>100</v>
      </c>
      <c r="X15" s="1264"/>
      <c r="Y15" s="3859" t="s">
        <v>1691</v>
      </c>
      <c r="Z15" s="1263" t="str">
        <f t="shared" si="7"/>
        <v>居住社区成熟度</v>
      </c>
      <c r="AA15" s="1263">
        <f t="shared" si="3"/>
        <v>1</v>
      </c>
      <c r="AB15" s="1263">
        <f t="shared" si="4"/>
        <v>1</v>
      </c>
      <c r="AC15" s="1263">
        <f t="shared" si="5"/>
        <v>1</v>
      </c>
    </row>
    <row r="16" spans="1:29" ht="15">
      <c r="A16" s="367"/>
      <c r="B16" s="385"/>
      <c r="C16" s="386" t="s">
        <v>3394</v>
      </c>
      <c r="D16" s="387"/>
      <c r="E16" s="386" t="s">
        <v>3394</v>
      </c>
      <c r="F16" s="387"/>
      <c r="G16" s="386" t="s">
        <v>3394</v>
      </c>
      <c r="H16" s="389"/>
      <c r="I16" s="386" t="s">
        <v>3394</v>
      </c>
      <c r="J16" s="387"/>
      <c r="K16" s="1751"/>
      <c r="L16" s="2488"/>
      <c r="M16" s="2483"/>
      <c r="N16" s="2483"/>
      <c r="O16" s="2483"/>
      <c r="P16" s="3867"/>
      <c r="Q16" s="1262"/>
      <c r="R16" s="667"/>
      <c r="S16" s="668"/>
      <c r="T16" s="667"/>
      <c r="U16" s="668"/>
      <c r="V16" s="667"/>
      <c r="W16" s="668"/>
      <c r="X16" s="1264"/>
      <c r="Y16" s="3860"/>
      <c r="Z16" s="1263"/>
      <c r="AA16" s="1263">
        <v>1</v>
      </c>
      <c r="AB16" s="1263">
        <v>1</v>
      </c>
      <c r="AC16" s="1263">
        <v>1</v>
      </c>
    </row>
    <row r="17" spans="1:29" ht="34.5" customHeight="1">
      <c r="A17" s="367"/>
      <c r="B17" s="390" t="s">
        <v>1259</v>
      </c>
      <c r="C17" s="1752" t="str">
        <f>估价对象房地状况!C6</f>
        <v>周边有601路、709路等多条公交线路，综合评价交通便捷度一般</v>
      </c>
      <c r="D17" s="389">
        <v>100</v>
      </c>
      <c r="E17" s="3160"/>
      <c r="F17" s="389">
        <f>SUMIF(78:78,E18,79:79)-SUMIF(78:78,C18,79:79)+100</f>
        <v>100</v>
      </c>
      <c r="G17" s="391"/>
      <c r="H17" s="394">
        <f>SUMIF(78:78,G18,79:79)-SUMIF(78:78,C18,79:79)+100</f>
        <v>100</v>
      </c>
      <c r="I17" s="391"/>
      <c r="J17" s="394">
        <f>SUMIF(78:78,I18,79:79)-SUMIF(78:78,C18,79:79)+100</f>
        <v>100</v>
      </c>
      <c r="K17" s="384"/>
      <c r="L17" s="2488"/>
      <c r="M17" s="2483"/>
      <c r="N17" s="2483"/>
      <c r="O17" s="2483"/>
      <c r="P17" s="3867"/>
      <c r="Q17" s="1262" t="str">
        <f>B17</f>
        <v>交通便捷度</v>
      </c>
      <c r="R17" s="667" t="s">
        <v>18</v>
      </c>
      <c r="S17" s="668">
        <f>F17</f>
        <v>100</v>
      </c>
      <c r="T17" s="667" t="s">
        <v>18</v>
      </c>
      <c r="U17" s="668">
        <f>H17</f>
        <v>100</v>
      </c>
      <c r="V17" s="667" t="s">
        <v>18</v>
      </c>
      <c r="W17" s="668">
        <f>J17</f>
        <v>100</v>
      </c>
      <c r="X17" s="1264"/>
      <c r="Y17" s="3860"/>
      <c r="Z17" s="1263" t="str">
        <f>Q17</f>
        <v>交通便捷度</v>
      </c>
      <c r="AA17" s="1263">
        <f t="shared" si="3"/>
        <v>1</v>
      </c>
      <c r="AB17" s="1263">
        <f t="shared" si="4"/>
        <v>1</v>
      </c>
      <c r="AC17" s="1263">
        <f t="shared" si="5"/>
        <v>1</v>
      </c>
    </row>
    <row r="18" spans="1:29" ht="15">
      <c r="A18" s="367"/>
      <c r="B18" s="395"/>
      <c r="C18" s="1753" t="s">
        <v>3395</v>
      </c>
      <c r="D18" s="389"/>
      <c r="E18" s="386" t="s">
        <v>3394</v>
      </c>
      <c r="F18" s="389"/>
      <c r="G18" s="386" t="s">
        <v>3394</v>
      </c>
      <c r="H18" s="387"/>
      <c r="I18" s="386" t="s">
        <v>3394</v>
      </c>
      <c r="J18" s="387"/>
      <c r="K18" s="1751"/>
      <c r="L18" s="2488"/>
      <c r="M18" s="2483"/>
      <c r="N18" s="2483"/>
      <c r="O18" s="2483"/>
      <c r="P18" s="3867"/>
      <c r="Q18" s="1262"/>
      <c r="R18" s="667"/>
      <c r="S18" s="668"/>
      <c r="T18" s="667"/>
      <c r="U18" s="668"/>
      <c r="V18" s="667"/>
      <c r="W18" s="668"/>
      <c r="X18" s="1264"/>
      <c r="Y18" s="3860"/>
      <c r="Z18" s="1263"/>
      <c r="AA18" s="1263">
        <v>1</v>
      </c>
      <c r="AB18" s="1263">
        <v>1</v>
      </c>
      <c r="AC18" s="1263">
        <v>1</v>
      </c>
    </row>
    <row r="19" spans="1:29" ht="299.25" customHeight="1">
      <c r="A19" s="367"/>
      <c r="B19" s="390" t="s">
        <v>1258</v>
      </c>
      <c r="C19" s="1752" t="str">
        <f>估价对象房地状况!C7</f>
        <v>银行：等金融机构；
医院：中国人民解放军第304医院等医疗机构；
学校：首都师范大学、首都师范大学附属中学等教育机构；
商业：社区级商业设施；
综合评价公共服务设施齐备度一般。</v>
      </c>
      <c r="D19" s="394">
        <v>100</v>
      </c>
      <c r="E19" s="3158"/>
      <c r="F19" s="394">
        <f>SUMIF(80:80,E20,81:81)-SUMIF(80:80,C20,81:81)+100</f>
        <v>100</v>
      </c>
      <c r="G19" s="3169"/>
      <c r="H19" s="389">
        <f>SUMIF(80:80,G20,81:81)-SUMIF(80:80,C20,81:81)+100</f>
        <v>100</v>
      </c>
      <c r="I19" s="3169"/>
      <c r="J19" s="389">
        <f>SUMIF(80:80,I20,81:81)-SUMIF(80:80,C20,81:81)+100</f>
        <v>100</v>
      </c>
      <c r="K19" s="384"/>
      <c r="L19" s="2488"/>
      <c r="M19" s="2483"/>
      <c r="N19" s="2483"/>
      <c r="O19" s="2483"/>
      <c r="P19" s="3867"/>
      <c r="Q19" s="1262" t="str">
        <f>B19</f>
        <v>公共配套设施</v>
      </c>
      <c r="R19" s="667" t="s">
        <v>18</v>
      </c>
      <c r="S19" s="668">
        <f>F19</f>
        <v>100</v>
      </c>
      <c r="T19" s="667" t="s">
        <v>18</v>
      </c>
      <c r="U19" s="668">
        <f>H19</f>
        <v>100</v>
      </c>
      <c r="V19" s="667" t="s">
        <v>18</v>
      </c>
      <c r="W19" s="668">
        <f>J19</f>
        <v>100</v>
      </c>
      <c r="X19" s="1264"/>
      <c r="Y19" s="3860"/>
      <c r="Z19" s="1263" t="str">
        <f>Q19</f>
        <v>公共配套设施</v>
      </c>
      <c r="AA19" s="1263">
        <f t="shared" si="3"/>
        <v>1</v>
      </c>
      <c r="AB19" s="1263">
        <f t="shared" si="4"/>
        <v>1</v>
      </c>
      <c r="AC19" s="1263">
        <f t="shared" si="5"/>
        <v>1</v>
      </c>
    </row>
    <row r="20" spans="1:29" ht="15">
      <c r="A20" s="367"/>
      <c r="B20" s="395"/>
      <c r="C20" s="386" t="s">
        <v>3395</v>
      </c>
      <c r="D20" s="387"/>
      <c r="E20" s="3167" t="s">
        <v>3394</v>
      </c>
      <c r="F20" s="387"/>
      <c r="G20" s="386" t="s">
        <v>3394</v>
      </c>
      <c r="H20" s="387"/>
      <c r="I20" s="386" t="s">
        <v>3394</v>
      </c>
      <c r="J20" s="387"/>
      <c r="K20" s="1751"/>
      <c r="L20" s="2488"/>
      <c r="M20" s="2483"/>
      <c r="N20" s="2483"/>
      <c r="O20" s="2483"/>
      <c r="P20" s="3867"/>
      <c r="Q20" s="1262"/>
      <c r="R20" s="667"/>
      <c r="S20" s="668"/>
      <c r="T20" s="667"/>
      <c r="U20" s="668"/>
      <c r="V20" s="667"/>
      <c r="W20" s="668"/>
      <c r="X20" s="1264"/>
      <c r="Y20" s="3860"/>
      <c r="Z20" s="1263"/>
      <c r="AA20" s="1263">
        <v>1</v>
      </c>
      <c r="AB20" s="1263">
        <v>1</v>
      </c>
      <c r="AC20" s="1263">
        <v>1</v>
      </c>
    </row>
    <row r="21" spans="1:29" ht="28.5">
      <c r="A21" s="367"/>
      <c r="B21" s="586" t="s">
        <v>1260</v>
      </c>
      <c r="C21" s="1752" t="str">
        <f>估价对象房地状况!C8</f>
        <v>估价对象所在区域基础设施水平</v>
      </c>
      <c r="D21" s="389">
        <v>100</v>
      </c>
      <c r="E21" s="3158"/>
      <c r="F21" s="394">
        <f>SUMIF(82:82,E22,83:83)-SUMIF(82:82,C22,83:83)+100</f>
        <v>100</v>
      </c>
      <c r="G21" s="396"/>
      <c r="H21" s="389">
        <f>SUMIF(82:82,G22,83:83)-SUMIF(82:82,C22,83:83)+100</f>
        <v>100</v>
      </c>
      <c r="I21" s="396"/>
      <c r="J21" s="389">
        <f>SUMIF(82:82,I22,83:83)-SUMIF(82:82,C22,83:83)+100</f>
        <v>100</v>
      </c>
      <c r="K21" s="384"/>
      <c r="L21" s="2488"/>
      <c r="M21" s="2483"/>
      <c r="N21" s="2483"/>
      <c r="O21" s="2483"/>
      <c r="P21" s="3867"/>
      <c r="Q21" s="1262" t="str">
        <f>B21</f>
        <v>基础设施水平</v>
      </c>
      <c r="R21" s="667" t="s">
        <v>14</v>
      </c>
      <c r="S21" s="668">
        <f>F21</f>
        <v>100</v>
      </c>
      <c r="T21" s="667" t="s">
        <v>14</v>
      </c>
      <c r="U21" s="668">
        <f>H21</f>
        <v>100</v>
      </c>
      <c r="V21" s="667" t="s">
        <v>14</v>
      </c>
      <c r="W21" s="668">
        <f>J21</f>
        <v>100</v>
      </c>
      <c r="X21" s="1264"/>
      <c r="Y21" s="3860"/>
      <c r="Z21" s="1263" t="str">
        <f>Q21</f>
        <v>基础设施水平</v>
      </c>
      <c r="AA21" s="1263">
        <f t="shared" ref="AA21" si="8">D21/F21</f>
        <v>1</v>
      </c>
      <c r="AB21" s="1263">
        <f t="shared" ref="AB21" si="9">D21/H21</f>
        <v>1</v>
      </c>
      <c r="AC21" s="1263">
        <f t="shared" ref="AC21" si="10">D21/J21</f>
        <v>1</v>
      </c>
    </row>
    <row r="22" spans="1:29" ht="15">
      <c r="A22" s="367"/>
      <c r="B22" s="586"/>
      <c r="C22" s="1753" t="s">
        <v>3400</v>
      </c>
      <c r="D22" s="387"/>
      <c r="E22" s="3168" t="s">
        <v>3400</v>
      </c>
      <c r="F22" s="387"/>
      <c r="G22" s="1753" t="s">
        <v>3400</v>
      </c>
      <c r="H22" s="387"/>
      <c r="I22" s="1753" t="s">
        <v>3400</v>
      </c>
      <c r="J22" s="387"/>
      <c r="K22" s="1757"/>
      <c r="L22" s="2488"/>
      <c r="M22" s="2483"/>
      <c r="N22" s="2483"/>
      <c r="O22" s="2483"/>
      <c r="P22" s="3867"/>
      <c r="Q22" s="1262"/>
      <c r="R22" s="667"/>
      <c r="S22" s="668"/>
      <c r="T22" s="667"/>
      <c r="U22" s="668"/>
      <c r="V22" s="667"/>
      <c r="W22" s="668"/>
      <c r="X22" s="1264"/>
      <c r="Y22" s="3860"/>
      <c r="Z22" s="1263"/>
      <c r="AA22" s="1263">
        <v>1</v>
      </c>
      <c r="AB22" s="1263">
        <v>1</v>
      </c>
      <c r="AC22" s="1263">
        <v>1</v>
      </c>
    </row>
    <row r="23" spans="1:29" ht="71.25">
      <c r="A23" s="367"/>
      <c r="B23" s="390" t="s">
        <v>1261</v>
      </c>
      <c r="C23" s="1752" t="str">
        <f>估价对象房地状况!C9</f>
        <v>人文环境：首都师范大学等人文场所；
综合评价环境状况一般。</v>
      </c>
      <c r="D23" s="389">
        <v>100</v>
      </c>
      <c r="E23" s="3160"/>
      <c r="F23" s="389">
        <f>SUMIF(84:84,E24,85:85)-SUMIF(84:84,C24,85:85)+100</f>
        <v>100</v>
      </c>
      <c r="G23" s="3170"/>
      <c r="H23" s="389">
        <f>SUMIF(84:84,G24,85:85)-SUMIF(84:84,C24,85:85)+100</f>
        <v>100</v>
      </c>
      <c r="I23" s="3170"/>
      <c r="J23" s="389">
        <f>SUMIF(84:84,I24,85:85)-SUMIF(84:84,C24,85:85)+100</f>
        <v>100</v>
      </c>
      <c r="K23" s="384"/>
      <c r="L23" s="2488"/>
      <c r="M23" s="2483"/>
      <c r="N23" s="2483"/>
      <c r="O23" s="2483"/>
      <c r="P23" s="3867"/>
      <c r="Q23" s="1262" t="str">
        <f>B23</f>
        <v>自然及人文环境</v>
      </c>
      <c r="R23" s="667" t="s">
        <v>18</v>
      </c>
      <c r="S23" s="668">
        <f>F23</f>
        <v>100</v>
      </c>
      <c r="T23" s="667" t="s">
        <v>18</v>
      </c>
      <c r="U23" s="668">
        <f>H23</f>
        <v>100</v>
      </c>
      <c r="V23" s="667" t="s">
        <v>18</v>
      </c>
      <c r="W23" s="668">
        <f>J23</f>
        <v>100</v>
      </c>
      <c r="X23" s="1264"/>
      <c r="Y23" s="3860"/>
      <c r="Z23" s="1263" t="str">
        <f>Q23</f>
        <v>自然及人文环境</v>
      </c>
      <c r="AA23" s="1263">
        <f>D23/F23</f>
        <v>1</v>
      </c>
      <c r="AB23" s="1263">
        <f>D23/H23</f>
        <v>1</v>
      </c>
      <c r="AC23" s="1263">
        <f>D23/J23</f>
        <v>1</v>
      </c>
    </row>
    <row r="24" spans="1:29" ht="15">
      <c r="A24" s="367"/>
      <c r="B24" s="395"/>
      <c r="C24" s="386" t="s">
        <v>3395</v>
      </c>
      <c r="D24" s="387"/>
      <c r="E24" s="386" t="s">
        <v>3395</v>
      </c>
      <c r="F24" s="387"/>
      <c r="G24" s="386" t="s">
        <v>3395</v>
      </c>
      <c r="H24" s="387"/>
      <c r="I24" s="386" t="s">
        <v>3395</v>
      </c>
      <c r="J24" s="387"/>
      <c r="K24" s="1751"/>
      <c r="L24" s="2488"/>
      <c r="M24" s="2483"/>
      <c r="N24" s="2483"/>
      <c r="O24" s="2483"/>
      <c r="P24" s="3867"/>
      <c r="Q24" s="1262"/>
      <c r="R24" s="667"/>
      <c r="S24" s="668"/>
      <c r="T24" s="667"/>
      <c r="U24" s="668"/>
      <c r="V24" s="667"/>
      <c r="W24" s="668"/>
      <c r="X24" s="1264"/>
      <c r="Y24" s="3860"/>
      <c r="Z24" s="1263"/>
      <c r="AA24" s="1263">
        <v>1</v>
      </c>
      <c r="AB24" s="1263">
        <v>1</v>
      </c>
      <c r="AC24" s="1263">
        <v>1</v>
      </c>
    </row>
    <row r="25" spans="1:29" ht="15" hidden="1">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8"/>
      <c r="M25" s="2483"/>
      <c r="N25" s="2483"/>
      <c r="O25" s="2483"/>
      <c r="P25" s="3867"/>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860"/>
      <c r="Z25" s="1263" t="str">
        <f>Q25</f>
        <v>楼层-1</v>
      </c>
      <c r="AA25" s="1263">
        <f t="shared" ref="AA25:AA46" si="15">D25/F25</f>
        <v>1</v>
      </c>
      <c r="AB25" s="1263">
        <f t="shared" ref="AB25:AB46" si="16">D25/H25</f>
        <v>1</v>
      </c>
      <c r="AC25" s="1263">
        <f t="shared" ref="AC25:AC46" si="17">D25/J25</f>
        <v>1</v>
      </c>
    </row>
    <row r="26" spans="1:29" ht="15">
      <c r="A26" s="367"/>
      <c r="B26" s="364" t="s">
        <v>1693</v>
      </c>
      <c r="C26" s="399" t="s">
        <v>3411</v>
      </c>
      <c r="D26" s="374">
        <v>100</v>
      </c>
      <c r="E26" s="1758" t="s">
        <v>4015</v>
      </c>
      <c r="F26" s="374">
        <f>SUMIF(88:88,E26,89:89)-SUMIF(88:88,C26,89:89)+100</f>
        <v>96</v>
      </c>
      <c r="G26" s="1759" t="s">
        <v>4016</v>
      </c>
      <c r="H26" s="374">
        <f>SUMIF(88:88,G26,89:89)-SUMIF(88:88,C26,89:89)+100</f>
        <v>99</v>
      </c>
      <c r="I26" s="1759" t="s">
        <v>4016</v>
      </c>
      <c r="J26" s="374">
        <f>SUMIF(88:88,I26,89:89)-SUMIF(88:88,C26,89:89)+100</f>
        <v>99</v>
      </c>
      <c r="K26" s="365">
        <v>0.5</v>
      </c>
      <c r="L26" s="2488"/>
      <c r="M26" s="2483"/>
      <c r="N26" s="2483"/>
      <c r="O26" s="2483"/>
      <c r="P26" s="3867"/>
      <c r="Q26" s="1262" t="str">
        <f t="shared" si="11"/>
        <v>朝向</v>
      </c>
      <c r="R26" s="667" t="s">
        <v>18</v>
      </c>
      <c r="S26" s="668">
        <f t="shared" si="12"/>
        <v>96</v>
      </c>
      <c r="T26" s="667" t="s">
        <v>18</v>
      </c>
      <c r="U26" s="668">
        <f t="shared" si="13"/>
        <v>99</v>
      </c>
      <c r="V26" s="667" t="s">
        <v>18</v>
      </c>
      <c r="W26" s="668">
        <f t="shared" si="14"/>
        <v>99</v>
      </c>
      <c r="X26" s="1264"/>
      <c r="Y26" s="3860"/>
      <c r="Z26" s="1263" t="str">
        <f>Q26</f>
        <v>朝向</v>
      </c>
      <c r="AA26" s="1263">
        <f t="shared" si="15"/>
        <v>1.0416666666666667</v>
      </c>
      <c r="AB26" s="1263">
        <f t="shared" si="16"/>
        <v>1.0101010101010102</v>
      </c>
      <c r="AC26" s="1263">
        <f t="shared" si="17"/>
        <v>1.0101010101010102</v>
      </c>
    </row>
    <row r="27" spans="1:29" s="102" customFormat="1" ht="15">
      <c r="A27" s="370"/>
      <c r="B27" s="3142" t="s">
        <v>3381</v>
      </c>
      <c r="C27" s="3143" t="s">
        <v>3787</v>
      </c>
      <c r="D27" s="401">
        <v>100</v>
      </c>
      <c r="E27" s="3143" t="s">
        <v>4014</v>
      </c>
      <c r="F27" s="401">
        <f>SUMIF(90:90,E27,91:91)-SUMIF(90:90,C27,91:91)+100</f>
        <v>100.5</v>
      </c>
      <c r="G27" s="3144" t="s">
        <v>4013</v>
      </c>
      <c r="H27" s="401">
        <f>SUMIF(90:90,G27,91:91)-SUMIF(90:90,C27,91:91)+100</f>
        <v>100</v>
      </c>
      <c r="I27" s="3143" t="s">
        <v>4012</v>
      </c>
      <c r="J27" s="401">
        <f>SUMIF(90:90,I27,91:91)-SUMIF(90:90,C27,91:91)+100</f>
        <v>101.5</v>
      </c>
      <c r="K27" s="1746"/>
      <c r="L27" s="2484"/>
      <c r="M27" s="2435"/>
      <c r="N27" s="2435"/>
      <c r="O27" s="2435"/>
      <c r="P27" s="3867"/>
      <c r="Q27" s="530" t="str">
        <f t="shared" si="11"/>
        <v>楼层</v>
      </c>
      <c r="R27" s="664" t="s">
        <v>18</v>
      </c>
      <c r="S27" s="665">
        <f t="shared" si="12"/>
        <v>100.5</v>
      </c>
      <c r="T27" s="664" t="s">
        <v>18</v>
      </c>
      <c r="U27" s="665">
        <f t="shared" si="13"/>
        <v>100</v>
      </c>
      <c r="V27" s="664" t="s">
        <v>18</v>
      </c>
      <c r="W27" s="665">
        <f t="shared" si="14"/>
        <v>101.5</v>
      </c>
      <c r="X27" s="666"/>
      <c r="Y27" s="3860"/>
      <c r="Z27" s="50" t="str">
        <f>Q27</f>
        <v>楼层</v>
      </c>
      <c r="AA27" s="1263">
        <f t="shared" si="15"/>
        <v>0.99502487562189057</v>
      </c>
      <c r="AB27" s="1263">
        <f t="shared" si="16"/>
        <v>1</v>
      </c>
      <c r="AC27" s="1263">
        <f t="shared" si="17"/>
        <v>0.98522167487684731</v>
      </c>
    </row>
    <row r="28" spans="1:29" ht="15" hidden="1">
      <c r="A28" s="367"/>
      <c r="B28" s="3142" t="s">
        <v>3427</v>
      </c>
      <c r="C28" s="3146" t="s">
        <v>3431</v>
      </c>
      <c r="D28" s="374">
        <v>100</v>
      </c>
      <c r="E28" s="3146" t="s">
        <v>3431</v>
      </c>
      <c r="F28" s="374">
        <f>SUMIF(92:92,E28,93:93)-SUMIF(92:92,C28,93:93)+100</f>
        <v>100</v>
      </c>
      <c r="G28" s="3146" t="s">
        <v>3431</v>
      </c>
      <c r="H28" s="374">
        <f>SUMIF(92:92,G28,93:93)-SUMIF(92:92,C28,93:93)+100</f>
        <v>100</v>
      </c>
      <c r="I28" s="3146" t="s">
        <v>3431</v>
      </c>
      <c r="J28" s="374">
        <f>SUMIF(92:92,I28,93:93)-SUMIF(92:92,C28,93:93)+100</f>
        <v>100</v>
      </c>
      <c r="K28" s="1746"/>
      <c r="L28" s="2488"/>
      <c r="M28" s="2483"/>
      <c r="N28" s="2483"/>
      <c r="O28" s="2483"/>
      <c r="P28" s="3867"/>
      <c r="Q28" s="1262" t="str">
        <f t="shared" si="11"/>
        <v>道路级别</v>
      </c>
      <c r="R28" s="667" t="s">
        <v>18</v>
      </c>
      <c r="S28" s="668">
        <f t="shared" si="12"/>
        <v>100</v>
      </c>
      <c r="T28" s="667" t="s">
        <v>18</v>
      </c>
      <c r="U28" s="668">
        <f t="shared" si="13"/>
        <v>100</v>
      </c>
      <c r="V28" s="667" t="s">
        <v>18</v>
      </c>
      <c r="W28" s="668">
        <f t="shared" si="14"/>
        <v>100</v>
      </c>
      <c r="X28" s="1264"/>
      <c r="Y28" s="3860"/>
      <c r="Z28" s="1263" t="str">
        <f t="shared" ref="Z28:Z46" si="18">Q28</f>
        <v>道路级别</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88"/>
      <c r="M29" s="2483"/>
      <c r="N29" s="2483"/>
      <c r="O29" s="2483"/>
      <c r="P29" s="3867"/>
      <c r="Q29" s="1262">
        <f t="shared" si="11"/>
        <v>111</v>
      </c>
      <c r="R29" s="667" t="s">
        <v>18</v>
      </c>
      <c r="S29" s="668">
        <f t="shared" si="12"/>
        <v>100</v>
      </c>
      <c r="T29" s="667" t="s">
        <v>18</v>
      </c>
      <c r="U29" s="668">
        <f t="shared" si="13"/>
        <v>100</v>
      </c>
      <c r="V29" s="667" t="s">
        <v>18</v>
      </c>
      <c r="W29" s="668">
        <f t="shared" si="14"/>
        <v>100</v>
      </c>
      <c r="X29" s="1264"/>
      <c r="Y29" s="3860"/>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88"/>
      <c r="M30" s="2483"/>
      <c r="N30" s="2483"/>
      <c r="O30" s="2483"/>
      <c r="P30" s="3867"/>
      <c r="Q30" s="1262">
        <f t="shared" si="11"/>
        <v>111</v>
      </c>
      <c r="R30" s="667" t="s">
        <v>18</v>
      </c>
      <c r="S30" s="668">
        <f t="shared" si="12"/>
        <v>100</v>
      </c>
      <c r="T30" s="667" t="s">
        <v>18</v>
      </c>
      <c r="U30" s="668">
        <f t="shared" si="13"/>
        <v>100</v>
      </c>
      <c r="V30" s="667" t="s">
        <v>18</v>
      </c>
      <c r="W30" s="668">
        <f t="shared" si="14"/>
        <v>100</v>
      </c>
      <c r="X30" s="1264"/>
      <c r="Y30" s="3860"/>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88"/>
      <c r="M31" s="2483"/>
      <c r="N31" s="2483"/>
      <c r="O31" s="2483"/>
      <c r="P31" s="3867"/>
      <c r="Q31" s="1262">
        <f t="shared" si="11"/>
        <v>111</v>
      </c>
      <c r="R31" s="667" t="s">
        <v>18</v>
      </c>
      <c r="S31" s="668">
        <f t="shared" si="12"/>
        <v>100</v>
      </c>
      <c r="T31" s="667" t="s">
        <v>18</v>
      </c>
      <c r="U31" s="668">
        <f t="shared" si="13"/>
        <v>100</v>
      </c>
      <c r="V31" s="667" t="s">
        <v>18</v>
      </c>
      <c r="W31" s="668">
        <f t="shared" si="14"/>
        <v>100</v>
      </c>
      <c r="X31" s="1264"/>
      <c r="Y31" s="3860"/>
      <c r="Z31" s="1263">
        <f t="shared" si="18"/>
        <v>111</v>
      </c>
      <c r="AA31" s="1263">
        <f t="shared" si="15"/>
        <v>1</v>
      </c>
      <c r="AB31" s="1263">
        <f t="shared" si="16"/>
        <v>1</v>
      </c>
      <c r="AC31" s="1263">
        <f t="shared" si="17"/>
        <v>1</v>
      </c>
    </row>
    <row r="32" spans="1:29" ht="15">
      <c r="A32" s="379" t="s">
        <v>1694</v>
      </c>
      <c r="B32" s="3177" t="s">
        <v>1695</v>
      </c>
      <c r="C32" s="3179" t="s">
        <v>3442</v>
      </c>
      <c r="D32" s="405">
        <v>100</v>
      </c>
      <c r="E32" s="3179" t="s">
        <v>4017</v>
      </c>
      <c r="F32" s="400">
        <f>SUMIF(100:100,E32,101:101)-SUMIF(100:100,C32,101:101)+100</f>
        <v>99</v>
      </c>
      <c r="G32" s="1762" t="s">
        <v>4017</v>
      </c>
      <c r="H32" s="405">
        <f>SUMIF(100:100,G32,101:101)-SUMIF(100:100,C32,101:101)+100</f>
        <v>99</v>
      </c>
      <c r="I32" s="1762" t="s">
        <v>4017</v>
      </c>
      <c r="J32" s="374">
        <f>SUMIF(100:100,I32,101:101)-SUMIF(100:100,C32,101:101)+100</f>
        <v>99</v>
      </c>
      <c r="K32" s="365">
        <v>0.5</v>
      </c>
      <c r="L32" s="2488"/>
      <c r="M32" s="2483"/>
      <c r="N32" s="2483"/>
      <c r="O32" s="2483"/>
      <c r="P32" s="3861" t="s">
        <v>1696</v>
      </c>
      <c r="Q32" s="1262" t="str">
        <f t="shared" si="11"/>
        <v>建筑类型</v>
      </c>
      <c r="R32" s="667" t="s">
        <v>18</v>
      </c>
      <c r="S32" s="668">
        <f t="shared" si="12"/>
        <v>99</v>
      </c>
      <c r="T32" s="667" t="s">
        <v>18</v>
      </c>
      <c r="U32" s="668">
        <f t="shared" si="13"/>
        <v>99</v>
      </c>
      <c r="V32" s="667" t="s">
        <v>18</v>
      </c>
      <c r="W32" s="668">
        <f t="shared" si="14"/>
        <v>99</v>
      </c>
      <c r="X32" s="1264"/>
      <c r="Y32" s="3864" t="s">
        <v>1696</v>
      </c>
      <c r="Z32" s="1263" t="str">
        <f t="shared" si="18"/>
        <v>建筑类型</v>
      </c>
      <c r="AA32" s="1263">
        <f t="shared" si="15"/>
        <v>1.0101010101010102</v>
      </c>
      <c r="AB32" s="1263">
        <f t="shared" si="16"/>
        <v>1.0101010101010102</v>
      </c>
      <c r="AC32" s="1263">
        <f t="shared" si="17"/>
        <v>1.0101010101010102</v>
      </c>
    </row>
    <row r="33" spans="1:29" s="408" customFormat="1" ht="15">
      <c r="A33" s="406"/>
      <c r="B33" s="3176" t="s">
        <v>1697</v>
      </c>
      <c r="C33" s="3129">
        <v>204.54</v>
      </c>
      <c r="D33" s="119">
        <v>100</v>
      </c>
      <c r="E33" s="3129">
        <f>案例!L2</f>
        <v>102</v>
      </c>
      <c r="F33" s="3610">
        <f>D104</f>
        <v>110</v>
      </c>
      <c r="G33" s="3129">
        <f>案例!L3</f>
        <v>53.6</v>
      </c>
      <c r="H33" s="119">
        <f>C104</f>
        <v>115</v>
      </c>
      <c r="I33" s="3129">
        <f>案例!L5</f>
        <v>53.6</v>
      </c>
      <c r="J33" s="3609">
        <f>H33</f>
        <v>115</v>
      </c>
      <c r="K33" s="1746"/>
      <c r="L33" s="2487"/>
      <c r="M33" s="2489"/>
      <c r="N33" s="2489"/>
      <c r="O33" s="2489"/>
      <c r="P33" s="3862"/>
      <c r="Q33" s="531" t="str">
        <f t="shared" si="11"/>
        <v>项目建筑规模</v>
      </c>
      <c r="R33" s="669" t="s">
        <v>18</v>
      </c>
      <c r="S33" s="670">
        <f t="shared" si="12"/>
        <v>110</v>
      </c>
      <c r="T33" s="669" t="s">
        <v>18</v>
      </c>
      <c r="U33" s="670">
        <f t="shared" si="13"/>
        <v>115</v>
      </c>
      <c r="V33" s="669" t="s">
        <v>18</v>
      </c>
      <c r="W33" s="670">
        <f t="shared" si="14"/>
        <v>115</v>
      </c>
      <c r="X33" s="671"/>
      <c r="Y33" s="3864"/>
      <c r="Z33" s="672" t="str">
        <f t="shared" si="18"/>
        <v>项目建筑规模</v>
      </c>
      <c r="AA33" s="1263">
        <f t="shared" si="15"/>
        <v>0.90909090909090906</v>
      </c>
      <c r="AB33" s="1263">
        <f t="shared" si="16"/>
        <v>0.86956521739130432</v>
      </c>
      <c r="AC33" s="1263">
        <f t="shared" si="17"/>
        <v>0.86956521739130432</v>
      </c>
    </row>
    <row r="34" spans="1:29" ht="15">
      <c r="A34" s="409"/>
      <c r="B34" s="364" t="s">
        <v>1698</v>
      </c>
      <c r="C34" s="399" t="s">
        <v>3384</v>
      </c>
      <c r="D34" s="374">
        <v>100</v>
      </c>
      <c r="E34" s="399" t="s">
        <v>3384</v>
      </c>
      <c r="F34" s="400">
        <f>SUMIF(105:105,E34,106:106)-SUMIF(105:105,C34,106:106)+100</f>
        <v>100</v>
      </c>
      <c r="G34" s="399" t="s">
        <v>3384</v>
      </c>
      <c r="H34" s="374">
        <f>SUMIF(105:105,G34,106:106)-SUMIF(105:105,C34,106:106)+100</f>
        <v>100</v>
      </c>
      <c r="I34" s="399" t="s">
        <v>3384</v>
      </c>
      <c r="J34" s="374">
        <f>SUMIF(105:105,I34,106:106)-SUMIF(105:105,C34,106:106)+100</f>
        <v>100</v>
      </c>
      <c r="K34" s="365">
        <v>0.5</v>
      </c>
      <c r="L34" s="2488"/>
      <c r="M34" s="2483"/>
      <c r="N34" s="2483"/>
      <c r="O34" s="2483"/>
      <c r="P34" s="3862"/>
      <c r="Q34" s="1262" t="str">
        <f t="shared" si="11"/>
        <v>建筑结构</v>
      </c>
      <c r="R34" s="667" t="s">
        <v>18</v>
      </c>
      <c r="S34" s="668">
        <f t="shared" si="12"/>
        <v>100</v>
      </c>
      <c r="T34" s="667" t="s">
        <v>18</v>
      </c>
      <c r="U34" s="668">
        <f t="shared" si="13"/>
        <v>100</v>
      </c>
      <c r="V34" s="667" t="s">
        <v>18</v>
      </c>
      <c r="W34" s="668">
        <f t="shared" si="14"/>
        <v>100</v>
      </c>
      <c r="X34" s="1264"/>
      <c r="Y34" s="3864"/>
      <c r="Z34" s="1263" t="str">
        <f t="shared" si="18"/>
        <v>建筑结构</v>
      </c>
      <c r="AA34" s="1263">
        <f t="shared" si="15"/>
        <v>1</v>
      </c>
      <c r="AB34" s="1263">
        <f t="shared" si="16"/>
        <v>1</v>
      </c>
      <c r="AC34" s="1263">
        <f t="shared" si="17"/>
        <v>1</v>
      </c>
    </row>
    <row r="35" spans="1:29" ht="15" hidden="1">
      <c r="A35" s="409"/>
      <c r="B35" s="3178" t="s">
        <v>3441</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365">
        <v>3</v>
      </c>
      <c r="L35" s="2488"/>
      <c r="M35" s="2483"/>
      <c r="N35" s="2483"/>
      <c r="O35" s="2483"/>
      <c r="P35" s="3862"/>
      <c r="Q35" s="1262" t="str">
        <f t="shared" si="11"/>
        <v>噪音污染</v>
      </c>
      <c r="R35" s="667" t="s">
        <v>18</v>
      </c>
      <c r="S35" s="668">
        <f t="shared" si="12"/>
        <v>100</v>
      </c>
      <c r="T35" s="667" t="s">
        <v>18</v>
      </c>
      <c r="U35" s="668">
        <f t="shared" si="13"/>
        <v>100</v>
      </c>
      <c r="V35" s="667" t="s">
        <v>18</v>
      </c>
      <c r="W35" s="668">
        <f t="shared" si="14"/>
        <v>100</v>
      </c>
      <c r="X35" s="1264"/>
      <c r="Y35" s="3864"/>
      <c r="Z35" s="1263" t="str">
        <f t="shared" si="18"/>
        <v>噪音污染</v>
      </c>
      <c r="AA35" s="1263">
        <f t="shared" si="15"/>
        <v>1</v>
      </c>
      <c r="AB35" s="1263">
        <f t="shared" si="16"/>
        <v>1</v>
      </c>
      <c r="AC35" s="1263">
        <f t="shared" si="17"/>
        <v>1</v>
      </c>
    </row>
    <row r="36" spans="1:29" ht="15">
      <c r="A36" s="409"/>
      <c r="B36" s="364" t="s">
        <v>1699</v>
      </c>
      <c r="C36" s="1758" t="s">
        <v>3399</v>
      </c>
      <c r="D36" s="374">
        <v>100</v>
      </c>
      <c r="E36" s="1758" t="s">
        <v>3399</v>
      </c>
      <c r="F36" s="400">
        <f>SUMIF(109:109,E36,110:110)-SUMIF(109:109,C36,110:110)+100</f>
        <v>100</v>
      </c>
      <c r="G36" s="1758" t="s">
        <v>3399</v>
      </c>
      <c r="H36" s="374">
        <f>SUMIF(109:109,G36,110:110)-SUMIF(109:109,C36,110:110)+100</f>
        <v>100</v>
      </c>
      <c r="I36" s="1758" t="s">
        <v>3399</v>
      </c>
      <c r="J36" s="374">
        <f>SUMIF(109:109,I36,110:110)-SUMIF(109:109,C36,110:110)+100</f>
        <v>100</v>
      </c>
      <c r="K36" s="365"/>
      <c r="L36" s="2488"/>
      <c r="M36" s="2483"/>
      <c r="N36" s="2483"/>
      <c r="O36" s="2483"/>
      <c r="P36" s="3862"/>
      <c r="Q36" s="1262" t="str">
        <f t="shared" si="11"/>
        <v>公共部分装修</v>
      </c>
      <c r="R36" s="667" t="s">
        <v>18</v>
      </c>
      <c r="S36" s="668">
        <f t="shared" si="12"/>
        <v>100</v>
      </c>
      <c r="T36" s="667" t="s">
        <v>18</v>
      </c>
      <c r="U36" s="668">
        <f t="shared" si="13"/>
        <v>100</v>
      </c>
      <c r="V36" s="667" t="s">
        <v>18</v>
      </c>
      <c r="W36" s="668">
        <f t="shared" si="14"/>
        <v>100</v>
      </c>
      <c r="X36" s="1264"/>
      <c r="Y36" s="3864"/>
      <c r="Z36" s="1263" t="str">
        <f t="shared" si="18"/>
        <v>公共部分装修</v>
      </c>
      <c r="AA36" s="1263">
        <f t="shared" si="15"/>
        <v>1</v>
      </c>
      <c r="AB36" s="1263">
        <f t="shared" si="16"/>
        <v>1</v>
      </c>
      <c r="AC36" s="1263">
        <f t="shared" si="17"/>
        <v>1</v>
      </c>
    </row>
    <row r="37" spans="1:29" s="102" customFormat="1" ht="15">
      <c r="A37" s="410"/>
      <c r="B37" s="3607" t="s">
        <v>4018</v>
      </c>
      <c r="C37" s="3608">
        <v>2001</v>
      </c>
      <c r="D37" s="119">
        <v>100</v>
      </c>
      <c r="E37" s="3608">
        <f>案例!K18</f>
        <v>1998</v>
      </c>
      <c r="F37" s="364">
        <f>100-3*$K$37</f>
        <v>98.5</v>
      </c>
      <c r="G37" s="3608">
        <f>案例!K19</f>
        <v>1987</v>
      </c>
      <c r="H37" s="119">
        <f>100-14*$K$37</f>
        <v>93</v>
      </c>
      <c r="I37" s="3608">
        <f>案例!K21</f>
        <v>1987</v>
      </c>
      <c r="J37" s="119">
        <f>H37</f>
        <v>93</v>
      </c>
      <c r="K37" s="365">
        <v>0.5</v>
      </c>
      <c r="L37" s="2484"/>
      <c r="M37" s="2435"/>
      <c r="N37" s="2435"/>
      <c r="O37" s="2435"/>
      <c r="P37" s="3862"/>
      <c r="Q37" s="530" t="str">
        <f t="shared" si="11"/>
        <v>建成年代</v>
      </c>
      <c r="R37" s="664" t="s">
        <v>18</v>
      </c>
      <c r="S37" s="665">
        <f t="shared" si="12"/>
        <v>98.5</v>
      </c>
      <c r="T37" s="664" t="s">
        <v>18</v>
      </c>
      <c r="U37" s="665">
        <f t="shared" si="13"/>
        <v>93</v>
      </c>
      <c r="V37" s="664" t="s">
        <v>18</v>
      </c>
      <c r="W37" s="665">
        <f t="shared" si="14"/>
        <v>93</v>
      </c>
      <c r="X37" s="666"/>
      <c r="Y37" s="3864"/>
      <c r="Z37" s="50" t="str">
        <f t="shared" si="18"/>
        <v>建成年代</v>
      </c>
      <c r="AA37" s="50">
        <f t="shared" si="15"/>
        <v>1.015228426395939</v>
      </c>
      <c r="AB37" s="50">
        <f t="shared" si="16"/>
        <v>1.075268817204301</v>
      </c>
      <c r="AC37" s="50">
        <f t="shared" si="17"/>
        <v>1.075268817204301</v>
      </c>
    </row>
    <row r="38" spans="1:29" ht="15">
      <c r="A38" s="409"/>
      <c r="B38" s="364" t="s">
        <v>1700</v>
      </c>
      <c r="C38" s="1758" t="s">
        <v>3788</v>
      </c>
      <c r="D38" s="374">
        <v>100</v>
      </c>
      <c r="E38" s="1758" t="s">
        <v>3433</v>
      </c>
      <c r="F38" s="400">
        <f>SUMIF(114:114,E38,115:115)-SUMIF(114:114,C38,115:115)+100</f>
        <v>99</v>
      </c>
      <c r="G38" s="1758" t="s">
        <v>3788</v>
      </c>
      <c r="H38" s="374">
        <f>SUMIF(114:114,G38,115:115)-SUMIF(114:114,C38,115:115)+100</f>
        <v>100</v>
      </c>
      <c r="I38" s="1758" t="s">
        <v>3788</v>
      </c>
      <c r="J38" s="374">
        <f>SUMIF(114:114,I38,115:115)-SUMIF(114:114,C38,115:115)+100</f>
        <v>100</v>
      </c>
      <c r="K38" s="365">
        <v>1</v>
      </c>
      <c r="L38" s="2488"/>
      <c r="M38" s="2483"/>
      <c r="N38" s="2483"/>
      <c r="O38" s="2483"/>
      <c r="P38" s="3862" t="s">
        <v>1696</v>
      </c>
      <c r="Q38" s="1262" t="str">
        <f t="shared" si="11"/>
        <v>物业管理</v>
      </c>
      <c r="R38" s="667" t="s">
        <v>18</v>
      </c>
      <c r="S38" s="668">
        <f t="shared" si="12"/>
        <v>99</v>
      </c>
      <c r="T38" s="667" t="s">
        <v>18</v>
      </c>
      <c r="U38" s="668">
        <f t="shared" si="13"/>
        <v>100</v>
      </c>
      <c r="V38" s="667" t="s">
        <v>18</v>
      </c>
      <c r="W38" s="668">
        <f t="shared" si="14"/>
        <v>100</v>
      </c>
      <c r="X38" s="1264"/>
      <c r="Y38" s="3864" t="s">
        <v>1696</v>
      </c>
      <c r="Z38" s="1263" t="str">
        <f t="shared" si="18"/>
        <v>物业管理</v>
      </c>
      <c r="AA38" s="1263">
        <f t="shared" si="15"/>
        <v>1.0101010101010102</v>
      </c>
      <c r="AB38" s="1263">
        <f t="shared" si="16"/>
        <v>1</v>
      </c>
      <c r="AC38" s="1263">
        <f t="shared" si="17"/>
        <v>1</v>
      </c>
    </row>
    <row r="39" spans="1:29" ht="15">
      <c r="A39" s="409"/>
      <c r="B39" s="364" t="s">
        <v>1701</v>
      </c>
      <c r="C39" s="1758" t="s">
        <v>3400</v>
      </c>
      <c r="D39" s="374">
        <v>100</v>
      </c>
      <c r="E39" s="1758" t="s">
        <v>3400</v>
      </c>
      <c r="F39" s="400">
        <f>SUMIF(116:116,E39,117:117)-SUMIF(116:116,C39,117:117)+100</f>
        <v>100</v>
      </c>
      <c r="G39" s="1758" t="s">
        <v>3400</v>
      </c>
      <c r="H39" s="374">
        <f>SUMIF(116:116,G39,117:117)-SUMIF(116:116,C39,117:117)+100</f>
        <v>100</v>
      </c>
      <c r="I39" s="1758" t="s">
        <v>3400</v>
      </c>
      <c r="J39" s="374">
        <f>SUMIF(116:116,I39,117:117)-SUMIF(116:116,C39,117:117)+100</f>
        <v>100</v>
      </c>
      <c r="K39" s="365"/>
      <c r="L39" s="2488"/>
      <c r="M39" s="2483"/>
      <c r="N39" s="2483"/>
      <c r="O39" s="2483"/>
      <c r="P39" s="3862"/>
      <c r="Q39" s="1262" t="str">
        <f t="shared" si="11"/>
        <v>市政基础设施</v>
      </c>
      <c r="R39" s="667" t="s">
        <v>18</v>
      </c>
      <c r="S39" s="668">
        <f t="shared" si="12"/>
        <v>100</v>
      </c>
      <c r="T39" s="667" t="s">
        <v>18</v>
      </c>
      <c r="U39" s="668">
        <f t="shared" si="13"/>
        <v>100</v>
      </c>
      <c r="V39" s="667" t="s">
        <v>18</v>
      </c>
      <c r="W39" s="668">
        <f t="shared" si="14"/>
        <v>100</v>
      </c>
      <c r="X39" s="1264"/>
      <c r="Y39" s="3864"/>
      <c r="Z39" s="1263" t="str">
        <f t="shared" si="18"/>
        <v>市政基础设施</v>
      </c>
      <c r="AA39" s="1263">
        <f t="shared" si="15"/>
        <v>1</v>
      </c>
      <c r="AB39" s="1263">
        <f t="shared" si="16"/>
        <v>1</v>
      </c>
      <c r="AC39" s="1263">
        <f t="shared" si="17"/>
        <v>1</v>
      </c>
    </row>
    <row r="40" spans="1:29" ht="15" hidden="1">
      <c r="A40" s="409"/>
      <c r="B40" s="364" t="s">
        <v>1702</v>
      </c>
      <c r="C40" s="1758" t="s">
        <v>3406</v>
      </c>
      <c r="D40" s="374">
        <v>100</v>
      </c>
      <c r="E40" s="1758" t="s">
        <v>3406</v>
      </c>
      <c r="F40" s="400">
        <f>SUMIF(118:118,E40,119:119)-SUMIF(118:118,C40,119:119)+100</f>
        <v>100</v>
      </c>
      <c r="G40" s="1758" t="s">
        <v>3406</v>
      </c>
      <c r="H40" s="374">
        <f>SUMIF(118:118,G40,119:119)-SUMIF(118:118,C40,119:119)+100</f>
        <v>100</v>
      </c>
      <c r="I40" s="1758" t="s">
        <v>3406</v>
      </c>
      <c r="J40" s="374">
        <f>SUMIF(118:118,I40,119:119)-SUMIF(118:118,C40,119:119)+100</f>
        <v>100</v>
      </c>
      <c r="K40" s="365"/>
      <c r="L40" s="2488"/>
      <c r="M40" s="2483"/>
      <c r="N40" s="2483"/>
      <c r="O40" s="2483"/>
      <c r="P40" s="3862"/>
      <c r="Q40" s="1262" t="str">
        <f t="shared" si="11"/>
        <v>房型</v>
      </c>
      <c r="R40" s="667" t="s">
        <v>18</v>
      </c>
      <c r="S40" s="668">
        <f t="shared" si="12"/>
        <v>100</v>
      </c>
      <c r="T40" s="667" t="s">
        <v>18</v>
      </c>
      <c r="U40" s="668">
        <f t="shared" si="13"/>
        <v>100</v>
      </c>
      <c r="V40" s="667" t="s">
        <v>18</v>
      </c>
      <c r="W40" s="668">
        <f t="shared" si="14"/>
        <v>100</v>
      </c>
      <c r="X40" s="1264"/>
      <c r="Y40" s="3864"/>
      <c r="Z40" s="1263" t="str">
        <f t="shared" si="18"/>
        <v>房型</v>
      </c>
      <c r="AA40" s="1263">
        <f t="shared" si="15"/>
        <v>1</v>
      </c>
      <c r="AB40" s="1263">
        <f t="shared" si="16"/>
        <v>1</v>
      </c>
      <c r="AC40" s="1263">
        <f t="shared" si="17"/>
        <v>1</v>
      </c>
    </row>
    <row r="41" spans="1:29" s="408" customFormat="1" ht="28.5" hidden="1">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7"/>
      <c r="M41" s="2489"/>
      <c r="N41" s="2489"/>
      <c r="O41" s="2489"/>
      <c r="P41" s="3862"/>
      <c r="Q41" s="531" t="str">
        <f t="shared" si="11"/>
        <v>单套/主力户型建筑面积</v>
      </c>
      <c r="R41" s="669" t="s">
        <v>18</v>
      </c>
      <c r="S41" s="670">
        <f t="shared" si="12"/>
        <v>100</v>
      </c>
      <c r="T41" s="669" t="s">
        <v>18</v>
      </c>
      <c r="U41" s="670">
        <f t="shared" si="13"/>
        <v>100</v>
      </c>
      <c r="V41" s="669" t="s">
        <v>18</v>
      </c>
      <c r="W41" s="670">
        <f t="shared" si="14"/>
        <v>100</v>
      </c>
      <c r="X41" s="671"/>
      <c r="Y41" s="3864"/>
      <c r="Z41" s="672" t="str">
        <f t="shared" si="18"/>
        <v>单套/主力户型建筑面积</v>
      </c>
      <c r="AA41" s="1263">
        <f t="shared" si="15"/>
        <v>1</v>
      </c>
      <c r="AB41" s="1263">
        <f t="shared" si="16"/>
        <v>1</v>
      </c>
      <c r="AC41" s="1263">
        <f t="shared" si="17"/>
        <v>1</v>
      </c>
    </row>
    <row r="42" spans="1:29" ht="15">
      <c r="A42" s="409"/>
      <c r="B42" s="364" t="s">
        <v>1704</v>
      </c>
      <c r="C42" s="1758" t="s">
        <v>4019</v>
      </c>
      <c r="D42" s="374">
        <v>100</v>
      </c>
      <c r="E42" s="1758" t="s">
        <v>4019</v>
      </c>
      <c r="F42" s="400">
        <f>SUMIF(122:122,E42,123:123)-SUMIF(122:122,C42,123:123)+100</f>
        <v>100</v>
      </c>
      <c r="G42" s="1758" t="s">
        <v>4019</v>
      </c>
      <c r="H42" s="374">
        <f>SUMIF(122:122,G42,123:123)-SUMIF(122:122,C42,123:123)+100</f>
        <v>100</v>
      </c>
      <c r="I42" s="1758" t="s">
        <v>4019</v>
      </c>
      <c r="J42" s="374">
        <f>SUMIF(122:122,I42,123:123)-SUMIF(122:122,C42,123:123)+100</f>
        <v>100</v>
      </c>
      <c r="K42" s="365">
        <v>2</v>
      </c>
      <c r="L42" s="2488"/>
      <c r="M42" s="2483"/>
      <c r="N42" s="2483"/>
      <c r="O42" s="2483"/>
      <c r="P42" s="3862"/>
      <c r="Q42" s="1262" t="str">
        <f t="shared" si="11"/>
        <v>内部装修</v>
      </c>
      <c r="R42" s="667" t="s">
        <v>18</v>
      </c>
      <c r="S42" s="668">
        <f t="shared" si="12"/>
        <v>100</v>
      </c>
      <c r="T42" s="667" t="s">
        <v>18</v>
      </c>
      <c r="U42" s="668">
        <f t="shared" si="13"/>
        <v>100</v>
      </c>
      <c r="V42" s="667" t="s">
        <v>18</v>
      </c>
      <c r="W42" s="668">
        <f t="shared" si="14"/>
        <v>100</v>
      </c>
      <c r="X42" s="1264"/>
      <c r="Y42" s="3864"/>
      <c r="Z42" s="1263" t="str">
        <f t="shared" si="18"/>
        <v>内部装修</v>
      </c>
      <c r="AA42" s="1263">
        <f t="shared" si="15"/>
        <v>1</v>
      </c>
      <c r="AB42" s="1263">
        <f t="shared" si="16"/>
        <v>1</v>
      </c>
      <c r="AC42" s="1263">
        <f t="shared" si="17"/>
        <v>1</v>
      </c>
    </row>
    <row r="43" spans="1:29" ht="15">
      <c r="A43" s="409"/>
      <c r="B43" s="364" t="s">
        <v>1705</v>
      </c>
      <c r="C43" s="1758" t="s">
        <v>3394</v>
      </c>
      <c r="D43" s="374">
        <v>100</v>
      </c>
      <c r="E43" s="1758" t="s">
        <v>3394</v>
      </c>
      <c r="F43" s="400">
        <f>SUMIF(124:124,E43,125:125)-SUMIF(124:124,C43,125:125)+100</f>
        <v>100</v>
      </c>
      <c r="G43" s="1758" t="s">
        <v>3394</v>
      </c>
      <c r="H43" s="374">
        <f>SUMIF(124:124,G43,125:125)-SUMIF(124:124,C43,125:125)+100</f>
        <v>100</v>
      </c>
      <c r="I43" s="1758" t="s">
        <v>3394</v>
      </c>
      <c r="J43" s="374">
        <f>SUMIF(124:124,I43,125:125)-SUMIF(124:124,C43,125:125)+100</f>
        <v>100</v>
      </c>
      <c r="K43" s="365"/>
      <c r="L43" s="2488"/>
      <c r="M43" s="2483"/>
      <c r="N43" s="2483"/>
      <c r="O43" s="2483"/>
      <c r="P43" s="3862"/>
      <c r="Q43" s="1262" t="str">
        <f t="shared" si="11"/>
        <v>内部装修维护情况</v>
      </c>
      <c r="R43" s="667" t="s">
        <v>18</v>
      </c>
      <c r="S43" s="668">
        <f t="shared" si="12"/>
        <v>100</v>
      </c>
      <c r="T43" s="667" t="s">
        <v>18</v>
      </c>
      <c r="U43" s="668">
        <f t="shared" si="13"/>
        <v>100</v>
      </c>
      <c r="V43" s="667" t="s">
        <v>18</v>
      </c>
      <c r="W43" s="668">
        <f t="shared" si="14"/>
        <v>100</v>
      </c>
      <c r="X43" s="1264"/>
      <c r="Y43" s="3864"/>
      <c r="Z43" s="1263" t="str">
        <f t="shared" si="18"/>
        <v>内部装修维护情况</v>
      </c>
      <c r="AA43" s="1263">
        <f t="shared" si="15"/>
        <v>1</v>
      </c>
      <c r="AB43" s="1263">
        <f t="shared" si="16"/>
        <v>1</v>
      </c>
      <c r="AC43" s="1263">
        <f t="shared" si="17"/>
        <v>1</v>
      </c>
    </row>
    <row r="44" spans="1:29" s="102" customFormat="1" ht="15">
      <c r="A44" s="410"/>
      <c r="B44" s="1066">
        <v>111</v>
      </c>
      <c r="C44" s="3164"/>
      <c r="D44" s="119">
        <v>100</v>
      </c>
      <c r="E44" s="407"/>
      <c r="F44" s="364">
        <f>SUMIF(126:126,E44,127:127)-SUMIF(126:126,C44,127:127)+100</f>
        <v>100</v>
      </c>
      <c r="G44" s="3164"/>
      <c r="H44" s="119">
        <f>SUMIF(126:126,G44,127:127)-SUMIF(126:126,C44,127:127)+100</f>
        <v>100</v>
      </c>
      <c r="I44" s="407"/>
      <c r="J44" s="119">
        <f>SUMIF(126:126,I44,127:127)-SUMIF(126:126,C44,127:127)+100</f>
        <v>100</v>
      </c>
      <c r="K44" s="1746"/>
      <c r="L44" s="2484"/>
      <c r="M44" s="2435"/>
      <c r="N44" s="2435"/>
      <c r="O44" s="2435"/>
      <c r="P44" s="3862"/>
      <c r="Q44" s="530">
        <f t="shared" si="11"/>
        <v>111</v>
      </c>
      <c r="R44" s="664" t="s">
        <v>18</v>
      </c>
      <c r="S44" s="665">
        <f t="shared" si="12"/>
        <v>100</v>
      </c>
      <c r="T44" s="664" t="s">
        <v>18</v>
      </c>
      <c r="U44" s="665">
        <f t="shared" si="13"/>
        <v>100</v>
      </c>
      <c r="V44" s="664" t="s">
        <v>18</v>
      </c>
      <c r="W44" s="665">
        <f t="shared" si="14"/>
        <v>100</v>
      </c>
      <c r="X44" s="666"/>
      <c r="Y44" s="386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8"/>
      <c r="M45" s="2483"/>
      <c r="N45" s="2483"/>
      <c r="O45" s="2483"/>
      <c r="P45" s="3862"/>
      <c r="Q45" s="1262">
        <f t="shared" si="11"/>
        <v>111</v>
      </c>
      <c r="R45" s="667" t="s">
        <v>18</v>
      </c>
      <c r="S45" s="668">
        <f t="shared" si="12"/>
        <v>100</v>
      </c>
      <c r="T45" s="667" t="s">
        <v>18</v>
      </c>
      <c r="U45" s="668">
        <f t="shared" si="13"/>
        <v>100</v>
      </c>
      <c r="V45" s="667" t="s">
        <v>18</v>
      </c>
      <c r="W45" s="668">
        <f t="shared" si="14"/>
        <v>100</v>
      </c>
      <c r="X45" s="1264"/>
      <c r="Y45" s="3864"/>
      <c r="Z45" s="1263">
        <f t="shared" si="18"/>
        <v>111</v>
      </c>
      <c r="AA45" s="1263">
        <f t="shared" si="15"/>
        <v>1</v>
      </c>
      <c r="AB45" s="1263">
        <f t="shared" si="16"/>
        <v>1</v>
      </c>
      <c r="AC45" s="1263">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8"/>
      <c r="M46" s="2483"/>
      <c r="N46" s="2483"/>
      <c r="O46" s="2483"/>
      <c r="P46" s="3863"/>
      <c r="Q46" s="1262">
        <f t="shared" si="11"/>
        <v>111</v>
      </c>
      <c r="R46" s="667" t="s">
        <v>17</v>
      </c>
      <c r="S46" s="668">
        <f t="shared" si="12"/>
        <v>100</v>
      </c>
      <c r="T46" s="667" t="s">
        <v>17</v>
      </c>
      <c r="U46" s="668">
        <f t="shared" si="13"/>
        <v>100</v>
      </c>
      <c r="V46" s="667" t="s">
        <v>17</v>
      </c>
      <c r="W46" s="668">
        <f t="shared" si="14"/>
        <v>100</v>
      </c>
      <c r="X46" s="1264"/>
      <c r="Y46" s="3865"/>
      <c r="Z46" s="1263">
        <f t="shared" si="18"/>
        <v>111</v>
      </c>
      <c r="AA46" s="1263">
        <f t="shared" si="15"/>
        <v>1</v>
      </c>
      <c r="AB46" s="1263">
        <f t="shared" si="16"/>
        <v>1</v>
      </c>
      <c r="AC46" s="1263">
        <f t="shared" si="17"/>
        <v>1</v>
      </c>
    </row>
    <row r="47" spans="1:29" ht="15">
      <c r="A47" s="416" t="s">
        <v>1706</v>
      </c>
      <c r="B47" s="417"/>
      <c r="C47" s="1081" t="s">
        <v>16</v>
      </c>
      <c r="D47" s="418"/>
      <c r="E47" s="419">
        <f>案例!R2</f>
        <v>7353</v>
      </c>
      <c r="F47" s="420"/>
      <c r="G47" s="421">
        <f>案例!R3</f>
        <v>8022</v>
      </c>
      <c r="H47" s="422"/>
      <c r="I47" s="419">
        <f>案例!R5</f>
        <v>7090</v>
      </c>
      <c r="J47" s="422"/>
      <c r="K47" s="1763"/>
      <c r="L47" s="2490"/>
      <c r="M47" s="2483"/>
      <c r="N47" s="2483"/>
      <c r="O47" s="2483"/>
      <c r="P47" s="3858" t="str">
        <f>A47</f>
        <v>成交单价（元/平方米）</v>
      </c>
      <c r="Q47" s="3858"/>
      <c r="R47" s="3853">
        <f>E47</f>
        <v>7353</v>
      </c>
      <c r="S47" s="3853"/>
      <c r="T47" s="3853">
        <f>G47</f>
        <v>8022</v>
      </c>
      <c r="U47" s="3853"/>
      <c r="V47" s="3853">
        <f>I47</f>
        <v>7090</v>
      </c>
      <c r="W47" s="3853"/>
      <c r="X47" s="385"/>
      <c r="Y47" s="673"/>
      <c r="Z47" s="385"/>
      <c r="AA47" s="385"/>
      <c r="AB47" s="385"/>
      <c r="AC47" s="385"/>
    </row>
    <row r="48" spans="1:29" ht="15.75" thickBot="1">
      <c r="A48" s="423" t="s">
        <v>1707</v>
      </c>
      <c r="B48" s="424"/>
      <c r="C48" s="1082">
        <f>R49</f>
        <v>7221</v>
      </c>
      <c r="D48" s="2137" t="s">
        <v>2135</v>
      </c>
      <c r="E48" s="1083">
        <f>R48</f>
        <v>7177</v>
      </c>
      <c r="F48" s="2138"/>
      <c r="G48" s="1082">
        <f>T48</f>
        <v>7699</v>
      </c>
      <c r="H48" s="2138"/>
      <c r="I48" s="1083">
        <f>V48</f>
        <v>6786</v>
      </c>
      <c r="J48" s="2138"/>
      <c r="K48" s="2139">
        <f>F48+H48+J48</f>
        <v>0</v>
      </c>
      <c r="L48" s="2490"/>
      <c r="M48" s="2483"/>
      <c r="N48" s="2483"/>
      <c r="O48" s="2483"/>
      <c r="P48" s="3858" t="str">
        <f>A48</f>
        <v>比较价值（元/平方米）</v>
      </c>
      <c r="Q48" s="3858"/>
      <c r="R48" s="3853">
        <f>IF(F1="售价",ROUND(PRODUCT(R47,AA7:AA46),0),ROUND(PRODUCT(R47,AA7:AA46),1))</f>
        <v>7177</v>
      </c>
      <c r="S48" s="3853"/>
      <c r="T48" s="3853">
        <f>IF(F1="售价",ROUND(PRODUCT(T47,AB7:AB46),0),ROUND(PRODUCT(T47,AB7:AB46),1))</f>
        <v>7699</v>
      </c>
      <c r="U48" s="3853"/>
      <c r="V48" s="3853">
        <f>IF(F1="售价",ROUND(PRODUCT(V47,AC7:AC46),0),ROUND(PRODUCT(V47,AC7:AC46),1))</f>
        <v>6786</v>
      </c>
      <c r="W48" s="3853"/>
      <c r="X48" s="385"/>
      <c r="Y48" s="385"/>
      <c r="Z48" s="385"/>
      <c r="AA48" s="385"/>
      <c r="AB48" s="385"/>
      <c r="AC48" s="385"/>
    </row>
    <row r="49" spans="1:29" ht="15.75" thickBot="1">
      <c r="A49" s="427" t="s">
        <v>1708</v>
      </c>
      <c r="B49" s="428"/>
      <c r="C49" s="1084">
        <f>R49</f>
        <v>7221</v>
      </c>
      <c r="D49" s="351"/>
      <c r="E49" s="351"/>
      <c r="F49" s="351"/>
      <c r="G49" s="351"/>
      <c r="H49" s="351"/>
      <c r="I49" s="351"/>
      <c r="J49" s="351"/>
      <c r="K49" s="1764"/>
      <c r="L49" s="2490"/>
      <c r="M49" s="2483"/>
      <c r="N49" s="2483"/>
      <c r="O49" s="2483"/>
      <c r="P49" s="3855" t="str">
        <f>A49</f>
        <v>估价对象XX用房的比较价值（楼面单价，元/平方米）</v>
      </c>
      <c r="Q49" s="3856"/>
      <c r="R49" s="3857">
        <f>IF(F1="售价",ROUND(IF(D48="简单平均",AVERAGE(R48:V48),R48*F48+T48*H48+V48*J48),0),ROUND(IF(D48="简单平均",AVERAGE(R48:V48),R48*F48+T48*H48+V48*J48),1))</f>
        <v>7221</v>
      </c>
      <c r="S49" s="3857"/>
      <c r="T49" s="3857"/>
      <c r="U49" s="3857"/>
      <c r="V49" s="3857"/>
      <c r="W49" s="385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1709</v>
      </c>
      <c r="D52" s="433"/>
      <c r="E52" s="434">
        <f>IF(E47&lt;E48,E48/E47-1,E47/E48-1)</f>
        <v>2.4522781106311786E-2</v>
      </c>
      <c r="F52" s="435" t="str">
        <f>IF(OR(E52&gt;=0.3,E52&lt;=-0.3),"超过30%","")</f>
        <v/>
      </c>
      <c r="G52" s="434">
        <f>IF(G47&lt;G48,G48/G47-1,G47/G48-1)</f>
        <v>4.1953500454604553E-2</v>
      </c>
      <c r="H52" s="435" t="str">
        <f>IF(OR(G52&gt;=0.3,G52&lt;=-0.3),"超过30%","")</f>
        <v/>
      </c>
      <c r="I52" s="434">
        <f>IF(I47&lt;I48,I48/I47-1,I47/I48-1)</f>
        <v>4.4798113763631076E-2</v>
      </c>
      <c r="J52" s="435" t="str">
        <f>IF(OR(I52&gt;=0.3,I52&lt;=-0.3),"超过30%","")</f>
        <v/>
      </c>
      <c r="K52" s="2495"/>
      <c r="L52" s="2491"/>
      <c r="M52" s="2483"/>
      <c r="N52" s="2483"/>
      <c r="O52" s="2483"/>
    </row>
    <row r="53" spans="1:29" ht="13.5" customHeight="1">
      <c r="A53" s="2483"/>
      <c r="B53" s="2483"/>
      <c r="C53" s="432" t="s">
        <v>1710</v>
      </c>
      <c r="D53" s="436"/>
      <c r="E53" s="434">
        <f>IF(E48&lt;G48,G48/E48-1,E48/G48-1)</f>
        <v>7.2732339417584058E-2</v>
      </c>
      <c r="F53" s="435" t="str">
        <f>IF(OR(E53&gt;=0.2,E53&lt;=-0.2),"超过20%","")</f>
        <v/>
      </c>
      <c r="G53" s="434">
        <f>IF(G48&lt;I48,I48/G48-1,G48/I48-1)</f>
        <v>0.13454170350722072</v>
      </c>
      <c r="H53" s="435" t="str">
        <f>IF(OR(G53&gt;=0.2,G53&lt;=-0.2),"超过20%","")</f>
        <v/>
      </c>
      <c r="I53" s="434">
        <f>IF(I48&lt;E48,E48/I48-1,I48/E48-1)</f>
        <v>5.7618626584143851E-2</v>
      </c>
      <c r="J53" s="435" t="str">
        <f>IF(OR(I53&gt;=0.2,I53&lt;=-0.2),"超过20%","")</f>
        <v/>
      </c>
      <c r="K53" s="2495"/>
      <c r="L53" s="2491"/>
      <c r="M53" s="2483"/>
      <c r="N53" s="2483"/>
      <c r="O53" s="2483"/>
    </row>
    <row r="54" spans="1:29" s="437" customFormat="1" ht="13.5" customHeight="1">
      <c r="A54" s="2493"/>
      <c r="B54" s="2493"/>
      <c r="C54" s="432" t="s">
        <v>1711</v>
      </c>
      <c r="D54" s="436"/>
      <c r="E54" s="434">
        <f>IF(E47&lt;G47,G47/E47-1,E47/G47-1)</f>
        <v>9.0983272133822846E-2</v>
      </c>
      <c r="F54" s="435" t="str">
        <f>IF(OR(E54&gt;=0.3,E54&lt;=-0.3),"超过30%","")</f>
        <v/>
      </c>
      <c r="G54" s="434">
        <f>IF(G47&lt;I47,I47/G47-1,G47/I47-1)</f>
        <v>0.13145275035260928</v>
      </c>
      <c r="H54" s="435" t="str">
        <f>IF(OR(G54&gt;=0.3,G54&lt;=-0.3),"超过30%","")</f>
        <v/>
      </c>
      <c r="I54" s="434">
        <f>IF(I47&lt;E47,E47/I47-1,I47/E47-1)</f>
        <v>3.709449929478148E-2</v>
      </c>
      <c r="J54" s="435" t="str">
        <f>IF(OR(I54&gt;=0.3,I54&lt;=-0.3),"超过30%","")</f>
        <v/>
      </c>
      <c r="K54" s="2498"/>
      <c r="L54" s="2492"/>
      <c r="M54" s="2493"/>
      <c r="N54" s="2493"/>
      <c r="O54" s="2493"/>
      <c r="P54" s="1766"/>
    </row>
    <row r="55" spans="1:29" s="437" customFormat="1">
      <c r="A55" s="2493"/>
      <c r="B55" s="2496"/>
      <c r="C55" s="2497"/>
      <c r="D55" s="2493"/>
      <c r="E55" s="2493"/>
      <c r="F55" s="2493"/>
      <c r="G55" s="2493"/>
      <c r="H55" s="2493"/>
      <c r="I55" s="2493"/>
      <c r="J55" s="2493"/>
      <c r="K55" s="2498"/>
      <c r="L55" s="2492"/>
      <c r="M55" s="2493"/>
      <c r="N55" s="2493"/>
      <c r="O55" s="2493"/>
      <c r="P55" s="1766"/>
    </row>
    <row r="56" spans="1:29">
      <c r="A56" s="2483"/>
      <c r="B56" s="2496"/>
      <c r="C56" s="2497"/>
      <c r="D56" s="2483"/>
      <c r="E56" s="2483"/>
      <c r="F56" s="2483"/>
      <c r="G56" s="2483"/>
      <c r="H56" s="2483"/>
      <c r="I56" s="2483"/>
      <c r="J56" s="2483"/>
      <c r="K56" s="2495"/>
      <c r="L56" s="2491"/>
      <c r="M56" s="2483"/>
      <c r="N56" s="2483"/>
      <c r="O56" s="2483"/>
    </row>
    <row r="57" spans="1:29" ht="21.75" thickBot="1">
      <c r="A57" s="658" t="s">
        <v>1712</v>
      </c>
      <c r="B57" s="385"/>
      <c r="C57" s="659"/>
      <c r="D57" s="659"/>
      <c r="E57" s="659"/>
      <c r="F57" s="660"/>
      <c r="G57" s="660"/>
      <c r="H57" s="659"/>
      <c r="I57" s="659"/>
      <c r="J57" s="659"/>
      <c r="K57" s="887"/>
      <c r="L57" s="888"/>
      <c r="M57" s="886"/>
      <c r="N57" s="886"/>
      <c r="O57" s="886"/>
      <c r="P57" s="1767"/>
      <c r="Q57" s="439"/>
    </row>
    <row r="58" spans="1:29" s="442" customFormat="1" ht="15">
      <c r="A58" s="440" t="s">
        <v>1713</v>
      </c>
      <c r="B58" s="441"/>
      <c r="C58" s="1104" t="str">
        <f>YEAR(C7)&amp;"-"&amp;MONTH(C7)</f>
        <v>2006-5</v>
      </c>
      <c r="D58" s="1103">
        <f>EDATE(C58,-1)</f>
        <v>38808</v>
      </c>
      <c r="E58" s="1103">
        <f>EDATE(D58,-1)</f>
        <v>38777</v>
      </c>
      <c r="F58" s="1103">
        <f t="shared" ref="F58:O58" si="19">EDATE(E58,-1)</f>
        <v>38749</v>
      </c>
      <c r="G58" s="1103">
        <f t="shared" si="19"/>
        <v>38718</v>
      </c>
      <c r="H58" s="1103">
        <f t="shared" si="19"/>
        <v>38687</v>
      </c>
      <c r="I58" s="1103">
        <f t="shared" si="19"/>
        <v>38657</v>
      </c>
      <c r="J58" s="1103">
        <f t="shared" si="19"/>
        <v>38626</v>
      </c>
      <c r="K58" s="1103">
        <f t="shared" si="19"/>
        <v>38596</v>
      </c>
      <c r="L58" s="1103">
        <f t="shared" si="19"/>
        <v>38565</v>
      </c>
      <c r="M58" s="1103">
        <f t="shared" si="19"/>
        <v>38534</v>
      </c>
      <c r="N58" s="1103">
        <f t="shared" si="19"/>
        <v>38504</v>
      </c>
      <c r="O58" s="1103">
        <f t="shared" si="19"/>
        <v>38473</v>
      </c>
      <c r="P58" s="3147">
        <f t="shared" ref="P58" si="20">EDATE(O58,-1)</f>
        <v>38443</v>
      </c>
      <c r="Q58" s="3147">
        <f t="shared" ref="Q58" si="21">EDATE(P58,-1)</f>
        <v>38412</v>
      </c>
      <c r="R58" s="3147">
        <f t="shared" ref="R58" si="22">EDATE(Q58,-1)</f>
        <v>38384</v>
      </c>
      <c r="S58" s="3147">
        <f t="shared" ref="S58" si="23">EDATE(R58,-1)</f>
        <v>38353</v>
      </c>
      <c r="T58" s="3147">
        <f t="shared" ref="T58" si="24">EDATE(S58,-1)</f>
        <v>38322</v>
      </c>
      <c r="U58" s="3147">
        <f t="shared" ref="U58" si="25">EDATE(T58,-1)</f>
        <v>38292</v>
      </c>
      <c r="V58" s="3147">
        <f t="shared" ref="V58" si="26">EDATE(U58,-1)</f>
        <v>38261</v>
      </c>
      <c r="W58" s="3147">
        <f t="shared" ref="W58" si="27">EDATE(V58,-1)</f>
        <v>38231</v>
      </c>
      <c r="X58" s="3147">
        <f t="shared" ref="X58" si="28">EDATE(W58,-1)</f>
        <v>38200</v>
      </c>
      <c r="Y58" s="3147">
        <f t="shared" ref="Y58" si="29">EDATE(X58,-1)</f>
        <v>38169</v>
      </c>
      <c r="Z58" s="3147">
        <f t="shared" ref="Z58" si="30">EDATE(Y58,-1)</f>
        <v>38139</v>
      </c>
      <c r="AA58" s="3147">
        <f t="shared" ref="AA58" si="31">EDATE(Z58,-1)</f>
        <v>38108</v>
      </c>
      <c r="AB58" s="3147">
        <f t="shared" ref="AB58" si="32">EDATE(AA58,-1)</f>
        <v>38078</v>
      </c>
    </row>
    <row r="59" spans="1:29" s="102" customFormat="1" ht="15">
      <c r="A59" s="443"/>
      <c r="B59" s="1768"/>
      <c r="C59" s="1101">
        <v>100</v>
      </c>
      <c r="D59" s="445">
        <f>C59-$C$60</f>
        <v>99.7</v>
      </c>
      <c r="E59" s="445">
        <f t="shared" ref="E59:U59" si="33">D59-$C$60</f>
        <v>99.4</v>
      </c>
      <c r="F59" s="445">
        <f t="shared" si="33"/>
        <v>99.100000000000009</v>
      </c>
      <c r="G59" s="445">
        <f t="shared" si="33"/>
        <v>98.800000000000011</v>
      </c>
      <c r="H59" s="445">
        <f t="shared" si="33"/>
        <v>98.500000000000014</v>
      </c>
      <c r="I59" s="445">
        <f t="shared" si="33"/>
        <v>98.200000000000017</v>
      </c>
      <c r="J59" s="445">
        <f t="shared" si="33"/>
        <v>97.90000000000002</v>
      </c>
      <c r="K59" s="445">
        <f t="shared" si="33"/>
        <v>97.600000000000023</v>
      </c>
      <c r="L59" s="445">
        <f t="shared" si="33"/>
        <v>97.300000000000026</v>
      </c>
      <c r="M59" s="445">
        <f t="shared" si="33"/>
        <v>97.000000000000028</v>
      </c>
      <c r="N59" s="445">
        <f t="shared" si="33"/>
        <v>96.700000000000031</v>
      </c>
      <c r="O59" s="445">
        <f t="shared" si="33"/>
        <v>96.400000000000034</v>
      </c>
      <c r="P59" s="445">
        <f t="shared" si="33"/>
        <v>96.100000000000037</v>
      </c>
      <c r="Q59" s="445">
        <f t="shared" si="33"/>
        <v>95.80000000000004</v>
      </c>
      <c r="R59" s="445">
        <f t="shared" si="33"/>
        <v>95.500000000000043</v>
      </c>
      <c r="S59" s="445">
        <f t="shared" si="33"/>
        <v>95.200000000000045</v>
      </c>
      <c r="T59" s="445">
        <f t="shared" si="33"/>
        <v>94.900000000000048</v>
      </c>
      <c r="U59" s="445">
        <f t="shared" si="33"/>
        <v>94.600000000000051</v>
      </c>
      <c r="V59" s="102">
        <f>U59-C60</f>
        <v>94.300000000000054</v>
      </c>
      <c r="W59" s="102">
        <f>V59</f>
        <v>94.300000000000054</v>
      </c>
      <c r="X59" s="102">
        <f>V59</f>
        <v>94.300000000000054</v>
      </c>
      <c r="Y59" s="102">
        <f>X59-C60</f>
        <v>94.000000000000057</v>
      </c>
      <c r="Z59" s="102">
        <f>Y59</f>
        <v>94.000000000000057</v>
      </c>
      <c r="AA59" s="102">
        <f>Y59</f>
        <v>94.000000000000057</v>
      </c>
      <c r="AB59" s="102">
        <f>AA59-C60</f>
        <v>93.70000000000006</v>
      </c>
    </row>
    <row r="60" spans="1:29" s="102" customFormat="1" ht="15.75" thickBot="1">
      <c r="A60" s="449" t="s">
        <v>1714</v>
      </c>
      <c r="B60" s="450"/>
      <c r="C60" s="451">
        <v>0.3</v>
      </c>
      <c r="D60" s="452"/>
      <c r="E60" s="452"/>
      <c r="F60" s="452"/>
      <c r="G60" s="452"/>
      <c r="H60" s="452"/>
      <c r="I60" s="452"/>
      <c r="J60" s="452"/>
      <c r="K60" s="452"/>
      <c r="L60" s="452"/>
      <c r="M60" s="453"/>
      <c r="N60" s="452"/>
      <c r="O60" s="453"/>
      <c r="P60" s="1769"/>
      <c r="Q60" s="439"/>
    </row>
    <row r="61" spans="1:29" s="102" customFormat="1" ht="15">
      <c r="A61" s="455" t="s">
        <v>1715</v>
      </c>
      <c r="B61" s="444"/>
      <c r="C61" s="456" t="s">
        <v>1716</v>
      </c>
      <c r="D61" s="31"/>
      <c r="E61" s="31"/>
      <c r="F61" s="31"/>
      <c r="G61" s="31"/>
      <c r="H61" s="31"/>
      <c r="I61" s="31"/>
      <c r="J61" s="31"/>
      <c r="K61" s="31"/>
      <c r="L61" s="457"/>
      <c r="M61" s="458"/>
      <c r="N61" s="878"/>
      <c r="O61" s="878"/>
      <c r="P61" s="1770"/>
      <c r="Q61" s="439"/>
    </row>
    <row r="62" spans="1:29" s="102" customFormat="1" ht="15.75" thickBot="1">
      <c r="A62" s="455"/>
      <c r="B62" s="444"/>
      <c r="C62" s="445">
        <v>100</v>
      </c>
      <c r="D62" s="446"/>
      <c r="E62" s="446"/>
      <c r="F62" s="446"/>
      <c r="G62" s="446"/>
      <c r="H62" s="446"/>
      <c r="I62" s="446"/>
      <c r="J62" s="446"/>
      <c r="K62" s="446"/>
      <c r="L62" s="446"/>
      <c r="M62" s="448"/>
      <c r="N62" s="878"/>
      <c r="O62" s="878"/>
      <c r="P62" s="1769"/>
      <c r="Q62" s="439"/>
    </row>
    <row r="63" spans="1:29">
      <c r="A63" s="379" t="s">
        <v>1717</v>
      </c>
      <c r="B63" s="460" t="s">
        <v>1685</v>
      </c>
      <c r="C63" s="461" t="str">
        <f>C9</f>
        <v>住宅</v>
      </c>
      <c r="D63" s="462"/>
      <c r="E63" s="462"/>
      <c r="F63" s="462"/>
      <c r="G63" s="462"/>
      <c r="H63" s="462"/>
      <c r="I63" s="462"/>
      <c r="J63" s="462"/>
      <c r="K63" s="463"/>
      <c r="L63" s="464"/>
      <c r="M63" s="465"/>
      <c r="N63" s="879"/>
      <c r="O63" s="879"/>
      <c r="P63" s="1771"/>
      <c r="Q63" s="439"/>
    </row>
    <row r="64" spans="1:29" ht="15.75" thickBot="1">
      <c r="A64" s="367"/>
      <c r="B64" s="466"/>
      <c r="C64" s="467">
        <v>100</v>
      </c>
      <c r="D64" s="467"/>
      <c r="E64" s="467"/>
      <c r="F64" s="467"/>
      <c r="G64" s="467"/>
      <c r="H64" s="467"/>
      <c r="I64" s="467"/>
      <c r="J64" s="467"/>
      <c r="K64" s="467"/>
      <c r="L64" s="467"/>
      <c r="M64" s="468"/>
      <c r="N64" s="880"/>
      <c r="O64" s="880"/>
      <c r="P64" s="1771"/>
      <c r="Q64" s="439"/>
    </row>
    <row r="65" spans="1:17" ht="27.75" thickTop="1">
      <c r="A65" s="367"/>
      <c r="B65" s="469" t="s">
        <v>1688</v>
      </c>
      <c r="C65" s="513" t="s">
        <v>3413</v>
      </c>
      <c r="D65" s="513" t="s">
        <v>3415</v>
      </c>
      <c r="E65" s="513" t="s">
        <v>3414</v>
      </c>
      <c r="F65" s="513"/>
      <c r="G65" s="513"/>
      <c r="H65" s="513"/>
      <c r="I65" s="513"/>
      <c r="J65" s="513"/>
      <c r="K65" s="513"/>
      <c r="L65" s="513"/>
      <c r="M65" s="513"/>
      <c r="N65" s="880"/>
      <c r="O65" s="880"/>
      <c r="P65" s="1771"/>
      <c r="Q65" s="439"/>
    </row>
    <row r="66" spans="1:17" ht="15.75" thickBot="1">
      <c r="A66" s="367"/>
      <c r="B66" s="474"/>
      <c r="C66" s="467">
        <v>100</v>
      </c>
      <c r="D66" s="467">
        <v>98</v>
      </c>
      <c r="E66" s="467">
        <v>96</v>
      </c>
      <c r="F66" s="467"/>
      <c r="G66" s="467"/>
      <c r="H66" s="467"/>
      <c r="I66" s="467"/>
      <c r="J66" s="467"/>
      <c r="K66" s="467"/>
      <c r="L66" s="467"/>
      <c r="M66" s="468"/>
      <c r="N66" s="880"/>
      <c r="O66" s="880"/>
      <c r="P66" s="1771"/>
      <c r="Q66" s="439"/>
    </row>
    <row r="67" spans="1:17" ht="15.75" thickTop="1">
      <c r="A67" s="367"/>
      <c r="B67" s="477" t="s">
        <v>1689</v>
      </c>
      <c r="C67" s="478" t="str">
        <f>C68&amp;"（含）"&amp;"-"&amp;D68</f>
        <v>0（含）-1</v>
      </c>
      <c r="D67" s="478" t="str">
        <f t="shared" ref="D67:L67" si="34">D68&amp;"（含）"&amp;"-"&amp;E68</f>
        <v>1（含）-2</v>
      </c>
      <c r="E67" s="478" t="str">
        <f t="shared" si="34"/>
        <v>2（含）-3</v>
      </c>
      <c r="F67" s="478" t="str">
        <f t="shared" si="34"/>
        <v>3（含）-</v>
      </c>
      <c r="G67" s="478" t="str">
        <f t="shared" si="34"/>
        <v>（含）-</v>
      </c>
      <c r="H67" s="478" t="str">
        <f t="shared" si="34"/>
        <v>（含）-</v>
      </c>
      <c r="I67" s="478" t="str">
        <f t="shared" si="34"/>
        <v>（含）-</v>
      </c>
      <c r="J67" s="478" t="str">
        <f t="shared" si="34"/>
        <v>（含）-</v>
      </c>
      <c r="K67" s="478" t="str">
        <f>K68&amp;"（含）"&amp;"-"&amp;L68</f>
        <v>（含）-</v>
      </c>
      <c r="L67" s="478" t="str">
        <f t="shared" si="34"/>
        <v>（含）-</v>
      </c>
      <c r="M67" s="387" t="str">
        <f>M68&amp;"（含）"&amp;"-"&amp;P68</f>
        <v>（含）-</v>
      </c>
      <c r="N67" s="880"/>
      <c r="O67" s="880"/>
      <c r="P67" s="1771"/>
      <c r="Q67" s="439"/>
    </row>
    <row r="68" spans="1:17" ht="15">
      <c r="A68" s="367"/>
      <c r="B68" s="479"/>
      <c r="C68" s="480">
        <v>0</v>
      </c>
      <c r="D68" s="480">
        <v>1</v>
      </c>
      <c r="E68" s="480">
        <v>2</v>
      </c>
      <c r="F68" s="480">
        <v>3</v>
      </c>
      <c r="G68" s="480"/>
      <c r="H68" s="480"/>
      <c r="I68" s="480"/>
      <c r="J68" s="480"/>
      <c r="K68" s="481"/>
      <c r="L68" s="482"/>
      <c r="M68" s="483"/>
      <c r="N68" s="879"/>
      <c r="O68" s="879"/>
      <c r="P68" s="1771"/>
      <c r="Q68" s="439"/>
    </row>
    <row r="69" spans="1:17" ht="15.75" thickBot="1">
      <c r="A69" s="367"/>
      <c r="B69" s="466"/>
      <c r="C69" s="475">
        <v>100</v>
      </c>
      <c r="D69" s="475">
        <f t="shared" ref="D69:M69" si="35">C69-$K11</f>
        <v>100</v>
      </c>
      <c r="E69" s="475">
        <f t="shared" si="35"/>
        <v>100</v>
      </c>
      <c r="F69" s="475">
        <f t="shared" si="35"/>
        <v>100</v>
      </c>
      <c r="G69" s="475">
        <f t="shared" si="35"/>
        <v>100</v>
      </c>
      <c r="H69" s="475">
        <f t="shared" si="35"/>
        <v>100</v>
      </c>
      <c r="I69" s="475">
        <f t="shared" si="35"/>
        <v>100</v>
      </c>
      <c r="J69" s="475">
        <f t="shared" si="35"/>
        <v>100</v>
      </c>
      <c r="K69" s="475">
        <f t="shared" si="35"/>
        <v>100</v>
      </c>
      <c r="L69" s="475">
        <f t="shared" si="35"/>
        <v>100</v>
      </c>
      <c r="M69" s="476">
        <f t="shared" si="35"/>
        <v>100</v>
      </c>
      <c r="N69" s="880"/>
      <c r="O69" s="880"/>
      <c r="P69" s="1771"/>
      <c r="Q69" s="439"/>
    </row>
    <row r="70" spans="1:17" s="408" customFormat="1" ht="15.75" thickTop="1">
      <c r="A70" s="484"/>
      <c r="B70" s="469">
        <f>B12</f>
        <v>111</v>
      </c>
      <c r="C70" s="485"/>
      <c r="D70" s="485"/>
      <c r="E70" s="485"/>
      <c r="F70" s="485"/>
      <c r="G70" s="485"/>
      <c r="H70" s="486"/>
      <c r="I70" s="486"/>
      <c r="J70" s="486"/>
      <c r="K70" s="486"/>
      <c r="L70" s="487"/>
      <c r="M70" s="488"/>
      <c r="N70" s="881"/>
      <c r="O70" s="881"/>
      <c r="P70" s="1772"/>
      <c r="Q70" s="490"/>
    </row>
    <row r="71" spans="1:17" s="408" customFormat="1" ht="15.75" thickBot="1">
      <c r="A71" s="484"/>
      <c r="B71" s="474"/>
      <c r="C71" s="491"/>
      <c r="D71" s="467"/>
      <c r="E71" s="467"/>
      <c r="F71" s="467"/>
      <c r="G71" s="467"/>
      <c r="H71" s="467"/>
      <c r="I71" s="467"/>
      <c r="J71" s="467"/>
      <c r="K71" s="467"/>
      <c r="L71" s="467"/>
      <c r="M71" s="468"/>
      <c r="N71" s="880"/>
      <c r="O71" s="880"/>
      <c r="P71" s="1772"/>
      <c r="Q71" s="490"/>
    </row>
    <row r="72" spans="1:17" s="408" customFormat="1" ht="15.75" thickTop="1">
      <c r="A72" s="484"/>
      <c r="B72" s="469">
        <f>B13</f>
        <v>111</v>
      </c>
      <c r="C72" s="485"/>
      <c r="D72" s="485"/>
      <c r="E72" s="485"/>
      <c r="F72" s="485"/>
      <c r="G72" s="485"/>
      <c r="H72" s="486"/>
      <c r="I72" s="486"/>
      <c r="J72" s="486"/>
      <c r="K72" s="486"/>
      <c r="L72" s="487"/>
      <c r="M72" s="488"/>
      <c r="N72" s="881"/>
      <c r="O72" s="881"/>
      <c r="P72" s="1773"/>
      <c r="Q72" s="492"/>
    </row>
    <row r="73" spans="1:17" s="408" customFormat="1" ht="15.75" thickBot="1">
      <c r="A73" s="484"/>
      <c r="B73" s="474"/>
      <c r="C73" s="491"/>
      <c r="D73" s="491"/>
      <c r="E73" s="491"/>
      <c r="F73" s="491"/>
      <c r="G73" s="491"/>
      <c r="H73" s="493"/>
      <c r="I73" s="493"/>
      <c r="J73" s="493"/>
      <c r="K73" s="493"/>
      <c r="L73" s="493"/>
      <c r="M73" s="494"/>
      <c r="N73" s="881"/>
      <c r="O73" s="881"/>
      <c r="P73" s="1772"/>
      <c r="Q73" s="490"/>
    </row>
    <row r="74" spans="1:17" s="408" customFormat="1" ht="15.75" thickTop="1">
      <c r="A74" s="484"/>
      <c r="B74" s="477">
        <f>B14</f>
        <v>111</v>
      </c>
      <c r="C74" s="485"/>
      <c r="D74" s="485"/>
      <c r="E74" s="485"/>
      <c r="F74" s="485"/>
      <c r="G74" s="31"/>
      <c r="H74" s="495"/>
      <c r="I74" s="495"/>
      <c r="J74" s="495"/>
      <c r="K74" s="495"/>
      <c r="L74" s="496"/>
      <c r="M74" s="497"/>
      <c r="N74" s="881"/>
      <c r="O74" s="881"/>
      <c r="P74" s="1774"/>
      <c r="Q74" s="490"/>
    </row>
    <row r="75" spans="1:17" s="408" customFormat="1" ht="15.75" thickBot="1">
      <c r="A75" s="499"/>
      <c r="B75" s="500"/>
      <c r="C75" s="501"/>
      <c r="D75" s="501"/>
      <c r="E75" s="501"/>
      <c r="F75" s="501"/>
      <c r="G75" s="501"/>
      <c r="H75" s="502"/>
      <c r="I75" s="502"/>
      <c r="J75" s="502"/>
      <c r="K75" s="502"/>
      <c r="L75" s="502"/>
      <c r="M75" s="503"/>
      <c r="N75" s="881"/>
      <c r="O75" s="881"/>
      <c r="P75" s="1772"/>
      <c r="Q75" s="490"/>
    </row>
    <row r="76" spans="1:17">
      <c r="A76" s="379" t="s">
        <v>1690</v>
      </c>
      <c r="B76" s="460" t="s">
        <v>1718</v>
      </c>
      <c r="C76" s="504" t="s">
        <v>1719</v>
      </c>
      <c r="D76" s="504" t="s">
        <v>1720</v>
      </c>
      <c r="E76" s="504" t="s">
        <v>1721</v>
      </c>
      <c r="F76" s="504" t="s">
        <v>1722</v>
      </c>
      <c r="G76" s="504" t="s">
        <v>1723</v>
      </c>
      <c r="H76" s="461"/>
      <c r="I76" s="461"/>
      <c r="J76" s="461"/>
      <c r="K76" s="505"/>
      <c r="L76" s="506"/>
      <c r="M76" s="507"/>
      <c r="N76" s="879"/>
      <c r="O76" s="879"/>
      <c r="P76" s="1775"/>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1"/>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1"/>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1"/>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1"/>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1"/>
      <c r="Q81" s="439"/>
    </row>
    <row r="82" spans="1:17" ht="15.75" thickTop="1">
      <c r="A82" s="367"/>
      <c r="B82" s="477" t="s">
        <v>1260</v>
      </c>
      <c r="C82" s="470" t="s">
        <v>1726</v>
      </c>
      <c r="D82" s="470" t="s">
        <v>1727</v>
      </c>
      <c r="E82" s="470" t="s">
        <v>1728</v>
      </c>
      <c r="F82" s="470" t="s">
        <v>1729</v>
      </c>
      <c r="G82" s="470" t="s">
        <v>1730</v>
      </c>
      <c r="H82" s="470"/>
      <c r="I82" s="470"/>
      <c r="J82" s="470"/>
      <c r="K82" s="470"/>
      <c r="L82" s="470"/>
      <c r="M82" s="1063"/>
      <c r="N82" s="880"/>
      <c r="O82" s="880"/>
      <c r="P82" s="1771"/>
      <c r="Q82" s="439"/>
    </row>
    <row r="83" spans="1:17" ht="15.75" thickBot="1">
      <c r="A83" s="367"/>
      <c r="B83" s="477"/>
      <c r="C83" s="581">
        <v>100</v>
      </c>
      <c r="D83" s="581">
        <f>C83-$K21</f>
        <v>100</v>
      </c>
      <c r="E83" s="581">
        <f t="shared" ref="E83:G83" si="36">D83-$K21</f>
        <v>100</v>
      </c>
      <c r="F83" s="581">
        <f t="shared" si="36"/>
        <v>100</v>
      </c>
      <c r="G83" s="581">
        <f t="shared" si="36"/>
        <v>100</v>
      </c>
      <c r="H83" s="581"/>
      <c r="I83" s="581"/>
      <c r="J83" s="581"/>
      <c r="K83" s="581"/>
      <c r="L83" s="581"/>
      <c r="M83" s="389"/>
      <c r="N83" s="880"/>
      <c r="O83" s="880"/>
      <c r="P83" s="1771"/>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1"/>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1"/>
      <c r="Q85" s="439"/>
    </row>
    <row r="86" spans="1:17" s="102" customFormat="1" ht="15.75" thickTop="1">
      <c r="A86" s="370"/>
      <c r="B86" s="469" t="s">
        <v>1732</v>
      </c>
      <c r="C86" s="3141"/>
      <c r="D86" s="485"/>
      <c r="E86" s="485"/>
      <c r="F86" s="513"/>
      <c r="G86" s="485"/>
      <c r="H86" s="485"/>
      <c r="I86" s="485"/>
      <c r="J86" s="485"/>
      <c r="K86" s="485"/>
      <c r="L86" s="510"/>
      <c r="M86" s="511"/>
      <c r="N86" s="878"/>
      <c r="O86" s="878"/>
      <c r="P86" s="1771"/>
      <c r="Q86" s="439"/>
    </row>
    <row r="87" spans="1:17" s="102" customFormat="1" ht="15.75" thickBot="1">
      <c r="A87" s="370"/>
      <c r="B87" s="474"/>
      <c r="C87" s="512">
        <v>100</v>
      </c>
      <c r="D87" s="475">
        <f t="shared" ref="D87:M87" si="37">$C$87-($C$86-D86)*$K$25</f>
        <v>100</v>
      </c>
      <c r="E87" s="475">
        <f t="shared" si="37"/>
        <v>100</v>
      </c>
      <c r="F87" s="475">
        <f t="shared" si="37"/>
        <v>100</v>
      </c>
      <c r="G87" s="475">
        <f t="shared" si="37"/>
        <v>100</v>
      </c>
      <c r="H87" s="475">
        <f t="shared" si="37"/>
        <v>100</v>
      </c>
      <c r="I87" s="475">
        <f t="shared" si="37"/>
        <v>100</v>
      </c>
      <c r="J87" s="475">
        <f t="shared" si="37"/>
        <v>100</v>
      </c>
      <c r="K87" s="475">
        <f t="shared" si="37"/>
        <v>100</v>
      </c>
      <c r="L87" s="475">
        <f t="shared" si="37"/>
        <v>100</v>
      </c>
      <c r="M87" s="475">
        <f t="shared" si="37"/>
        <v>100</v>
      </c>
      <c r="N87" s="880"/>
      <c r="O87" s="880"/>
      <c r="P87" s="1771"/>
      <c r="Q87" s="439"/>
    </row>
    <row r="88" spans="1:17" s="102" customFormat="1" ht="15.75" thickTop="1">
      <c r="A88" s="370"/>
      <c r="B88" s="469" t="s">
        <v>1733</v>
      </c>
      <c r="C88" s="3161" t="s">
        <v>3416</v>
      </c>
      <c r="D88" s="3149" t="s">
        <v>3417</v>
      </c>
      <c r="E88" s="3149" t="s">
        <v>3418</v>
      </c>
      <c r="F88" s="3149" t="s">
        <v>3419</v>
      </c>
      <c r="G88" s="3149" t="s">
        <v>3420</v>
      </c>
      <c r="H88" s="3149" t="s">
        <v>3421</v>
      </c>
      <c r="I88" s="3162" t="s">
        <v>3422</v>
      </c>
      <c r="J88" s="3162" t="s">
        <v>3423</v>
      </c>
      <c r="K88" s="3149" t="s">
        <v>3424</v>
      </c>
      <c r="L88" s="3149" t="s">
        <v>3425</v>
      </c>
      <c r="M88" s="511"/>
      <c r="N88" s="878"/>
      <c r="O88" s="878"/>
      <c r="P88" s="1771"/>
      <c r="Q88" s="439"/>
    </row>
    <row r="89" spans="1:17" s="102" customFormat="1" ht="15.75" thickBot="1">
      <c r="A89" s="370"/>
      <c r="B89" s="474"/>
      <c r="C89" s="512">
        <v>100</v>
      </c>
      <c r="D89" s="475">
        <f t="shared" ref="D89:M89" si="38">C89-$K26</f>
        <v>99.5</v>
      </c>
      <c r="E89" s="475">
        <f t="shared" si="38"/>
        <v>99</v>
      </c>
      <c r="F89" s="475">
        <f t="shared" si="38"/>
        <v>98.5</v>
      </c>
      <c r="G89" s="475">
        <f t="shared" si="38"/>
        <v>98</v>
      </c>
      <c r="H89" s="475">
        <f t="shared" si="38"/>
        <v>97.5</v>
      </c>
      <c r="I89" s="475">
        <f t="shared" si="38"/>
        <v>97</v>
      </c>
      <c r="J89" s="475">
        <f t="shared" si="38"/>
        <v>96.5</v>
      </c>
      <c r="K89" s="475">
        <f t="shared" si="38"/>
        <v>96</v>
      </c>
      <c r="L89" s="475">
        <f t="shared" si="38"/>
        <v>95.5</v>
      </c>
      <c r="M89" s="475">
        <f t="shared" si="38"/>
        <v>95</v>
      </c>
      <c r="N89" s="880"/>
      <c r="O89" s="880"/>
      <c r="P89" s="1771"/>
      <c r="Q89" s="439"/>
    </row>
    <row r="90" spans="1:17" s="408" customFormat="1" ht="29.25" thickTop="1">
      <c r="A90" s="484"/>
      <c r="B90" s="469" t="str">
        <f>B27</f>
        <v>楼层</v>
      </c>
      <c r="C90" s="3141" t="str">
        <f>C27</f>
        <v>5/7（中楼层）</v>
      </c>
      <c r="D90" s="485" t="str">
        <f>E27</f>
        <v>8/18（中楼层）</v>
      </c>
      <c r="E90" s="3171" t="str">
        <f>G27</f>
        <v>6/17（低楼层）</v>
      </c>
      <c r="F90" s="485" t="str">
        <f>I27</f>
        <v>14/17（高楼层）</v>
      </c>
      <c r="G90" s="485"/>
      <c r="H90" s="486"/>
      <c r="I90" s="486"/>
      <c r="J90" s="486"/>
      <c r="K90" s="486"/>
      <c r="L90" s="487"/>
      <c r="M90" s="488"/>
      <c r="N90" s="881"/>
      <c r="O90" s="881"/>
      <c r="P90" s="1772"/>
      <c r="Q90" s="490"/>
    </row>
    <row r="91" spans="1:17" s="408" customFormat="1" ht="15.75" thickBot="1">
      <c r="A91" s="484"/>
      <c r="B91" s="474"/>
      <c r="C91" s="3145">
        <v>100.5</v>
      </c>
      <c r="D91" s="3145">
        <v>101</v>
      </c>
      <c r="E91" s="3145">
        <v>100.5</v>
      </c>
      <c r="F91" s="3145">
        <v>102</v>
      </c>
      <c r="G91" s="491"/>
      <c r="H91" s="493"/>
      <c r="I91" s="493"/>
      <c r="J91" s="493"/>
      <c r="K91" s="493"/>
      <c r="L91" s="493"/>
      <c r="M91" s="494"/>
      <c r="N91" s="881"/>
      <c r="O91" s="881"/>
      <c r="P91" s="1772"/>
      <c r="Q91" s="490"/>
    </row>
    <row r="92" spans="1:17" ht="15.75" thickTop="1">
      <c r="A92" s="367"/>
      <c r="B92" s="469" t="str">
        <f>B28</f>
        <v>道路级别</v>
      </c>
      <c r="C92" s="3141" t="s">
        <v>3429</v>
      </c>
      <c r="D92" s="3141" t="s">
        <v>3428</v>
      </c>
      <c r="E92" s="3141" t="s">
        <v>3432</v>
      </c>
      <c r="F92" s="485"/>
      <c r="G92" s="513"/>
      <c r="H92" s="513"/>
      <c r="I92" s="513"/>
      <c r="J92" s="513"/>
      <c r="K92" s="514"/>
      <c r="L92" s="515"/>
      <c r="M92" s="516"/>
      <c r="N92" s="879"/>
      <c r="O92" s="879"/>
      <c r="P92" s="1771"/>
      <c r="Q92" s="439"/>
    </row>
    <row r="93" spans="1:17" ht="15.75" thickBot="1">
      <c r="A93" s="367"/>
      <c r="B93" s="474"/>
      <c r="C93" s="491">
        <v>100</v>
      </c>
      <c r="D93" s="467">
        <v>99.5</v>
      </c>
      <c r="E93" s="467">
        <v>99</v>
      </c>
      <c r="F93" s="467"/>
      <c r="G93" s="467"/>
      <c r="H93" s="467"/>
      <c r="I93" s="467"/>
      <c r="J93" s="467"/>
      <c r="K93" s="467"/>
      <c r="L93" s="467"/>
      <c r="M93" s="468"/>
      <c r="N93" s="880"/>
      <c r="O93" s="880"/>
      <c r="P93" s="1771"/>
      <c r="Q93" s="439"/>
    </row>
    <row r="94" spans="1:17" ht="15.75" thickTop="1">
      <c r="A94" s="367"/>
      <c r="B94" s="469">
        <f>B29</f>
        <v>111</v>
      </c>
      <c r="C94" s="485"/>
      <c r="D94" s="485"/>
      <c r="E94" s="485"/>
      <c r="F94" s="485"/>
      <c r="G94" s="513"/>
      <c r="H94" s="513"/>
      <c r="I94" s="513"/>
      <c r="J94" s="513"/>
      <c r="K94" s="514"/>
      <c r="L94" s="515"/>
      <c r="M94" s="516"/>
      <c r="N94" s="879"/>
      <c r="O94" s="879"/>
      <c r="P94" s="1771"/>
      <c r="Q94" s="439"/>
    </row>
    <row r="95" spans="1:17" ht="15.75" thickBot="1">
      <c r="A95" s="367"/>
      <c r="B95" s="474"/>
      <c r="C95" s="491"/>
      <c r="D95" s="491"/>
      <c r="E95" s="491"/>
      <c r="F95" s="491"/>
      <c r="G95" s="467"/>
      <c r="H95" s="467"/>
      <c r="I95" s="467"/>
      <c r="J95" s="467"/>
      <c r="K95" s="467"/>
      <c r="L95" s="467"/>
      <c r="M95" s="468"/>
      <c r="N95" s="880"/>
      <c r="O95" s="880"/>
      <c r="P95" s="1771"/>
      <c r="Q95" s="439"/>
    </row>
    <row r="96" spans="1:17" ht="15.75" thickTop="1">
      <c r="A96" s="367"/>
      <c r="B96" s="469">
        <f>B30</f>
        <v>111</v>
      </c>
      <c r="C96" s="485"/>
      <c r="D96" s="485"/>
      <c r="E96" s="485"/>
      <c r="F96" s="485"/>
      <c r="G96" s="513"/>
      <c r="H96" s="513"/>
      <c r="I96" s="513"/>
      <c r="J96" s="513"/>
      <c r="K96" s="514"/>
      <c r="L96" s="515"/>
      <c r="M96" s="516"/>
      <c r="N96" s="879"/>
      <c r="O96" s="879"/>
      <c r="P96" s="1771"/>
      <c r="Q96" s="439"/>
    </row>
    <row r="97" spans="1:17" ht="15.75" thickBot="1">
      <c r="A97" s="367"/>
      <c r="B97" s="474"/>
      <c r="C97" s="501"/>
      <c r="D97" s="501"/>
      <c r="E97" s="501"/>
      <c r="F97" s="501"/>
      <c r="G97" s="467"/>
      <c r="H97" s="467"/>
      <c r="I97" s="467"/>
      <c r="J97" s="467"/>
      <c r="K97" s="467"/>
      <c r="L97" s="467"/>
      <c r="M97" s="468"/>
      <c r="N97" s="880"/>
      <c r="O97" s="880"/>
      <c r="P97" s="1771"/>
      <c r="Q97" s="439"/>
    </row>
    <row r="98" spans="1:17" ht="15.75" thickTop="1">
      <c r="A98" s="367"/>
      <c r="B98" s="477">
        <f>B31</f>
        <v>111</v>
      </c>
      <c r="C98" s="517"/>
      <c r="D98" s="517"/>
      <c r="E98" s="517"/>
      <c r="F98" s="517"/>
      <c r="G98" s="517"/>
      <c r="H98" s="517"/>
      <c r="I98" s="517"/>
      <c r="J98" s="517"/>
      <c r="K98" s="518"/>
      <c r="L98" s="519"/>
      <c r="M98" s="520"/>
      <c r="N98" s="879"/>
      <c r="O98" s="879"/>
      <c r="P98" s="1771"/>
      <c r="Q98" s="439"/>
    </row>
    <row r="99" spans="1:17" ht="15.75" thickBot="1">
      <c r="A99" s="375"/>
      <c r="B99" s="500"/>
      <c r="C99" s="521"/>
      <c r="D99" s="521"/>
      <c r="E99" s="521"/>
      <c r="F99" s="521"/>
      <c r="G99" s="521"/>
      <c r="H99" s="521"/>
      <c r="I99" s="521"/>
      <c r="J99" s="521"/>
      <c r="K99" s="521"/>
      <c r="L99" s="521"/>
      <c r="M99" s="522"/>
      <c r="N99" s="880"/>
      <c r="O99" s="880"/>
      <c r="P99" s="1771"/>
      <c r="Q99" s="439"/>
    </row>
    <row r="100" spans="1:17">
      <c r="A100" s="379" t="s">
        <v>1694</v>
      </c>
      <c r="B100" s="460" t="s">
        <v>1734</v>
      </c>
      <c r="C100" s="3148" t="s">
        <v>3438</v>
      </c>
      <c r="D100" s="3148" t="s">
        <v>3439</v>
      </c>
      <c r="E100" s="3148" t="s">
        <v>3426</v>
      </c>
      <c r="F100" s="462"/>
      <c r="G100" s="462"/>
      <c r="H100" s="462"/>
      <c r="I100" s="462"/>
      <c r="J100" s="462"/>
      <c r="K100" s="463"/>
      <c r="L100" s="464"/>
      <c r="M100" s="465"/>
      <c r="N100" s="879"/>
      <c r="O100" s="879"/>
      <c r="P100" s="1771"/>
      <c r="Q100" s="439"/>
    </row>
    <row r="101" spans="1:17" ht="15.75" thickBot="1">
      <c r="A101" s="367"/>
      <c r="B101" s="474"/>
      <c r="C101" s="475">
        <v>100</v>
      </c>
      <c r="D101" s="475">
        <f t="shared" ref="D101:M101" si="39">C101-$K32</f>
        <v>99.5</v>
      </c>
      <c r="E101" s="475">
        <f t="shared" si="39"/>
        <v>99</v>
      </c>
      <c r="F101" s="475">
        <f t="shared" si="39"/>
        <v>98.5</v>
      </c>
      <c r="G101" s="475">
        <f t="shared" si="39"/>
        <v>98</v>
      </c>
      <c r="H101" s="475">
        <f t="shared" si="39"/>
        <v>97.5</v>
      </c>
      <c r="I101" s="475">
        <f t="shared" si="39"/>
        <v>97</v>
      </c>
      <c r="J101" s="475">
        <f t="shared" si="39"/>
        <v>96.5</v>
      </c>
      <c r="K101" s="475">
        <f t="shared" si="39"/>
        <v>96</v>
      </c>
      <c r="L101" s="475">
        <f t="shared" si="39"/>
        <v>95.5</v>
      </c>
      <c r="M101" s="475">
        <f t="shared" si="39"/>
        <v>95</v>
      </c>
      <c r="N101" s="880"/>
      <c r="O101" s="880"/>
      <c r="P101" s="1771"/>
      <c r="Q101" s="439"/>
    </row>
    <row r="102" spans="1:17" ht="15.75" thickTop="1">
      <c r="A102" s="367"/>
      <c r="B102" s="469" t="s">
        <v>1735</v>
      </c>
      <c r="C102" s="509" t="str">
        <f>C103&amp;"(含)"&amp;"-"&amp;D103</f>
        <v>0(含)-90</v>
      </c>
      <c r="D102" s="509" t="str">
        <f t="shared" ref="D102:L102" si="40">D103&amp;"(含)"&amp;"-"&amp;E103</f>
        <v>90(含)-140</v>
      </c>
      <c r="E102" s="509" t="str">
        <f t="shared" si="40"/>
        <v>140(含)-200</v>
      </c>
      <c r="F102" s="509" t="str">
        <f t="shared" si="40"/>
        <v>200(含)-300</v>
      </c>
      <c r="G102" s="509" t="str">
        <f t="shared" si="40"/>
        <v>300(含)-</v>
      </c>
      <c r="H102" s="509" t="str">
        <f t="shared" si="40"/>
        <v>(含)-</v>
      </c>
      <c r="I102" s="509" t="str">
        <f t="shared" si="40"/>
        <v>(含)-</v>
      </c>
      <c r="J102" s="509" t="str">
        <f t="shared" si="40"/>
        <v>(含)-</v>
      </c>
      <c r="K102" s="509" t="str">
        <f>K103&amp;"(含)"&amp;"-"&amp;L103</f>
        <v>(含)-5</v>
      </c>
      <c r="L102" s="509" t="str">
        <f t="shared" si="40"/>
        <v>5(含)-</v>
      </c>
      <c r="M102" s="509" t="str">
        <f>M103&amp;"(含)"&amp;"-"&amp;P103</f>
        <v>(含)-</v>
      </c>
      <c r="N102" s="878"/>
      <c r="O102" s="878"/>
      <c r="P102" s="1771"/>
      <c r="Q102" s="439"/>
    </row>
    <row r="103" spans="1:17" s="408" customFormat="1">
      <c r="A103" s="406"/>
      <c r="B103" s="523"/>
      <c r="C103" s="6">
        <v>0</v>
      </c>
      <c r="D103" s="6">
        <v>90</v>
      </c>
      <c r="E103" s="6">
        <v>140</v>
      </c>
      <c r="F103" s="6">
        <v>200</v>
      </c>
      <c r="G103" s="6">
        <v>300</v>
      </c>
      <c r="H103" s="6"/>
      <c r="I103" s="6"/>
      <c r="J103" s="524"/>
      <c r="K103" s="524"/>
      <c r="L103" s="524">
        <v>5</v>
      </c>
      <c r="M103" s="526"/>
      <c r="N103" s="881"/>
      <c r="O103" s="881"/>
      <c r="P103" s="1772"/>
      <c r="Q103" s="490"/>
    </row>
    <row r="104" spans="1:17" s="408" customFormat="1" ht="15.75" thickBot="1">
      <c r="A104" s="484"/>
      <c r="B104" s="474"/>
      <c r="C104" s="467">
        <f>D104+$L$103</f>
        <v>115</v>
      </c>
      <c r="D104" s="467">
        <f>E104+$L$103</f>
        <v>110</v>
      </c>
      <c r="E104" s="467">
        <f>F104+$L$103</f>
        <v>105</v>
      </c>
      <c r="F104" s="467">
        <v>100</v>
      </c>
      <c r="G104" s="467">
        <f>F104-$L$103</f>
        <v>95</v>
      </c>
      <c r="H104" s="467"/>
      <c r="I104" s="3174"/>
      <c r="J104" s="467"/>
      <c r="K104" s="467"/>
      <c r="L104" s="467"/>
      <c r="M104" s="467"/>
      <c r="N104" s="880"/>
      <c r="O104" s="880"/>
      <c r="P104" s="1772"/>
      <c r="Q104" s="490"/>
    </row>
    <row r="105" spans="1:17" ht="15" thickTop="1">
      <c r="A105" s="409"/>
      <c r="B105" s="469" t="s">
        <v>1736</v>
      </c>
      <c r="C105" s="3141" t="s">
        <v>3401</v>
      </c>
      <c r="D105" s="3141" t="s">
        <v>3436</v>
      </c>
      <c r="E105" s="513"/>
      <c r="F105" s="513"/>
      <c r="G105" s="513"/>
      <c r="H105" s="513"/>
      <c r="I105" s="513"/>
      <c r="J105" s="513"/>
      <c r="K105" s="514"/>
      <c r="L105" s="515"/>
      <c r="M105" s="516"/>
      <c r="N105" s="879"/>
      <c r="O105" s="879"/>
      <c r="P105" s="1771"/>
      <c r="Q105" s="439"/>
    </row>
    <row r="106" spans="1:17" ht="15.75" thickBot="1">
      <c r="A106" s="367"/>
      <c r="B106" s="474"/>
      <c r="C106" s="475">
        <v>100</v>
      </c>
      <c r="D106" s="475">
        <f t="shared" ref="D106:M106" si="41">C106-$K34</f>
        <v>99.5</v>
      </c>
      <c r="E106" s="475">
        <f t="shared" si="41"/>
        <v>99</v>
      </c>
      <c r="F106" s="475">
        <f t="shared" si="41"/>
        <v>98.5</v>
      </c>
      <c r="G106" s="475">
        <f t="shared" si="41"/>
        <v>98</v>
      </c>
      <c r="H106" s="475">
        <f t="shared" si="41"/>
        <v>97.5</v>
      </c>
      <c r="I106" s="475">
        <f t="shared" si="41"/>
        <v>97</v>
      </c>
      <c r="J106" s="475">
        <f t="shared" si="41"/>
        <v>96.5</v>
      </c>
      <c r="K106" s="475">
        <f t="shared" si="41"/>
        <v>96</v>
      </c>
      <c r="L106" s="475">
        <f t="shared" si="41"/>
        <v>95.5</v>
      </c>
      <c r="M106" s="475">
        <f t="shared" si="41"/>
        <v>95</v>
      </c>
      <c r="N106" s="880"/>
      <c r="O106" s="880"/>
      <c r="P106" s="1771"/>
      <c r="Q106" s="439"/>
    </row>
    <row r="107" spans="1:17" ht="15" thickTop="1">
      <c r="A107" s="409"/>
      <c r="B107" s="3175" t="s">
        <v>3440</v>
      </c>
      <c r="C107" s="3163" t="s">
        <v>1719</v>
      </c>
      <c r="D107" s="3163" t="s">
        <v>1720</v>
      </c>
      <c r="E107" s="3163" t="s">
        <v>1721</v>
      </c>
      <c r="F107" s="3163" t="s">
        <v>1722</v>
      </c>
      <c r="G107" s="3163" t="s">
        <v>1723</v>
      </c>
      <c r="H107" s="513"/>
      <c r="I107" s="513"/>
      <c r="J107" s="513"/>
      <c r="K107" s="514"/>
      <c r="L107" s="515"/>
      <c r="M107" s="516"/>
      <c r="N107" s="879"/>
      <c r="O107" s="879"/>
      <c r="P107" s="1771"/>
      <c r="Q107" s="439"/>
    </row>
    <row r="108" spans="1:17" ht="15.75" thickBot="1">
      <c r="A108" s="367"/>
      <c r="B108" s="474"/>
      <c r="C108" s="475">
        <v>100</v>
      </c>
      <c r="D108" s="475">
        <f t="shared" ref="D108:M108" si="42">C108-$K35</f>
        <v>97</v>
      </c>
      <c r="E108" s="475">
        <f t="shared" si="42"/>
        <v>94</v>
      </c>
      <c r="F108" s="475">
        <f t="shared" si="42"/>
        <v>91</v>
      </c>
      <c r="G108" s="475">
        <f t="shared" si="42"/>
        <v>88</v>
      </c>
      <c r="H108" s="475">
        <f t="shared" si="42"/>
        <v>85</v>
      </c>
      <c r="I108" s="475">
        <f t="shared" si="42"/>
        <v>82</v>
      </c>
      <c r="J108" s="475">
        <f t="shared" si="42"/>
        <v>79</v>
      </c>
      <c r="K108" s="475">
        <f t="shared" si="42"/>
        <v>76</v>
      </c>
      <c r="L108" s="475">
        <f t="shared" si="42"/>
        <v>73</v>
      </c>
      <c r="M108" s="475">
        <f t="shared" si="42"/>
        <v>70</v>
      </c>
      <c r="N108" s="880"/>
      <c r="O108" s="880"/>
      <c r="P108" s="1771"/>
      <c r="Q108" s="439"/>
    </row>
    <row r="109" spans="1:17" ht="15" thickTop="1">
      <c r="A109" s="409"/>
      <c r="B109" s="469" t="s">
        <v>1737</v>
      </c>
      <c r="C109" s="3141" t="s">
        <v>3402</v>
      </c>
      <c r="D109" s="485"/>
      <c r="E109" s="485"/>
      <c r="F109" s="513"/>
      <c r="G109" s="513"/>
      <c r="H109" s="513"/>
      <c r="I109" s="513"/>
      <c r="J109" s="513"/>
      <c r="K109" s="514"/>
      <c r="L109" s="515"/>
      <c r="M109" s="516"/>
      <c r="N109" s="879"/>
      <c r="O109" s="879"/>
      <c r="P109" s="1771"/>
      <c r="Q109" s="439"/>
    </row>
    <row r="110" spans="1:17" ht="15.75" thickBot="1">
      <c r="A110" s="367"/>
      <c r="B110" s="474"/>
      <c r="C110" s="475">
        <v>100</v>
      </c>
      <c r="D110" s="475">
        <f t="shared" ref="D110:M110" si="43">C110-$K36</f>
        <v>100</v>
      </c>
      <c r="E110" s="475">
        <f t="shared" si="43"/>
        <v>100</v>
      </c>
      <c r="F110" s="475">
        <f t="shared" si="43"/>
        <v>100</v>
      </c>
      <c r="G110" s="475">
        <f t="shared" si="43"/>
        <v>100</v>
      </c>
      <c r="H110" s="475">
        <f t="shared" si="43"/>
        <v>100</v>
      </c>
      <c r="I110" s="475">
        <f t="shared" si="43"/>
        <v>100</v>
      </c>
      <c r="J110" s="475">
        <f t="shared" si="43"/>
        <v>100</v>
      </c>
      <c r="K110" s="475">
        <f t="shared" si="43"/>
        <v>100</v>
      </c>
      <c r="L110" s="475">
        <f t="shared" si="43"/>
        <v>100</v>
      </c>
      <c r="M110" s="475">
        <f t="shared" si="43"/>
        <v>100</v>
      </c>
      <c r="N110" s="880"/>
      <c r="O110" s="880"/>
      <c r="P110" s="1771"/>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2"/>
      <c r="Q112" s="490"/>
    </row>
    <row r="113" spans="1:17" s="408" customFormat="1" ht="15.75" thickBot="1">
      <c r="A113" s="484"/>
      <c r="B113" s="474"/>
      <c r="C113" s="512">
        <v>100</v>
      </c>
      <c r="D113" s="475">
        <f>C113+$K37</f>
        <v>100.5</v>
      </c>
      <c r="E113" s="475">
        <f>D113+$K37</f>
        <v>101</v>
      </c>
      <c r="F113" s="475">
        <f>E113+$K37</f>
        <v>101.5</v>
      </c>
      <c r="G113" s="475">
        <f>F113+$K37</f>
        <v>102</v>
      </c>
      <c r="H113" s="475">
        <f>G113+$K37</f>
        <v>102.5</v>
      </c>
      <c r="I113" s="512"/>
      <c r="J113" s="534"/>
      <c r="K113" s="534"/>
      <c r="L113" s="534"/>
      <c r="M113" s="535"/>
      <c r="N113" s="881"/>
      <c r="O113" s="881"/>
      <c r="P113" s="1772"/>
      <c r="Q113" s="490"/>
    </row>
    <row r="114" spans="1:17" ht="15" thickTop="1">
      <c r="A114" s="409"/>
      <c r="B114" s="469" t="s">
        <v>1738</v>
      </c>
      <c r="C114" s="3141" t="s">
        <v>3403</v>
      </c>
      <c r="D114" s="3141" t="s">
        <v>3434</v>
      </c>
      <c r="E114" s="513"/>
      <c r="F114" s="513"/>
      <c r="G114" s="513"/>
      <c r="H114" s="513"/>
      <c r="I114" s="513"/>
      <c r="J114" s="513"/>
      <c r="K114" s="514"/>
      <c r="L114" s="515"/>
      <c r="M114" s="516"/>
      <c r="N114" s="879"/>
      <c r="O114" s="879"/>
      <c r="P114" s="1771"/>
      <c r="Q114" s="439"/>
    </row>
    <row r="115" spans="1:17" ht="15.75" thickBot="1">
      <c r="A115" s="367"/>
      <c r="B115" s="474"/>
      <c r="C115" s="475">
        <v>100</v>
      </c>
      <c r="D115" s="475">
        <f t="shared" ref="D115:M115" si="44">C115-$K38</f>
        <v>99</v>
      </c>
      <c r="E115" s="475">
        <f t="shared" si="44"/>
        <v>98</v>
      </c>
      <c r="F115" s="475">
        <f t="shared" si="44"/>
        <v>97</v>
      </c>
      <c r="G115" s="475">
        <f t="shared" si="44"/>
        <v>96</v>
      </c>
      <c r="H115" s="475">
        <f t="shared" si="44"/>
        <v>95</v>
      </c>
      <c r="I115" s="475">
        <f t="shared" si="44"/>
        <v>94</v>
      </c>
      <c r="J115" s="475">
        <f t="shared" si="44"/>
        <v>93</v>
      </c>
      <c r="K115" s="475">
        <f t="shared" si="44"/>
        <v>92</v>
      </c>
      <c r="L115" s="475">
        <f t="shared" si="44"/>
        <v>91</v>
      </c>
      <c r="M115" s="475">
        <f t="shared" si="44"/>
        <v>90</v>
      </c>
      <c r="N115" s="880"/>
      <c r="O115" s="880"/>
      <c r="P115" s="1771"/>
      <c r="Q115" s="439"/>
    </row>
    <row r="116" spans="1:17" ht="15" thickTop="1">
      <c r="A116" s="409"/>
      <c r="B116" s="469" t="s">
        <v>1739</v>
      </c>
      <c r="C116" s="3141" t="s">
        <v>3404</v>
      </c>
      <c r="D116" s="3141" t="s">
        <v>3405</v>
      </c>
      <c r="E116" s="485"/>
      <c r="F116" s="485"/>
      <c r="G116" s="485"/>
      <c r="H116" s="513"/>
      <c r="I116" s="513"/>
      <c r="J116" s="513"/>
      <c r="K116" s="514"/>
      <c r="L116" s="515"/>
      <c r="M116" s="516"/>
      <c r="N116" s="879"/>
      <c r="O116" s="879"/>
      <c r="P116" s="1771"/>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1"/>
      <c r="Q117" s="439"/>
    </row>
    <row r="118" spans="1:17" ht="15" thickTop="1">
      <c r="A118" s="409"/>
      <c r="B118" s="469" t="s">
        <v>1740</v>
      </c>
      <c r="C118" s="3149" t="s">
        <v>3407</v>
      </c>
      <c r="D118" s="513"/>
      <c r="E118" s="513"/>
      <c r="F118" s="513"/>
      <c r="G118" s="513"/>
      <c r="H118" s="513"/>
      <c r="I118" s="513"/>
      <c r="J118" s="513"/>
      <c r="K118" s="514"/>
      <c r="L118" s="515"/>
      <c r="M118" s="516"/>
      <c r="N118" s="879"/>
      <c r="O118" s="879"/>
      <c r="P118" s="1771"/>
      <c r="Q118" s="439"/>
    </row>
    <row r="119" spans="1:17" ht="15.75" thickBot="1">
      <c r="A119" s="367"/>
      <c r="B119" s="474"/>
      <c r="C119" s="475">
        <v>100</v>
      </c>
      <c r="D119" s="475">
        <f t="shared" ref="D119:M119" si="45">C119-$K40</f>
        <v>100</v>
      </c>
      <c r="E119" s="475">
        <f t="shared" si="45"/>
        <v>100</v>
      </c>
      <c r="F119" s="475">
        <f t="shared" si="45"/>
        <v>100</v>
      </c>
      <c r="G119" s="475">
        <f t="shared" si="45"/>
        <v>100</v>
      </c>
      <c r="H119" s="475">
        <f t="shared" si="45"/>
        <v>100</v>
      </c>
      <c r="I119" s="475">
        <f t="shared" si="45"/>
        <v>100</v>
      </c>
      <c r="J119" s="475">
        <f t="shared" si="45"/>
        <v>100</v>
      </c>
      <c r="K119" s="475">
        <f t="shared" si="45"/>
        <v>100</v>
      </c>
      <c r="L119" s="475">
        <f t="shared" si="45"/>
        <v>100</v>
      </c>
      <c r="M119" s="475">
        <f t="shared" si="45"/>
        <v>100</v>
      </c>
      <c r="N119" s="880"/>
      <c r="O119" s="880"/>
      <c r="P119" s="1771"/>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2"/>
      <c r="Q120" s="490"/>
    </row>
    <row r="121" spans="1:17" s="408" customFormat="1" ht="15.75" thickBot="1">
      <c r="A121" s="484"/>
      <c r="B121" s="466"/>
      <c r="C121" s="491"/>
      <c r="D121" s="467"/>
      <c r="E121" s="467"/>
      <c r="F121" s="467"/>
      <c r="G121" s="467"/>
      <c r="H121" s="467"/>
      <c r="I121" s="467"/>
      <c r="J121" s="467"/>
      <c r="K121" s="467"/>
      <c r="L121" s="467"/>
      <c r="M121" s="467"/>
      <c r="N121" s="881"/>
      <c r="O121" s="881"/>
      <c r="P121" s="1772"/>
      <c r="Q121" s="490"/>
    </row>
    <row r="122" spans="1:17" ht="15" thickTop="1">
      <c r="A122" s="409"/>
      <c r="B122" s="469" t="s">
        <v>1741</v>
      </c>
      <c r="C122" s="3141" t="s">
        <v>3408</v>
      </c>
      <c r="D122" s="3141" t="s">
        <v>4020</v>
      </c>
      <c r="E122" s="485"/>
      <c r="F122" s="513"/>
      <c r="G122" s="513"/>
      <c r="H122" s="513"/>
      <c r="I122" s="513"/>
      <c r="J122" s="513"/>
      <c r="K122" s="514"/>
      <c r="L122" s="515"/>
      <c r="M122" s="516"/>
      <c r="N122" s="879"/>
      <c r="O122" s="879"/>
      <c r="P122" s="1771"/>
      <c r="Q122" s="439"/>
    </row>
    <row r="123" spans="1:17" ht="15.75" thickBot="1">
      <c r="A123" s="367"/>
      <c r="B123" s="474"/>
      <c r="C123" s="475">
        <v>100</v>
      </c>
      <c r="D123" s="475">
        <f t="shared" ref="D123:M123" si="46">C123-$K42</f>
        <v>98</v>
      </c>
      <c r="E123" s="475">
        <f t="shared" si="46"/>
        <v>96</v>
      </c>
      <c r="F123" s="475">
        <f t="shared" si="46"/>
        <v>94</v>
      </c>
      <c r="G123" s="475">
        <f t="shared" si="46"/>
        <v>92</v>
      </c>
      <c r="H123" s="475">
        <f t="shared" si="46"/>
        <v>90</v>
      </c>
      <c r="I123" s="475">
        <f t="shared" si="46"/>
        <v>88</v>
      </c>
      <c r="J123" s="475">
        <f t="shared" si="46"/>
        <v>86</v>
      </c>
      <c r="K123" s="475">
        <f t="shared" si="46"/>
        <v>84</v>
      </c>
      <c r="L123" s="475">
        <f t="shared" si="46"/>
        <v>82</v>
      </c>
      <c r="M123" s="475">
        <f t="shared" si="46"/>
        <v>80</v>
      </c>
      <c r="N123" s="880"/>
      <c r="O123" s="880"/>
      <c r="P123" s="1771"/>
      <c r="Q123" s="439"/>
    </row>
    <row r="124" spans="1:17" ht="15" thickTop="1">
      <c r="A124" s="409"/>
      <c r="B124" s="469" t="s">
        <v>1742</v>
      </c>
      <c r="C124" s="509" t="s">
        <v>1719</v>
      </c>
      <c r="D124" s="509" t="s">
        <v>1720</v>
      </c>
      <c r="E124" s="509" t="s">
        <v>1721</v>
      </c>
      <c r="F124" s="509" t="s">
        <v>1722</v>
      </c>
      <c r="G124" s="509" t="s">
        <v>1723</v>
      </c>
      <c r="H124" s="470"/>
      <c r="I124" s="470"/>
      <c r="J124" s="470"/>
      <c r="K124" s="471"/>
      <c r="L124" s="472"/>
      <c r="M124" s="473"/>
      <c r="N124" s="879"/>
      <c r="O124" s="879"/>
      <c r="P124" s="1772"/>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1"/>
      <c r="Q125" s="439"/>
    </row>
    <row r="126" spans="1:17" s="408" customFormat="1" ht="15" thickTop="1">
      <c r="A126" s="406"/>
      <c r="B126" s="469">
        <f>B44</f>
        <v>111</v>
      </c>
      <c r="C126" s="3141">
        <f>C44</f>
        <v>0</v>
      </c>
      <c r="D126" s="3141">
        <f>G44</f>
        <v>0</v>
      </c>
      <c r="E126" s="485">
        <f>E44</f>
        <v>0</v>
      </c>
      <c r="F126" s="485">
        <f>I44</f>
        <v>0</v>
      </c>
      <c r="G126" s="485"/>
      <c r="H126" s="486"/>
      <c r="I126" s="486">
        <v>4</v>
      </c>
      <c r="J126" s="486"/>
      <c r="K126" s="486"/>
      <c r="L126" s="487"/>
      <c r="M126" s="488"/>
      <c r="N126" s="881"/>
      <c r="O126" s="881"/>
      <c r="P126" s="1772"/>
      <c r="Q126" s="490"/>
    </row>
    <row r="127" spans="1:17" s="408" customFormat="1" ht="15.75" thickBot="1">
      <c r="A127" s="484"/>
      <c r="B127" s="474"/>
      <c r="C127" s="491">
        <v>100</v>
      </c>
      <c r="D127" s="467">
        <f>C127-$I$126</f>
        <v>96</v>
      </c>
      <c r="E127" s="467">
        <f>D127-$I$126</f>
        <v>92</v>
      </c>
      <c r="F127" s="467">
        <f t="shared" ref="F127" si="47">E127-$I$126</f>
        <v>88</v>
      </c>
      <c r="G127" s="491"/>
      <c r="H127" s="493"/>
      <c r="I127" s="493"/>
      <c r="J127" s="493"/>
      <c r="K127" s="493"/>
      <c r="L127" s="493"/>
      <c r="M127" s="494"/>
      <c r="N127" s="881"/>
      <c r="O127" s="881"/>
      <c r="P127" s="1772"/>
      <c r="Q127" s="490"/>
    </row>
    <row r="128" spans="1:17" ht="15" thickTop="1">
      <c r="A128" s="409"/>
      <c r="B128" s="469">
        <f>B45</f>
        <v>111</v>
      </c>
      <c r="C128" s="485"/>
      <c r="D128" s="485"/>
      <c r="E128" s="485"/>
      <c r="F128" s="485"/>
      <c r="G128" s="513"/>
      <c r="H128" s="513"/>
      <c r="I128" s="513"/>
      <c r="J128" s="513"/>
      <c r="K128" s="514"/>
      <c r="L128" s="515"/>
      <c r="M128" s="516"/>
      <c r="N128" s="879"/>
      <c r="O128" s="879"/>
      <c r="P128" s="1771"/>
      <c r="Q128" s="439"/>
    </row>
    <row r="129" spans="1:17" ht="15.75" thickBot="1">
      <c r="A129" s="367"/>
      <c r="B129" s="474"/>
      <c r="C129" s="491"/>
      <c r="D129" s="491"/>
      <c r="E129" s="491"/>
      <c r="F129" s="491"/>
      <c r="G129" s="467"/>
      <c r="H129" s="467"/>
      <c r="I129" s="467"/>
      <c r="J129" s="467"/>
      <c r="K129" s="467"/>
      <c r="L129" s="467"/>
      <c r="M129" s="468"/>
      <c r="N129" s="880"/>
      <c r="O129" s="880"/>
      <c r="P129" s="1771"/>
      <c r="Q129" s="439"/>
    </row>
    <row r="130" spans="1:17" ht="15" thickTop="1">
      <c r="A130" s="409"/>
      <c r="B130" s="477">
        <f>B46</f>
        <v>111</v>
      </c>
      <c r="C130" s="485"/>
      <c r="D130" s="485"/>
      <c r="E130" s="485"/>
      <c r="F130" s="485"/>
      <c r="G130" s="517"/>
      <c r="H130" s="517"/>
      <c r="I130" s="517"/>
      <c r="J130" s="517"/>
      <c r="K130" s="31"/>
      <c r="L130" s="457"/>
      <c r="M130" s="520"/>
      <c r="N130" s="879"/>
      <c r="O130" s="879"/>
      <c r="P130" s="1771"/>
      <c r="Q130" s="439"/>
    </row>
    <row r="131" spans="1:17" ht="15.75" thickBot="1">
      <c r="A131" s="375"/>
      <c r="B131" s="500"/>
      <c r="C131" s="501"/>
      <c r="D131" s="501"/>
      <c r="E131" s="501"/>
      <c r="F131" s="501"/>
      <c r="G131" s="521"/>
      <c r="H131" s="521"/>
      <c r="I131" s="521"/>
      <c r="J131" s="521"/>
      <c r="K131" s="521"/>
      <c r="L131" s="521"/>
      <c r="M131" s="522"/>
      <c r="N131" s="880"/>
      <c r="O131" s="880"/>
      <c r="P131" s="1771"/>
      <c r="Q131" s="439"/>
    </row>
    <row r="136" spans="1:17" ht="15" thickBot="1">
      <c r="B136" s="1777" t="s">
        <v>1743</v>
      </c>
    </row>
    <row r="137" spans="1:17" ht="15">
      <c r="B137" s="1778" t="s">
        <v>1744</v>
      </c>
      <c r="C137" s="1779"/>
      <c r="D137" s="1779"/>
      <c r="E137" s="1779"/>
      <c r="F137" s="1779"/>
      <c r="G137" s="1780"/>
      <c r="H137" s="1781"/>
      <c r="I137" s="1782" t="s">
        <v>1745</v>
      </c>
      <c r="J137" s="1779"/>
      <c r="K137" s="1783"/>
    </row>
    <row r="138" spans="1:17" ht="15">
      <c r="B138" s="1784"/>
      <c r="C138" s="129" t="s">
        <v>1746</v>
      </c>
      <c r="D138" s="129" t="s">
        <v>1747</v>
      </c>
      <c r="E138" s="1785" t="s">
        <v>1748</v>
      </c>
      <c r="F138" s="1786" t="s">
        <v>1749</v>
      </c>
      <c r="G138" s="129" t="s">
        <v>1747</v>
      </c>
      <c r="H138" s="130" t="s">
        <v>1748</v>
      </c>
      <c r="I138" s="1787"/>
      <c r="J138" s="129" t="s">
        <v>1750</v>
      </c>
      <c r="K138" s="130" t="s">
        <v>1751</v>
      </c>
    </row>
    <row r="139" spans="1:17" ht="15">
      <c r="B139" s="814">
        <v>6</v>
      </c>
      <c r="C139" s="815">
        <v>96</v>
      </c>
      <c r="D139" s="1788" t="s">
        <v>1752</v>
      </c>
      <c r="E139" s="816">
        <v>100</v>
      </c>
      <c r="F139" s="817">
        <v>102.5</v>
      </c>
      <c r="G139" s="1788" t="s">
        <v>1752</v>
      </c>
      <c r="H139" s="818">
        <v>105</v>
      </c>
      <c r="I139" s="1789" t="s">
        <v>1753</v>
      </c>
      <c r="J139" s="815">
        <v>20</v>
      </c>
      <c r="K139" s="819">
        <f>C145/(J139-2)</f>
        <v>4.0555555555555553E-3</v>
      </c>
    </row>
    <row r="140" spans="1:17" ht="15">
      <c r="B140" s="820">
        <v>5</v>
      </c>
      <c r="C140" s="821">
        <v>100</v>
      </c>
      <c r="D140" s="821"/>
      <c r="E140" s="822"/>
      <c r="F140" s="823">
        <v>102</v>
      </c>
      <c r="G140" s="821"/>
      <c r="H140" s="824"/>
      <c r="I140" s="1790" t="s">
        <v>1754</v>
      </c>
      <c r="J140" s="263">
        <f>ROUNDUP((J139-1)/2,0)</f>
        <v>10</v>
      </c>
      <c r="K140" s="825">
        <v>100</v>
      </c>
    </row>
    <row r="141" spans="1:17" ht="15">
      <c r="B141" s="820">
        <v>4</v>
      </c>
      <c r="C141" s="821">
        <v>102</v>
      </c>
      <c r="D141" s="821"/>
      <c r="E141" s="822"/>
      <c r="F141" s="823">
        <v>101.5</v>
      </c>
      <c r="G141" s="821"/>
      <c r="H141" s="824"/>
      <c r="I141" s="1790" t="s">
        <v>1755</v>
      </c>
      <c r="J141" s="263">
        <v>1</v>
      </c>
      <c r="K141" s="826">
        <f>ROUND(100+(J141-J140)*K139*100,1)</f>
        <v>96.4</v>
      </c>
    </row>
    <row r="142" spans="1:17" ht="15">
      <c r="B142" s="820">
        <v>3</v>
      </c>
      <c r="C142" s="821">
        <v>103</v>
      </c>
      <c r="D142" s="821"/>
      <c r="E142" s="822"/>
      <c r="F142" s="823">
        <v>101</v>
      </c>
      <c r="G142" s="821"/>
      <c r="H142" s="824"/>
      <c r="I142" s="1790" t="s">
        <v>1756</v>
      </c>
      <c r="J142" s="263">
        <f>J139</f>
        <v>20</v>
      </c>
      <c r="K142" s="827">
        <v>95</v>
      </c>
    </row>
    <row r="143" spans="1:17" ht="15">
      <c r="B143" s="820">
        <v>2</v>
      </c>
      <c r="C143" s="821">
        <v>100</v>
      </c>
      <c r="D143" s="821"/>
      <c r="E143" s="822"/>
      <c r="F143" s="823">
        <v>100.5</v>
      </c>
      <c r="G143" s="821"/>
      <c r="H143" s="824"/>
      <c r="I143" s="1790" t="s">
        <v>1757</v>
      </c>
      <c r="J143" s="821">
        <v>15</v>
      </c>
      <c r="K143" s="826">
        <f>ROUND(100+(J143-J140)*K139*100,1)</f>
        <v>102</v>
      </c>
    </row>
    <row r="144" spans="1:17" ht="15">
      <c r="B144" s="820">
        <v>1</v>
      </c>
      <c r="C144" s="821">
        <v>98</v>
      </c>
      <c r="D144" s="1791" t="s">
        <v>1758</v>
      </c>
      <c r="E144" s="822">
        <v>102</v>
      </c>
      <c r="F144" s="828">
        <v>100</v>
      </c>
      <c r="G144" s="1791" t="s">
        <v>1758</v>
      </c>
      <c r="H144" s="824">
        <v>105</v>
      </c>
      <c r="I144" s="1790" t="s">
        <v>1757</v>
      </c>
      <c r="J144" s="821">
        <v>18</v>
      </c>
      <c r="K144" s="826">
        <f>ROUND(100+(J144-J140)*K139*100,1)</f>
        <v>103.2</v>
      </c>
    </row>
    <row r="145" spans="2:11" ht="15.75" thickBot="1">
      <c r="B145" s="1792" t="s">
        <v>1759</v>
      </c>
      <c r="C145" s="829">
        <f>ROUND(MAX(C139:C144)/MIN(C139:C144)-1,3)</f>
        <v>7.2999999999999995E-2</v>
      </c>
      <c r="D145" s="830"/>
      <c r="E145" s="830"/>
      <c r="F145" s="1793" t="s">
        <v>1760</v>
      </c>
      <c r="G145" s="1794"/>
      <c r="H145" s="1795"/>
      <c r="I145" s="1796" t="s">
        <v>1757</v>
      </c>
      <c r="J145" s="831">
        <v>8</v>
      </c>
      <c r="K145" s="832">
        <f>ROUND(100+(J145-J140)*K139*100,1)</f>
        <v>99.2</v>
      </c>
    </row>
    <row r="147" spans="2:11">
      <c r="B147" s="1777" t="s">
        <v>1761</v>
      </c>
    </row>
    <row r="148" spans="2:11">
      <c r="B148" s="1777" t="s">
        <v>1762</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1763</v>
      </c>
      <c r="C1" s="1154" t="s">
        <v>1662</v>
      </c>
      <c r="D1" s="1141"/>
      <c r="E1" s="3120"/>
      <c r="F1" s="1734"/>
      <c r="G1" s="1151" t="s">
        <v>1764</v>
      </c>
      <c r="H1" s="1150"/>
      <c r="I1" s="1150"/>
      <c r="J1" s="1150"/>
      <c r="K1" s="1152"/>
      <c r="L1" s="1153"/>
      <c r="M1" s="1154"/>
      <c r="N1" s="1154"/>
      <c r="O1" s="1154"/>
      <c r="P1" s="1797"/>
      <c r="Q1" s="1798"/>
      <c r="R1" s="1798"/>
      <c r="S1" s="1798"/>
      <c r="T1" s="1798"/>
      <c r="U1" s="1798"/>
      <c r="V1" s="1798"/>
      <c r="W1" s="1798"/>
      <c r="X1" s="1798"/>
      <c r="Y1" s="1798"/>
      <c r="Z1" s="1798"/>
      <c r="AA1" s="1798"/>
      <c r="AB1" s="1798"/>
      <c r="AC1" s="1799"/>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1800"/>
      <c r="Q2" s="859"/>
      <c r="R2" s="859"/>
      <c r="S2" s="859"/>
      <c r="T2" s="859"/>
      <c r="U2" s="859"/>
      <c r="V2" s="859"/>
      <c r="W2" s="859"/>
      <c r="X2" s="859"/>
      <c r="Y2" s="859"/>
      <c r="Z2" s="859"/>
      <c r="AA2" s="859"/>
      <c r="AB2" s="859"/>
      <c r="AC2" s="1801"/>
    </row>
    <row r="3" spans="1:29" s="342" customFormat="1" ht="28.5" customHeight="1" thickBot="1">
      <c r="A3" s="195" t="s">
        <v>1464</v>
      </c>
      <c r="B3" s="536">
        <f>IF(C2="——",C49,ROUND(B2*10000/D3,0))</f>
        <v>0</v>
      </c>
      <c r="C3" s="344" t="s">
        <v>1765</v>
      </c>
      <c r="D3" s="343">
        <f>IF(D1="",'数据-汇总表'!E3,SUMIF('数据-汇总表'!$C19:$C33,D1,'数据-汇总表'!$E19:$E33))</f>
        <v>204.54</v>
      </c>
      <c r="E3" s="1801"/>
      <c r="F3" s="856"/>
      <c r="G3" s="855"/>
      <c r="H3" s="855"/>
      <c r="I3" s="855"/>
      <c r="J3" s="855"/>
      <c r="K3" s="857"/>
      <c r="L3" s="2499"/>
      <c r="M3" s="2500"/>
      <c r="N3" s="2500"/>
      <c r="O3" s="2500"/>
      <c r="P3" s="1800"/>
      <c r="Q3" s="859"/>
      <c r="R3" s="859"/>
      <c r="S3" s="859"/>
      <c r="T3" s="859"/>
      <c r="U3" s="859"/>
      <c r="V3" s="859"/>
      <c r="W3" s="859"/>
      <c r="X3" s="859"/>
      <c r="Y3" s="859"/>
      <c r="Z3" s="859"/>
      <c r="AA3" s="859"/>
      <c r="AB3" s="859"/>
      <c r="AC3" s="1801"/>
    </row>
    <row r="4" spans="1:29" ht="15">
      <c r="A4" s="345" t="s">
        <v>1766</v>
      </c>
      <c r="B4" s="346"/>
      <c r="C4" s="3841" t="s">
        <v>1767</v>
      </c>
      <c r="D4" s="3842"/>
      <c r="E4" s="3843" t="s">
        <v>1768</v>
      </c>
      <c r="F4" s="3844"/>
      <c r="G4" s="3841" t="s">
        <v>1769</v>
      </c>
      <c r="H4" s="3842"/>
      <c r="I4" s="3841" t="s">
        <v>1770</v>
      </c>
      <c r="J4" s="3842"/>
      <c r="K4" s="537" t="s">
        <v>1771</v>
      </c>
      <c r="L4" s="2482"/>
      <c r="M4" s="2483"/>
      <c r="N4" s="2483"/>
      <c r="O4" s="2483"/>
      <c r="P4" s="3845" t="s">
        <v>1772</v>
      </c>
      <c r="Q4" s="3846"/>
      <c r="R4" s="3827" t="s">
        <v>1768</v>
      </c>
      <c r="S4" s="3828"/>
      <c r="T4" s="3827" t="s">
        <v>1769</v>
      </c>
      <c r="U4" s="3828"/>
      <c r="V4" s="3853" t="s">
        <v>1770</v>
      </c>
      <c r="W4" s="3853"/>
      <c r="X4" s="1264"/>
      <c r="Y4" s="3827" t="s">
        <v>1772</v>
      </c>
      <c r="Z4" s="3828"/>
      <c r="AA4" s="3822" t="s">
        <v>1768</v>
      </c>
      <c r="AB4" s="3853" t="s">
        <v>1769</v>
      </c>
      <c r="AC4" s="3822" t="s">
        <v>1770</v>
      </c>
    </row>
    <row r="5" spans="1:29" ht="15">
      <c r="A5" s="348"/>
      <c r="B5" s="349"/>
      <c r="C5" s="3869" t="s">
        <v>1673</v>
      </c>
      <c r="D5" s="3834"/>
      <c r="E5" s="3868" t="s">
        <v>1674</v>
      </c>
      <c r="F5" s="3832"/>
      <c r="G5" s="3869" t="s">
        <v>1675</v>
      </c>
      <c r="H5" s="3834"/>
      <c r="I5" s="3869" t="s">
        <v>1676</v>
      </c>
      <c r="J5" s="3834"/>
      <c r="K5" s="537"/>
      <c r="L5" s="2482"/>
      <c r="M5" s="2483"/>
      <c r="N5" s="2483"/>
      <c r="O5" s="2483"/>
      <c r="P5" s="3847"/>
      <c r="Q5" s="3848"/>
      <c r="R5" s="3829"/>
      <c r="S5" s="3830"/>
      <c r="T5" s="3829"/>
      <c r="U5" s="3830"/>
      <c r="V5" s="3853"/>
      <c r="W5" s="3853"/>
      <c r="X5" s="1264"/>
      <c r="Y5" s="3829"/>
      <c r="Z5" s="3830"/>
      <c r="AA5" s="3823"/>
      <c r="AB5" s="3853"/>
      <c r="AC5" s="3823"/>
    </row>
    <row r="6" spans="1:29" ht="15.75" thickBot="1">
      <c r="A6" s="350"/>
      <c r="B6" s="351"/>
      <c r="C6" s="3835" t="s">
        <v>1677</v>
      </c>
      <c r="D6" s="3836"/>
      <c r="E6" s="3838" t="s">
        <v>1677</v>
      </c>
      <c r="F6" s="3839"/>
      <c r="G6" s="3835" t="s">
        <v>1677</v>
      </c>
      <c r="H6" s="3836"/>
      <c r="I6" s="3835" t="s">
        <v>1677</v>
      </c>
      <c r="J6" s="3836"/>
      <c r="K6" s="537" t="s">
        <v>1678</v>
      </c>
      <c r="L6" s="2482"/>
      <c r="M6" s="2483"/>
      <c r="N6" s="2483"/>
      <c r="O6" s="2483"/>
      <c r="P6" s="3849"/>
      <c r="Q6" s="3850"/>
      <c r="R6" s="3829"/>
      <c r="S6" s="3830"/>
      <c r="T6" s="3851"/>
      <c r="U6" s="3852"/>
      <c r="V6" s="3853"/>
      <c r="W6" s="3853"/>
      <c r="X6" s="1264"/>
      <c r="Y6" s="3851"/>
      <c r="Z6" s="3852"/>
      <c r="AA6" s="3824"/>
      <c r="AB6" s="3853"/>
      <c r="AC6" s="3824"/>
    </row>
    <row r="7" spans="1:29" s="102" customFormat="1" ht="15.75" thickBot="1">
      <c r="A7" s="352" t="s">
        <v>1679</v>
      </c>
      <c r="B7" s="353"/>
      <c r="C7" s="354">
        <f>'数据-取费表'!B2</f>
        <v>38867</v>
      </c>
      <c r="D7" s="355">
        <v>100</v>
      </c>
      <c r="E7" s="356"/>
      <c r="F7" s="357">
        <f>SUMIF(58:58,YEAR(E7)&amp;"-"&amp;MONTH(E7),59:59)</f>
        <v>0</v>
      </c>
      <c r="G7" s="356"/>
      <c r="H7" s="355">
        <f>SUMIF(58:58,YEAR(G7)&amp;"-"&amp;MONTH(G7),59:59)</f>
        <v>0</v>
      </c>
      <c r="I7" s="356"/>
      <c r="J7" s="355">
        <f>SUMIF(58:58,YEAR(I7)&amp;"-"&amp;MONTH(I7),59:59)</f>
        <v>0</v>
      </c>
      <c r="K7" s="38"/>
      <c r="L7" s="2484"/>
      <c r="M7" s="2435"/>
      <c r="N7" s="2435"/>
      <c r="O7" s="2435"/>
      <c r="P7" s="3825" t="s">
        <v>1680</v>
      </c>
      <c r="Q7" s="3854"/>
      <c r="R7" s="664" t="s">
        <v>14</v>
      </c>
      <c r="S7" s="665">
        <f t="shared" ref="S7:S15" si="0">F7</f>
        <v>0</v>
      </c>
      <c r="T7" s="664" t="s">
        <v>14</v>
      </c>
      <c r="U7" s="665">
        <f t="shared" ref="U7:U15" si="1">H7</f>
        <v>0</v>
      </c>
      <c r="V7" s="664" t="s">
        <v>14</v>
      </c>
      <c r="W7" s="665">
        <f t="shared" ref="W7:W15" si="2">J7</f>
        <v>0</v>
      </c>
      <c r="X7" s="666"/>
      <c r="Y7" s="3825" t="s">
        <v>1680</v>
      </c>
      <c r="Z7" s="382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825" t="s">
        <v>1683</v>
      </c>
      <c r="Q8" s="3826"/>
      <c r="R8" s="664" t="s">
        <v>14</v>
      </c>
      <c r="S8" s="665">
        <f t="shared" si="0"/>
        <v>100</v>
      </c>
      <c r="T8" s="664" t="s">
        <v>14</v>
      </c>
      <c r="U8" s="665">
        <f t="shared" si="1"/>
        <v>100</v>
      </c>
      <c r="V8" s="664" t="s">
        <v>14</v>
      </c>
      <c r="W8" s="665">
        <f t="shared" si="2"/>
        <v>100</v>
      </c>
      <c r="X8" s="666"/>
      <c r="Y8" s="3825" t="s">
        <v>1683</v>
      </c>
      <c r="Z8" s="382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840" t="s">
        <v>1686</v>
      </c>
      <c r="Q9" s="530" t="str">
        <f t="shared" ref="Q9:Q15" si="6">B9</f>
        <v>用途</v>
      </c>
      <c r="R9" s="664" t="s">
        <v>14</v>
      </c>
      <c r="S9" s="665">
        <f t="shared" si="0"/>
        <v>100</v>
      </c>
      <c r="T9" s="664" t="s">
        <v>14</v>
      </c>
      <c r="U9" s="665">
        <f t="shared" si="1"/>
        <v>100</v>
      </c>
      <c r="V9" s="664" t="s">
        <v>14</v>
      </c>
      <c r="W9" s="665">
        <f t="shared" si="2"/>
        <v>100</v>
      </c>
      <c r="X9" s="666"/>
      <c r="Y9" s="3769"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840"/>
      <c r="Q10" s="530" t="str">
        <f t="shared" si="6"/>
        <v>土地使用年限（年）</v>
      </c>
      <c r="R10" s="664" t="s">
        <v>14</v>
      </c>
      <c r="S10" s="665">
        <f t="shared" si="0"/>
        <v>100</v>
      </c>
      <c r="T10" s="664" t="s">
        <v>14</v>
      </c>
      <c r="U10" s="665">
        <f t="shared" si="1"/>
        <v>100</v>
      </c>
      <c r="V10" s="664" t="s">
        <v>14</v>
      </c>
      <c r="W10" s="665">
        <f t="shared" si="2"/>
        <v>100</v>
      </c>
      <c r="X10" s="666"/>
      <c r="Y10" s="376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840"/>
      <c r="Q11" s="530" t="str">
        <f t="shared" si="6"/>
        <v>容积率</v>
      </c>
      <c r="R11" s="664" t="s">
        <v>14</v>
      </c>
      <c r="S11" s="665" t="e">
        <f t="shared" si="0"/>
        <v>#N/A</v>
      </c>
      <c r="T11" s="664" t="s">
        <v>14</v>
      </c>
      <c r="U11" s="665" t="e">
        <f t="shared" si="1"/>
        <v>#N/A</v>
      </c>
      <c r="V11" s="664" t="s">
        <v>14</v>
      </c>
      <c r="W11" s="665" t="e">
        <f t="shared" si="2"/>
        <v>#N/A</v>
      </c>
      <c r="X11" s="666"/>
      <c r="Y11" s="376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840"/>
      <c r="Q12" s="530">
        <f t="shared" si="6"/>
        <v>111</v>
      </c>
      <c r="R12" s="664" t="s">
        <v>14</v>
      </c>
      <c r="S12" s="665">
        <f t="shared" si="0"/>
        <v>100</v>
      </c>
      <c r="T12" s="664" t="s">
        <v>14</v>
      </c>
      <c r="U12" s="665">
        <f t="shared" si="1"/>
        <v>100</v>
      </c>
      <c r="V12" s="664" t="s">
        <v>14</v>
      </c>
      <c r="W12" s="665">
        <f t="shared" si="2"/>
        <v>100</v>
      </c>
      <c r="X12" s="666"/>
      <c r="Y12" s="37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840"/>
      <c r="Q13" s="530">
        <f t="shared" si="6"/>
        <v>111</v>
      </c>
      <c r="R13" s="664" t="s">
        <v>14</v>
      </c>
      <c r="S13" s="665">
        <f t="shared" si="0"/>
        <v>100</v>
      </c>
      <c r="T13" s="664" t="s">
        <v>14</v>
      </c>
      <c r="U13" s="665">
        <f t="shared" si="1"/>
        <v>100</v>
      </c>
      <c r="V13" s="664" t="s">
        <v>14</v>
      </c>
      <c r="W13" s="665">
        <f t="shared" si="2"/>
        <v>100</v>
      </c>
      <c r="X13" s="666"/>
      <c r="Y13" s="3769"/>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840"/>
      <c r="Q14" s="530">
        <f t="shared" si="6"/>
        <v>111</v>
      </c>
      <c r="R14" s="664" t="s">
        <v>14</v>
      </c>
      <c r="S14" s="665">
        <f t="shared" si="0"/>
        <v>100</v>
      </c>
      <c r="T14" s="664" t="s">
        <v>14</v>
      </c>
      <c r="U14" s="665">
        <f t="shared" si="1"/>
        <v>100</v>
      </c>
      <c r="V14" s="664" t="s">
        <v>14</v>
      </c>
      <c r="W14" s="665">
        <f t="shared" si="2"/>
        <v>100</v>
      </c>
      <c r="X14" s="666"/>
      <c r="Y14" s="3769"/>
      <c r="Z14" s="50">
        <f t="shared" si="7"/>
        <v>111</v>
      </c>
      <c r="AA14" s="50">
        <f t="shared" si="3"/>
        <v>1</v>
      </c>
      <c r="AB14" s="50">
        <f t="shared" si="4"/>
        <v>1</v>
      </c>
      <c r="AC14" s="50">
        <f t="shared" si="5"/>
        <v>1</v>
      </c>
    </row>
    <row r="15" spans="1:29" ht="71.25">
      <c r="A15" s="379" t="s">
        <v>1690</v>
      </c>
      <c r="B15" s="58" t="s">
        <v>1774</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866" t="s">
        <v>1691</v>
      </c>
      <c r="Q15" s="1262" t="str">
        <f t="shared" si="6"/>
        <v>商业繁华度</v>
      </c>
      <c r="R15" s="667" t="s">
        <v>14</v>
      </c>
      <c r="S15" s="668">
        <f t="shared" si="0"/>
        <v>100</v>
      </c>
      <c r="T15" s="667" t="s">
        <v>14</v>
      </c>
      <c r="U15" s="668">
        <f t="shared" si="1"/>
        <v>100</v>
      </c>
      <c r="V15" s="667" t="s">
        <v>14</v>
      </c>
      <c r="W15" s="668">
        <f t="shared" si="2"/>
        <v>100</v>
      </c>
      <c r="X15" s="1264"/>
      <c r="Y15" s="3859"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867"/>
      <c r="Q16" s="1262"/>
      <c r="R16" s="667"/>
      <c r="S16" s="668"/>
      <c r="T16" s="667"/>
      <c r="U16" s="668"/>
      <c r="V16" s="667"/>
      <c r="W16" s="668"/>
      <c r="X16" s="1264"/>
      <c r="Y16" s="3860"/>
      <c r="Z16" s="1263"/>
      <c r="AA16" s="1263">
        <v>1</v>
      </c>
      <c r="AB16" s="1263">
        <v>1</v>
      </c>
      <c r="AC16" s="1263">
        <v>1</v>
      </c>
    </row>
    <row r="17" spans="1:29" ht="57">
      <c r="A17" s="367"/>
      <c r="B17" s="390" t="s">
        <v>1259</v>
      </c>
      <c r="C17" s="1752" t="str">
        <f>估价对象房地状况!C6</f>
        <v>周边有601路、709路等多条公交线路，综合评价交通便捷度一般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867"/>
      <c r="Q17" s="1262" t="str">
        <f>B17</f>
        <v>交通便捷度</v>
      </c>
      <c r="R17" s="667" t="s">
        <v>14</v>
      </c>
      <c r="S17" s="668">
        <f>F17</f>
        <v>100</v>
      </c>
      <c r="T17" s="667" t="s">
        <v>14</v>
      </c>
      <c r="U17" s="668">
        <f>H17</f>
        <v>100</v>
      </c>
      <c r="V17" s="667" t="s">
        <v>14</v>
      </c>
      <c r="W17" s="668">
        <f>J17</f>
        <v>100</v>
      </c>
      <c r="X17" s="1264"/>
      <c r="Y17" s="3860"/>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88"/>
      <c r="M18" s="2483"/>
      <c r="N18" s="2483"/>
      <c r="O18" s="2483"/>
      <c r="P18" s="3867"/>
      <c r="Q18" s="1262"/>
      <c r="R18" s="667"/>
      <c r="S18" s="668"/>
      <c r="T18" s="667"/>
      <c r="U18" s="668"/>
      <c r="V18" s="667"/>
      <c r="W18" s="668"/>
      <c r="X18" s="1264"/>
      <c r="Y18" s="3860"/>
      <c r="Z18" s="1263"/>
      <c r="AA18" s="1263">
        <v>1</v>
      </c>
      <c r="AB18" s="1263">
        <v>1</v>
      </c>
      <c r="AC18" s="1263">
        <v>1</v>
      </c>
    </row>
    <row r="19" spans="1:29" ht="199.5">
      <c r="A19" s="367"/>
      <c r="B19" s="390" t="s">
        <v>1775</v>
      </c>
      <c r="C19" s="1752" t="str">
        <f>估价对象房地状况!C7</f>
        <v>银行：等金融机构；
医院：中国人民解放军第304医院等医疗机构；
学校：首都师范大学、首都师范大学附属中学等教育机构；
商业：社区级商业设施；
综合评价公共服务设施齐备度一般。</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867"/>
      <c r="Q19" s="1262" t="str">
        <f>B19</f>
        <v>公共配套设施</v>
      </c>
      <c r="R19" s="667" t="s">
        <v>14</v>
      </c>
      <c r="S19" s="668">
        <f>F19</f>
        <v>100</v>
      </c>
      <c r="T19" s="667" t="s">
        <v>14</v>
      </c>
      <c r="U19" s="668">
        <f>H19</f>
        <v>100</v>
      </c>
      <c r="V19" s="667" t="s">
        <v>14</v>
      </c>
      <c r="W19" s="668">
        <f>J19</f>
        <v>100</v>
      </c>
      <c r="X19" s="1264"/>
      <c r="Y19" s="3860"/>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88"/>
      <c r="M20" s="2483"/>
      <c r="N20" s="2483"/>
      <c r="O20" s="2483"/>
      <c r="P20" s="3867"/>
      <c r="Q20" s="1262"/>
      <c r="R20" s="667"/>
      <c r="S20" s="668"/>
      <c r="T20" s="667"/>
      <c r="U20" s="668"/>
      <c r="V20" s="667"/>
      <c r="W20" s="668"/>
      <c r="X20" s="1264"/>
      <c r="Y20" s="3860"/>
      <c r="Z20" s="1263"/>
      <c r="AA20" s="1263">
        <v>1</v>
      </c>
      <c r="AB20" s="1263">
        <v>1</v>
      </c>
      <c r="AC20" s="1263">
        <v>1</v>
      </c>
    </row>
    <row r="21" spans="1:29" ht="28.5">
      <c r="A21" s="367"/>
      <c r="B21" s="586" t="s">
        <v>1776</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867"/>
      <c r="Q21" s="1262" t="str">
        <f>B21</f>
        <v>基础设施水平</v>
      </c>
      <c r="R21" s="667" t="s">
        <v>14</v>
      </c>
      <c r="S21" s="668">
        <f>F21</f>
        <v>100</v>
      </c>
      <c r="T21" s="667" t="s">
        <v>14</v>
      </c>
      <c r="U21" s="668">
        <f>H21</f>
        <v>100</v>
      </c>
      <c r="V21" s="667" t="s">
        <v>14</v>
      </c>
      <c r="W21" s="668">
        <f>J21</f>
        <v>100</v>
      </c>
      <c r="X21" s="1264"/>
      <c r="Y21" s="3860"/>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2488"/>
      <c r="M22" s="2483"/>
      <c r="N22" s="2483"/>
      <c r="O22" s="2483"/>
      <c r="P22" s="3867"/>
      <c r="Q22" s="1262"/>
      <c r="R22" s="667"/>
      <c r="S22" s="668"/>
      <c r="T22" s="667"/>
      <c r="U22" s="668"/>
      <c r="V22" s="667"/>
      <c r="W22" s="668"/>
      <c r="X22" s="1264"/>
      <c r="Y22" s="3860"/>
      <c r="Z22" s="1263"/>
      <c r="AA22" s="1263">
        <v>1</v>
      </c>
      <c r="AB22" s="1263">
        <v>1</v>
      </c>
      <c r="AC22" s="1263">
        <v>1</v>
      </c>
    </row>
    <row r="23" spans="1:29" ht="71.25">
      <c r="A23" s="367"/>
      <c r="B23" s="390" t="s">
        <v>1261</v>
      </c>
      <c r="C23" s="1802" t="str">
        <f>估价对象房地状况!C9</f>
        <v>人文环境：首都师范大学等人文场所；
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867"/>
      <c r="Q23" s="1262" t="str">
        <f>B23</f>
        <v>自然及人文环境</v>
      </c>
      <c r="R23" s="667" t="s">
        <v>14</v>
      </c>
      <c r="S23" s="668">
        <f>F23</f>
        <v>100</v>
      </c>
      <c r="T23" s="667" t="s">
        <v>14</v>
      </c>
      <c r="U23" s="668">
        <f>H23</f>
        <v>100</v>
      </c>
      <c r="V23" s="667" t="s">
        <v>14</v>
      </c>
      <c r="W23" s="668">
        <f>J23</f>
        <v>100</v>
      </c>
      <c r="X23" s="1264"/>
      <c r="Y23" s="3860"/>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88"/>
      <c r="M24" s="2483"/>
      <c r="N24" s="2483"/>
      <c r="O24" s="2483"/>
      <c r="P24" s="3867"/>
      <c r="Q24" s="1262"/>
      <c r="R24" s="667"/>
      <c r="S24" s="668"/>
      <c r="T24" s="667"/>
      <c r="U24" s="668"/>
      <c r="V24" s="667"/>
      <c r="W24" s="668"/>
      <c r="X24" s="1264"/>
      <c r="Y24" s="3860"/>
      <c r="Z24" s="1263"/>
      <c r="AA24" s="1263">
        <v>1</v>
      </c>
      <c r="AB24" s="1263">
        <v>1</v>
      </c>
      <c r="AC24" s="1263">
        <v>1</v>
      </c>
    </row>
    <row r="25" spans="1:29" ht="15">
      <c r="A25" s="367"/>
      <c r="B25" s="364" t="s">
        <v>1777</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867"/>
      <c r="Q25" s="1262" t="str">
        <f t="shared" ref="Q25:Q46" si="11">B25</f>
        <v>临街状况</v>
      </c>
      <c r="R25" s="667" t="s">
        <v>14</v>
      </c>
      <c r="S25" s="668">
        <f>F25</f>
        <v>100</v>
      </c>
      <c r="T25" s="667" t="s">
        <v>14</v>
      </c>
      <c r="U25" s="668">
        <f>H25</f>
        <v>100</v>
      </c>
      <c r="V25" s="667" t="s">
        <v>14</v>
      </c>
      <c r="W25" s="668">
        <f>J25</f>
        <v>100</v>
      </c>
      <c r="X25" s="1264"/>
      <c r="Y25" s="3860"/>
      <c r="Z25" s="1263" t="str">
        <f>Q25</f>
        <v>临街状况</v>
      </c>
      <c r="AA25" s="1263">
        <f t="shared" si="3"/>
        <v>1</v>
      </c>
      <c r="AB25" s="1263">
        <f t="shared" si="4"/>
        <v>1</v>
      </c>
      <c r="AC25" s="1263">
        <f t="shared" si="5"/>
        <v>1</v>
      </c>
    </row>
    <row r="26" spans="1:29" ht="15">
      <c r="A26" s="367"/>
      <c r="B26" s="1066" t="s">
        <v>1778</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867"/>
      <c r="Q26" s="1262" t="str">
        <f t="shared" si="11"/>
        <v>平面位置/可视性</v>
      </c>
      <c r="R26" s="667" t="s">
        <v>14</v>
      </c>
      <c r="S26" s="668">
        <f>F26</f>
        <v>100</v>
      </c>
      <c r="T26" s="667" t="s">
        <v>14</v>
      </c>
      <c r="U26" s="668">
        <f>H26</f>
        <v>100</v>
      </c>
      <c r="V26" s="667" t="s">
        <v>14</v>
      </c>
      <c r="W26" s="668">
        <f>J26</f>
        <v>100</v>
      </c>
      <c r="X26" s="1264"/>
      <c r="Y26" s="3860"/>
      <c r="Z26" s="1263" t="str">
        <f>Q26</f>
        <v>平面位置/可视性</v>
      </c>
      <c r="AA26" s="1263">
        <f t="shared" si="3"/>
        <v>1</v>
      </c>
      <c r="AB26" s="1263">
        <f t="shared" si="4"/>
        <v>1</v>
      </c>
      <c r="AC26" s="1263">
        <f t="shared" si="5"/>
        <v>1</v>
      </c>
    </row>
    <row r="27" spans="1:29" s="102" customFormat="1" ht="15">
      <c r="A27" s="370"/>
      <c r="B27" s="390" t="s">
        <v>1779</v>
      </c>
      <c r="C27" s="1803"/>
      <c r="D27" s="401">
        <v>100</v>
      </c>
      <c r="E27" s="1803"/>
      <c r="F27" s="395">
        <f>SUMIF(90:90,E27,91:91)-SUMIF(90:90,C27,91:91)+100</f>
        <v>100</v>
      </c>
      <c r="G27" s="1803"/>
      <c r="H27" s="401">
        <f>SUMIF(90:90,G27,91:91)-SUMIF(90:90,C27,91:91)+100</f>
        <v>100</v>
      </c>
      <c r="I27" s="1803"/>
      <c r="J27" s="401">
        <f>SUMIF(90:90,I27,91:91)-SUMIF(90:90,C27,91:91)+100</f>
        <v>100</v>
      </c>
      <c r="K27" s="538"/>
      <c r="L27" s="2484"/>
      <c r="M27" s="2435"/>
      <c r="N27" s="2435"/>
      <c r="O27" s="2435"/>
      <c r="P27" s="3867"/>
      <c r="Q27" s="530" t="str">
        <f t="shared" si="11"/>
        <v>人流量</v>
      </c>
      <c r="R27" s="664" t="s">
        <v>14</v>
      </c>
      <c r="S27" s="665">
        <f>F27</f>
        <v>100</v>
      </c>
      <c r="T27" s="664" t="s">
        <v>14</v>
      </c>
      <c r="U27" s="665">
        <f>H27</f>
        <v>100</v>
      </c>
      <c r="V27" s="664" t="s">
        <v>14</v>
      </c>
      <c r="W27" s="665">
        <f>J27</f>
        <v>100</v>
      </c>
      <c r="X27" s="666"/>
      <c r="Y27" s="3860"/>
      <c r="Z27" s="50" t="str">
        <f>Q27</f>
        <v>人流量</v>
      </c>
      <c r="AA27" s="1263">
        <f>D27/F27</f>
        <v>1</v>
      </c>
      <c r="AB27" s="1263">
        <f>D27/H27</f>
        <v>1</v>
      </c>
      <c r="AC27" s="1263">
        <f>D27/J27</f>
        <v>1</v>
      </c>
    </row>
    <row r="28" spans="1:29" ht="15">
      <c r="A28" s="367"/>
      <c r="B28" s="364" t="s">
        <v>1780</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867"/>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860"/>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867"/>
      <c r="Q29" s="1262">
        <f t="shared" si="11"/>
        <v>111</v>
      </c>
      <c r="R29" s="667" t="s">
        <v>14</v>
      </c>
      <c r="S29" s="668">
        <f t="shared" si="12"/>
        <v>100</v>
      </c>
      <c r="T29" s="667" t="s">
        <v>14</v>
      </c>
      <c r="U29" s="668">
        <f t="shared" si="13"/>
        <v>100</v>
      </c>
      <c r="V29" s="667" t="s">
        <v>14</v>
      </c>
      <c r="W29" s="668">
        <f t="shared" si="14"/>
        <v>100</v>
      </c>
      <c r="X29" s="1264"/>
      <c r="Y29" s="3860"/>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867"/>
      <c r="Q30" s="1262">
        <f t="shared" si="11"/>
        <v>111</v>
      </c>
      <c r="R30" s="667" t="s">
        <v>14</v>
      </c>
      <c r="S30" s="668">
        <f t="shared" si="12"/>
        <v>100</v>
      </c>
      <c r="T30" s="667" t="s">
        <v>14</v>
      </c>
      <c r="U30" s="668">
        <f t="shared" si="13"/>
        <v>100</v>
      </c>
      <c r="V30" s="667" t="s">
        <v>14</v>
      </c>
      <c r="W30" s="668">
        <f t="shared" si="14"/>
        <v>100</v>
      </c>
      <c r="X30" s="1264"/>
      <c r="Y30" s="3860"/>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867"/>
      <c r="Q31" s="1262">
        <f t="shared" si="11"/>
        <v>111</v>
      </c>
      <c r="R31" s="667" t="s">
        <v>14</v>
      </c>
      <c r="S31" s="668">
        <f t="shared" si="12"/>
        <v>100</v>
      </c>
      <c r="T31" s="667" t="s">
        <v>14</v>
      </c>
      <c r="U31" s="668">
        <f t="shared" si="13"/>
        <v>100</v>
      </c>
      <c r="V31" s="667" t="s">
        <v>14</v>
      </c>
      <c r="W31" s="668">
        <f t="shared" si="14"/>
        <v>100</v>
      </c>
      <c r="X31" s="1264"/>
      <c r="Y31" s="3860"/>
      <c r="Z31" s="1263">
        <f t="shared" si="15"/>
        <v>111</v>
      </c>
      <c r="AA31" s="1263">
        <f t="shared" si="3"/>
        <v>1</v>
      </c>
      <c r="AB31" s="1263">
        <f t="shared" si="4"/>
        <v>1</v>
      </c>
      <c r="AC31" s="1263">
        <f t="shared" si="5"/>
        <v>1</v>
      </c>
    </row>
    <row r="32" spans="1:29" ht="15">
      <c r="A32" s="379" t="s">
        <v>1694</v>
      </c>
      <c r="B32" s="60" t="s">
        <v>1781</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88"/>
      <c r="M32" s="2483"/>
      <c r="N32" s="2483"/>
      <c r="O32" s="2483"/>
      <c r="P32" s="3861" t="s">
        <v>1696</v>
      </c>
      <c r="Q32" s="1262" t="str">
        <f t="shared" si="11"/>
        <v>商业类型</v>
      </c>
      <c r="R32" s="667" t="s">
        <v>14</v>
      </c>
      <c r="S32" s="668">
        <f t="shared" si="12"/>
        <v>100</v>
      </c>
      <c r="T32" s="667" t="s">
        <v>14</v>
      </c>
      <c r="U32" s="668">
        <f t="shared" si="13"/>
        <v>100</v>
      </c>
      <c r="V32" s="667" t="s">
        <v>14</v>
      </c>
      <c r="W32" s="668">
        <f t="shared" si="14"/>
        <v>100</v>
      </c>
      <c r="X32" s="1264"/>
      <c r="Y32" s="3864"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862"/>
      <c r="Q33" s="531" t="str">
        <f t="shared" si="11"/>
        <v>项目建筑规模</v>
      </c>
      <c r="R33" s="669" t="s">
        <v>14</v>
      </c>
      <c r="S33" s="670" t="e">
        <f t="shared" si="12"/>
        <v>#N/A</v>
      </c>
      <c r="T33" s="669" t="s">
        <v>14</v>
      </c>
      <c r="U33" s="670" t="e">
        <f t="shared" si="13"/>
        <v>#N/A</v>
      </c>
      <c r="V33" s="669" t="s">
        <v>14</v>
      </c>
      <c r="W33" s="670" t="e">
        <f t="shared" si="14"/>
        <v>#N/A</v>
      </c>
      <c r="X33" s="671"/>
      <c r="Y33" s="3864"/>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862"/>
      <c r="Q34" s="1262" t="str">
        <f t="shared" si="11"/>
        <v>建筑结构</v>
      </c>
      <c r="R34" s="667" t="s">
        <v>14</v>
      </c>
      <c r="S34" s="668">
        <f t="shared" si="12"/>
        <v>100</v>
      </c>
      <c r="T34" s="667" t="s">
        <v>14</v>
      </c>
      <c r="U34" s="668">
        <f t="shared" si="13"/>
        <v>100</v>
      </c>
      <c r="V34" s="667" t="s">
        <v>14</v>
      </c>
      <c r="W34" s="668">
        <f t="shared" si="14"/>
        <v>100</v>
      </c>
      <c r="X34" s="1264"/>
      <c r="Y34" s="3864"/>
      <c r="Z34" s="1263" t="str">
        <f t="shared" si="15"/>
        <v>建筑结构</v>
      </c>
      <c r="AA34" s="1263">
        <f t="shared" si="3"/>
        <v>1</v>
      </c>
      <c r="AB34" s="1263">
        <f t="shared" si="4"/>
        <v>1</v>
      </c>
      <c r="AC34" s="1263">
        <f t="shared" si="5"/>
        <v>1</v>
      </c>
    </row>
    <row r="35" spans="1:29" ht="15">
      <c r="A35" s="409"/>
      <c r="B35" s="364" t="s">
        <v>1782</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8"/>
      <c r="M35" s="2483"/>
      <c r="N35" s="2483"/>
      <c r="O35" s="2483"/>
      <c r="P35" s="3862"/>
      <c r="Q35" s="1262" t="str">
        <f t="shared" si="11"/>
        <v>公共部分装修</v>
      </c>
      <c r="R35" s="667" t="s">
        <v>14</v>
      </c>
      <c r="S35" s="668">
        <f t="shared" si="12"/>
        <v>100</v>
      </c>
      <c r="T35" s="667" t="s">
        <v>14</v>
      </c>
      <c r="U35" s="668">
        <f t="shared" si="13"/>
        <v>100</v>
      </c>
      <c r="V35" s="667" t="s">
        <v>14</v>
      </c>
      <c r="W35" s="668">
        <f t="shared" si="14"/>
        <v>100</v>
      </c>
      <c r="X35" s="1264"/>
      <c r="Y35" s="3864"/>
      <c r="Z35" s="1263" t="str">
        <f t="shared" si="15"/>
        <v>公共部分装修</v>
      </c>
      <c r="AA35" s="1263">
        <f t="shared" si="3"/>
        <v>1</v>
      </c>
      <c r="AB35" s="1263">
        <f t="shared" si="4"/>
        <v>1</v>
      </c>
      <c r="AC35" s="1263">
        <f t="shared" si="5"/>
        <v>1</v>
      </c>
    </row>
    <row r="36" spans="1:29" ht="15">
      <c r="A36" s="409"/>
      <c r="B36" s="364" t="s">
        <v>1783</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862"/>
      <c r="Q36" s="1262" t="str">
        <f t="shared" si="11"/>
        <v>成新度</v>
      </c>
      <c r="R36" s="667" t="s">
        <v>14</v>
      </c>
      <c r="S36" s="668" t="e">
        <f t="shared" si="12"/>
        <v>#N/A</v>
      </c>
      <c r="T36" s="667" t="s">
        <v>14</v>
      </c>
      <c r="U36" s="668" t="e">
        <f t="shared" si="13"/>
        <v>#N/A</v>
      </c>
      <c r="V36" s="667" t="s">
        <v>14</v>
      </c>
      <c r="W36" s="668" t="e">
        <f t="shared" si="14"/>
        <v>#N/A</v>
      </c>
      <c r="X36" s="1264"/>
      <c r="Y36" s="3864"/>
      <c r="Z36" s="1263" t="str">
        <f t="shared" si="15"/>
        <v>成新度</v>
      </c>
      <c r="AA36" s="1263" t="e">
        <f t="shared" si="3"/>
        <v>#N/A</v>
      </c>
      <c r="AB36" s="1263" t="e">
        <f t="shared" si="4"/>
        <v>#N/A</v>
      </c>
      <c r="AC36" s="1263" t="e">
        <f t="shared" si="5"/>
        <v>#N/A</v>
      </c>
    </row>
    <row r="37" spans="1:29" s="102" customFormat="1" ht="15">
      <c r="A37" s="410"/>
      <c r="B37" s="364" t="s">
        <v>1784</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4"/>
      <c r="M37" s="2435"/>
      <c r="N37" s="2435"/>
      <c r="O37" s="2435"/>
      <c r="P37" s="3862"/>
      <c r="Q37" s="530" t="str">
        <f t="shared" si="11"/>
        <v>市政基础设施</v>
      </c>
      <c r="R37" s="664" t="s">
        <v>14</v>
      </c>
      <c r="S37" s="665">
        <f t="shared" si="12"/>
        <v>100</v>
      </c>
      <c r="T37" s="664" t="s">
        <v>14</v>
      </c>
      <c r="U37" s="665">
        <f t="shared" si="13"/>
        <v>100</v>
      </c>
      <c r="V37" s="664" t="s">
        <v>14</v>
      </c>
      <c r="W37" s="665">
        <f t="shared" si="14"/>
        <v>100</v>
      </c>
      <c r="X37" s="666"/>
      <c r="Y37" s="3864"/>
      <c r="Z37" s="50" t="str">
        <f t="shared" si="15"/>
        <v>市政基础设施</v>
      </c>
      <c r="AA37" s="50">
        <f t="shared" si="3"/>
        <v>1</v>
      </c>
      <c r="AB37" s="50">
        <f t="shared" si="4"/>
        <v>1</v>
      </c>
      <c r="AC37" s="50">
        <f t="shared" si="5"/>
        <v>1</v>
      </c>
    </row>
    <row r="38" spans="1:29" ht="15">
      <c r="A38" s="409"/>
      <c r="B38" s="364" t="s">
        <v>1785</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88"/>
      <c r="M38" s="2483"/>
      <c r="N38" s="2483"/>
      <c r="O38" s="2483"/>
      <c r="P38" s="3862" t="s">
        <v>1696</v>
      </c>
      <c r="Q38" s="1262" t="str">
        <f t="shared" si="11"/>
        <v>业态</v>
      </c>
      <c r="R38" s="667" t="s">
        <v>14</v>
      </c>
      <c r="S38" s="668">
        <f t="shared" si="12"/>
        <v>100</v>
      </c>
      <c r="T38" s="667" t="s">
        <v>14</v>
      </c>
      <c r="U38" s="668">
        <f t="shared" si="13"/>
        <v>100</v>
      </c>
      <c r="V38" s="667" t="s">
        <v>14</v>
      </c>
      <c r="W38" s="668">
        <f t="shared" si="14"/>
        <v>100</v>
      </c>
      <c r="X38" s="1264"/>
      <c r="Y38" s="3864" t="s">
        <v>1696</v>
      </c>
      <c r="Z38" s="1263" t="str">
        <f t="shared" si="15"/>
        <v>业态</v>
      </c>
      <c r="AA38" s="1263">
        <f t="shared" si="3"/>
        <v>1</v>
      </c>
      <c r="AB38" s="1263">
        <f t="shared" si="4"/>
        <v>1</v>
      </c>
      <c r="AC38" s="1263">
        <f t="shared" si="5"/>
        <v>1</v>
      </c>
    </row>
    <row r="39" spans="1:29" ht="15">
      <c r="A39" s="409"/>
      <c r="B39" s="364" t="s">
        <v>1786</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88"/>
      <c r="M39" s="2483"/>
      <c r="N39" s="2483"/>
      <c r="O39" s="2483"/>
      <c r="P39" s="3862"/>
      <c r="Q39" s="1262" t="str">
        <f t="shared" si="11"/>
        <v>层高</v>
      </c>
      <c r="R39" s="667" t="s">
        <v>14</v>
      </c>
      <c r="S39" s="668">
        <f t="shared" si="12"/>
        <v>100</v>
      </c>
      <c r="T39" s="667" t="s">
        <v>14</v>
      </c>
      <c r="U39" s="668">
        <f t="shared" si="13"/>
        <v>100</v>
      </c>
      <c r="V39" s="667" t="s">
        <v>14</v>
      </c>
      <c r="W39" s="668">
        <f t="shared" si="14"/>
        <v>100</v>
      </c>
      <c r="X39" s="1264"/>
      <c r="Y39" s="3864"/>
      <c r="Z39" s="1263" t="str">
        <f t="shared" si="15"/>
        <v>层高</v>
      </c>
      <c r="AA39" s="1263">
        <f t="shared" si="3"/>
        <v>1</v>
      </c>
      <c r="AB39" s="1263">
        <f t="shared" si="4"/>
        <v>1</v>
      </c>
      <c r="AC39" s="1263">
        <f t="shared" si="5"/>
        <v>1</v>
      </c>
    </row>
    <row r="40" spans="1:29" ht="1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862"/>
      <c r="Q40" s="1262" t="str">
        <f t="shared" si="11"/>
        <v>单套建筑面积</v>
      </c>
      <c r="R40" s="667" t="s">
        <v>14</v>
      </c>
      <c r="S40" s="668">
        <f t="shared" si="12"/>
        <v>100</v>
      </c>
      <c r="T40" s="667" t="s">
        <v>14</v>
      </c>
      <c r="U40" s="668">
        <f t="shared" si="13"/>
        <v>100</v>
      </c>
      <c r="V40" s="667" t="s">
        <v>14</v>
      </c>
      <c r="W40" s="668">
        <f t="shared" si="14"/>
        <v>100</v>
      </c>
      <c r="X40" s="1264"/>
      <c r="Y40" s="3864"/>
      <c r="Z40" s="1263" t="str">
        <f t="shared" si="15"/>
        <v>单套建筑面积</v>
      </c>
      <c r="AA40" s="1263">
        <f t="shared" si="3"/>
        <v>1</v>
      </c>
      <c r="AB40" s="1263">
        <f t="shared" si="4"/>
        <v>1</v>
      </c>
      <c r="AC40" s="1263">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862"/>
      <c r="Q41" s="531" t="str">
        <f t="shared" si="11"/>
        <v>进深比</v>
      </c>
      <c r="R41" s="669" t="s">
        <v>14</v>
      </c>
      <c r="S41" s="670">
        <f t="shared" si="12"/>
        <v>100</v>
      </c>
      <c r="T41" s="669" t="s">
        <v>14</v>
      </c>
      <c r="U41" s="670">
        <f t="shared" si="13"/>
        <v>100</v>
      </c>
      <c r="V41" s="669" t="s">
        <v>14</v>
      </c>
      <c r="W41" s="670">
        <f t="shared" si="14"/>
        <v>100</v>
      </c>
      <c r="X41" s="671"/>
      <c r="Y41" s="3864"/>
      <c r="Z41" s="672" t="str">
        <f t="shared" si="15"/>
        <v>进深比</v>
      </c>
      <c r="AA41" s="1263">
        <f t="shared" si="3"/>
        <v>1</v>
      </c>
      <c r="AB41" s="1263">
        <f t="shared" si="4"/>
        <v>1</v>
      </c>
      <c r="AC41" s="1263">
        <f t="shared" si="5"/>
        <v>1</v>
      </c>
    </row>
    <row r="42" spans="1:29" ht="15">
      <c r="A42" s="409"/>
      <c r="B42" s="364" t="s">
        <v>1789</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88"/>
      <c r="M42" s="2483"/>
      <c r="N42" s="2483"/>
      <c r="O42" s="2483"/>
      <c r="P42" s="3862"/>
      <c r="Q42" s="1262" t="str">
        <f t="shared" si="11"/>
        <v>内部装修</v>
      </c>
      <c r="R42" s="667" t="s">
        <v>14</v>
      </c>
      <c r="S42" s="668">
        <f t="shared" si="12"/>
        <v>100</v>
      </c>
      <c r="T42" s="667" t="s">
        <v>14</v>
      </c>
      <c r="U42" s="668">
        <f t="shared" si="13"/>
        <v>100</v>
      </c>
      <c r="V42" s="667" t="s">
        <v>14</v>
      </c>
      <c r="W42" s="668">
        <f t="shared" si="14"/>
        <v>100</v>
      </c>
      <c r="X42" s="1264"/>
      <c r="Y42" s="3864"/>
      <c r="Z42" s="1263" t="str">
        <f t="shared" si="15"/>
        <v>内部装修</v>
      </c>
      <c r="AA42" s="1263">
        <f t="shared" si="3"/>
        <v>1</v>
      </c>
      <c r="AB42" s="1263">
        <f t="shared" si="4"/>
        <v>1</v>
      </c>
      <c r="AC42" s="1263">
        <f t="shared" si="5"/>
        <v>1</v>
      </c>
    </row>
    <row r="43" spans="1:29" ht="15">
      <c r="A43" s="409"/>
      <c r="B43" s="364" t="s">
        <v>1705</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88"/>
      <c r="M43" s="2483"/>
      <c r="N43" s="2483"/>
      <c r="O43" s="2483"/>
      <c r="P43" s="3862"/>
      <c r="Q43" s="1262" t="str">
        <f t="shared" si="11"/>
        <v>内部装修维护情况</v>
      </c>
      <c r="R43" s="667" t="s">
        <v>14</v>
      </c>
      <c r="S43" s="668">
        <f t="shared" si="12"/>
        <v>100</v>
      </c>
      <c r="T43" s="667" t="s">
        <v>14</v>
      </c>
      <c r="U43" s="668">
        <f t="shared" si="13"/>
        <v>100</v>
      </c>
      <c r="V43" s="667" t="s">
        <v>14</v>
      </c>
      <c r="W43" s="668">
        <f t="shared" si="14"/>
        <v>100</v>
      </c>
      <c r="X43" s="1264"/>
      <c r="Y43" s="3864"/>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862"/>
      <c r="Q44" s="530">
        <f t="shared" si="11"/>
        <v>111</v>
      </c>
      <c r="R44" s="664" t="s">
        <v>14</v>
      </c>
      <c r="S44" s="665">
        <f t="shared" si="12"/>
        <v>100</v>
      </c>
      <c r="T44" s="664" t="s">
        <v>14</v>
      </c>
      <c r="U44" s="665">
        <f t="shared" si="13"/>
        <v>100</v>
      </c>
      <c r="V44" s="664" t="s">
        <v>14</v>
      </c>
      <c r="W44" s="665">
        <f t="shared" si="14"/>
        <v>100</v>
      </c>
      <c r="X44" s="666"/>
      <c r="Y44" s="386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862"/>
      <c r="Q45" s="1262">
        <f t="shared" si="11"/>
        <v>111</v>
      </c>
      <c r="R45" s="667" t="s">
        <v>14</v>
      </c>
      <c r="S45" s="668">
        <f t="shared" si="12"/>
        <v>100</v>
      </c>
      <c r="T45" s="667" t="s">
        <v>14</v>
      </c>
      <c r="U45" s="668">
        <f t="shared" si="13"/>
        <v>100</v>
      </c>
      <c r="V45" s="667" t="s">
        <v>14</v>
      </c>
      <c r="W45" s="668">
        <f t="shared" si="14"/>
        <v>100</v>
      </c>
      <c r="X45" s="1264"/>
      <c r="Y45" s="3864"/>
      <c r="Z45" s="1263">
        <f t="shared" si="15"/>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863"/>
      <c r="Q46" s="1262">
        <f t="shared" si="11"/>
        <v>111</v>
      </c>
      <c r="R46" s="667" t="s">
        <v>14</v>
      </c>
      <c r="S46" s="668">
        <f t="shared" si="12"/>
        <v>100</v>
      </c>
      <c r="T46" s="667" t="s">
        <v>14</v>
      </c>
      <c r="U46" s="668">
        <f t="shared" si="13"/>
        <v>100</v>
      </c>
      <c r="V46" s="667" t="s">
        <v>14</v>
      </c>
      <c r="W46" s="668">
        <f t="shared" si="14"/>
        <v>100</v>
      </c>
      <c r="X46" s="1264"/>
      <c r="Y46" s="3865"/>
      <c r="Z46" s="1263">
        <f t="shared" si="15"/>
        <v>111</v>
      </c>
      <c r="AA46" s="1263">
        <f t="shared" si="3"/>
        <v>1</v>
      </c>
      <c r="AB46" s="1263">
        <f t="shared" si="4"/>
        <v>1</v>
      </c>
      <c r="AC46" s="1263">
        <f t="shared" si="5"/>
        <v>1</v>
      </c>
    </row>
    <row r="47" spans="1:29" ht="15">
      <c r="A47" s="416" t="s">
        <v>1706</v>
      </c>
      <c r="B47" s="417"/>
      <c r="C47" s="1081" t="s">
        <v>0</v>
      </c>
      <c r="D47" s="418"/>
      <c r="E47" s="419"/>
      <c r="F47" s="420"/>
      <c r="G47" s="421"/>
      <c r="H47" s="422"/>
      <c r="I47" s="419"/>
      <c r="J47" s="422"/>
      <c r="K47" s="674"/>
      <c r="L47" s="2490"/>
      <c r="M47" s="2483"/>
      <c r="N47" s="2483"/>
      <c r="O47" s="2483"/>
      <c r="P47" s="3858" t="str">
        <f>A47</f>
        <v>成交单价（元/平方米）</v>
      </c>
      <c r="Q47" s="3858"/>
      <c r="R47" s="3853">
        <f>E47</f>
        <v>0</v>
      </c>
      <c r="S47" s="3853"/>
      <c r="T47" s="3853">
        <f>G47</f>
        <v>0</v>
      </c>
      <c r="U47" s="3853"/>
      <c r="V47" s="3853">
        <f>I47</f>
        <v>0</v>
      </c>
      <c r="W47" s="3853"/>
      <c r="X47" s="385"/>
      <c r="Y47" s="673"/>
      <c r="Z47" s="385"/>
      <c r="AA47" s="385"/>
      <c r="AB47" s="385"/>
      <c r="AC47" s="385"/>
    </row>
    <row r="48" spans="1:29" ht="15.75" thickBot="1">
      <c r="A48" s="423" t="s">
        <v>1790</v>
      </c>
      <c r="B48" s="424"/>
      <c r="C48" s="1082" t="e">
        <f>R49</f>
        <v>#DIV/0!</v>
      </c>
      <c r="D48" s="2137" t="s">
        <v>2135</v>
      </c>
      <c r="E48" s="1083" t="e">
        <f>R48</f>
        <v>#DIV/0!</v>
      </c>
      <c r="F48" s="2138"/>
      <c r="G48" s="1082" t="e">
        <f>T48</f>
        <v>#DIV/0!</v>
      </c>
      <c r="H48" s="2138"/>
      <c r="I48" s="1083" t="e">
        <f>V48</f>
        <v>#DIV/0!</v>
      </c>
      <c r="J48" s="2138"/>
      <c r="K48" s="2140">
        <f>F48+H48+J48</f>
        <v>0</v>
      </c>
      <c r="L48" s="2490"/>
      <c r="M48" s="2483"/>
      <c r="N48" s="2483"/>
      <c r="O48" s="2483"/>
      <c r="P48" s="3858" t="str">
        <f>A48</f>
        <v>比较价值（元/平方米）</v>
      </c>
      <c r="Q48" s="3858"/>
      <c r="R48" s="3853" t="e">
        <f>IF(F1="售价",ROUND(PRODUCT(R47,AA7:AA46),0),ROUND(PRODUCT(R47,AA7:AA46),1))</f>
        <v>#DIV/0!</v>
      </c>
      <c r="S48" s="3853"/>
      <c r="T48" s="3853" t="e">
        <f>IF(F1="售价",ROUND(PRODUCT(T47,AB7:AB46),0),ROUND(PRODUCT(T47,AB7:AB46),1))</f>
        <v>#DIV/0!</v>
      </c>
      <c r="U48" s="3853"/>
      <c r="V48" s="3853" t="e">
        <f>IF(F1="售价",ROUND(PRODUCT(V47,AC7:AC46),0),ROUND(PRODUCT(V47,AC7:AC46),1))</f>
        <v>#DIV/0!</v>
      </c>
      <c r="W48" s="3853"/>
      <c r="X48" s="385"/>
      <c r="Y48" s="385"/>
      <c r="Z48" s="385"/>
      <c r="AA48" s="385"/>
      <c r="AB48" s="385"/>
      <c r="AC48" s="385"/>
    </row>
    <row r="49" spans="1:29" ht="15.75" thickBot="1">
      <c r="A49" s="427" t="s">
        <v>1791</v>
      </c>
      <c r="B49" s="428"/>
      <c r="C49" s="351" t="e">
        <f>R49</f>
        <v>#DIV/0!</v>
      </c>
      <c r="D49" s="351"/>
      <c r="E49" s="351"/>
      <c r="F49" s="351"/>
      <c r="G49" s="351"/>
      <c r="H49" s="351"/>
      <c r="I49" s="351"/>
      <c r="J49" s="351"/>
      <c r="K49" s="675"/>
      <c r="L49" s="2490"/>
      <c r="M49" s="2483"/>
      <c r="N49" s="2483"/>
      <c r="O49" s="2483"/>
      <c r="P49" s="3855" t="str">
        <f>A49</f>
        <v>估价对象XX用房的比较价值（楼面单价，元/平方米）</v>
      </c>
      <c r="Q49" s="3856"/>
      <c r="R49" s="3857" t="e">
        <f>IF(F1="售价",ROUND(IF(D48="简单平均",AVERAGE(R48:V48),R48*F48+T48*H48+V48*J48),0),ROUND(IF(D48="简单平均",AVERAGE(R48:V48),R48*F48+T48*H48+V48*J48),1))</f>
        <v>#DIV/0!</v>
      </c>
      <c r="S49" s="3857"/>
      <c r="T49" s="3857"/>
      <c r="U49" s="3857"/>
      <c r="V49" s="3857"/>
      <c r="W49" s="385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1792</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1793</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1794</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1795</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5">
      <c r="A58" s="440" t="s">
        <v>1679</v>
      </c>
      <c r="B58" s="441"/>
      <c r="C58" s="1102" t="str">
        <f>YEAR(C7)&amp;"-"&amp;MONTH(C7)</f>
        <v>2006-5</v>
      </c>
      <c r="D58" s="1103">
        <f>EDATE(C58,-1)</f>
        <v>38808</v>
      </c>
      <c r="E58" s="1103">
        <f t="shared" ref="E58:N58" si="16">EDATE(D58,-1)</f>
        <v>38777</v>
      </c>
      <c r="F58" s="1103">
        <f t="shared" si="16"/>
        <v>38749</v>
      </c>
      <c r="G58" s="1103">
        <f t="shared" si="16"/>
        <v>38718</v>
      </c>
      <c r="H58" s="1103">
        <f t="shared" si="16"/>
        <v>38687</v>
      </c>
      <c r="I58" s="1103">
        <f t="shared" si="16"/>
        <v>38657</v>
      </c>
      <c r="J58" s="1103">
        <f t="shared" si="16"/>
        <v>38626</v>
      </c>
      <c r="K58" s="1103">
        <f t="shared" si="16"/>
        <v>38596</v>
      </c>
      <c r="L58" s="1103">
        <f t="shared" si="16"/>
        <v>38565</v>
      </c>
      <c r="M58" s="1103">
        <f t="shared" si="16"/>
        <v>38534</v>
      </c>
      <c r="N58" s="1103">
        <f t="shared" si="16"/>
        <v>38504</v>
      </c>
      <c r="O58" s="1103">
        <f>EDATE(N58,-1)</f>
        <v>38473</v>
      </c>
      <c r="P58" s="2505"/>
      <c r="Q58" s="2506"/>
      <c r="R58" s="2506"/>
      <c r="S58" s="2506"/>
      <c r="T58" s="2506"/>
      <c r="U58" s="2506"/>
      <c r="V58" s="2506"/>
      <c r="W58" s="2506"/>
      <c r="X58" s="2506"/>
      <c r="Y58" s="2506"/>
      <c r="Z58" s="2506"/>
      <c r="AA58" s="2506"/>
      <c r="AB58" s="2506"/>
      <c r="AC58" s="2506"/>
    </row>
    <row r="59" spans="1:29" s="102" customFormat="1" ht="15">
      <c r="A59" s="443"/>
      <c r="B59" s="444"/>
      <c r="C59" s="1101">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75" thickBot="1">
      <c r="A60" s="449" t="s">
        <v>1714</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5">
      <c r="A61" s="455" t="s">
        <v>1681</v>
      </c>
      <c r="B61" s="444"/>
      <c r="C61" s="456" t="s">
        <v>1773</v>
      </c>
      <c r="D61" s="31"/>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c r="A63" s="379" t="s">
        <v>1717</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1718</v>
      </c>
      <c r="C76" s="504" t="s">
        <v>1719</v>
      </c>
      <c r="D76" s="504" t="s">
        <v>1720</v>
      </c>
      <c r="E76" s="504" t="s">
        <v>1721</v>
      </c>
      <c r="F76" s="504" t="s">
        <v>1722</v>
      </c>
      <c r="G76" s="504" t="s">
        <v>1723</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1724</v>
      </c>
      <c r="C78" s="509" t="s">
        <v>1719</v>
      </c>
      <c r="D78" s="509" t="s">
        <v>1720</v>
      </c>
      <c r="E78" s="509" t="s">
        <v>1721</v>
      </c>
      <c r="F78" s="509" t="s">
        <v>1722</v>
      </c>
      <c r="G78" s="509" t="s">
        <v>1723</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1725</v>
      </c>
      <c r="C80" s="509" t="s">
        <v>1719</v>
      </c>
      <c r="D80" s="509" t="s">
        <v>1720</v>
      </c>
      <c r="E80" s="509" t="s">
        <v>1721</v>
      </c>
      <c r="F80" s="509" t="s">
        <v>1722</v>
      </c>
      <c r="G80" s="509" t="s">
        <v>1723</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1776</v>
      </c>
      <c r="C82" s="581" t="s">
        <v>1796</v>
      </c>
      <c r="D82" s="581" t="s">
        <v>1797</v>
      </c>
      <c r="E82" s="581" t="s">
        <v>1798</v>
      </c>
      <c r="F82" s="581" t="s">
        <v>1799</v>
      </c>
      <c r="G82" s="581" t="s">
        <v>1800</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1731</v>
      </c>
      <c r="C84" s="509" t="s">
        <v>1719</v>
      </c>
      <c r="D84" s="509" t="s">
        <v>1720</v>
      </c>
      <c r="E84" s="509" t="s">
        <v>1721</v>
      </c>
      <c r="F84" s="509" t="s">
        <v>1722</v>
      </c>
      <c r="G84" s="509" t="s">
        <v>1723</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1801</v>
      </c>
      <c r="C86" s="485"/>
      <c r="D86" s="485"/>
      <c r="E86" s="485"/>
      <c r="F86" s="485"/>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76"/>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1802</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1736</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1737</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1739</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1803</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1804</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1805</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1806</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1741</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1742</v>
      </c>
      <c r="C124" s="509" t="s">
        <v>1719</v>
      </c>
      <c r="D124" s="509" t="s">
        <v>1720</v>
      </c>
      <c r="E124" s="509" t="s">
        <v>1721</v>
      </c>
      <c r="F124" s="509" t="s">
        <v>1722</v>
      </c>
      <c r="G124" s="509" t="s">
        <v>1723</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1807</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1765</v>
      </c>
      <c r="D3" s="343">
        <f>IF(D1="",'数据-汇总表'!E3,SUMIF('数据-汇总表'!$C19:$C33,D1,'数据-汇总表'!$E19:$E33))</f>
        <v>204.54</v>
      </c>
      <c r="E3" s="1801"/>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5">
      <c r="A4" s="345" t="s">
        <v>1766</v>
      </c>
      <c r="B4" s="346"/>
      <c r="C4" s="3841" t="s">
        <v>1767</v>
      </c>
      <c r="D4" s="3842"/>
      <c r="E4" s="3843" t="s">
        <v>1768</v>
      </c>
      <c r="F4" s="3844"/>
      <c r="G4" s="3841" t="s">
        <v>1769</v>
      </c>
      <c r="H4" s="3842"/>
      <c r="I4" s="3841" t="s">
        <v>1770</v>
      </c>
      <c r="J4" s="3842"/>
      <c r="K4" s="537" t="s">
        <v>1771</v>
      </c>
      <c r="L4" s="2482"/>
      <c r="M4" s="2483"/>
      <c r="N4" s="2483"/>
      <c r="O4" s="2483"/>
      <c r="P4" s="3876" t="s">
        <v>1772</v>
      </c>
      <c r="Q4" s="3877"/>
      <c r="R4" s="3871" t="s">
        <v>1768</v>
      </c>
      <c r="S4" s="3872"/>
      <c r="T4" s="3871" t="s">
        <v>1769</v>
      </c>
      <c r="U4" s="3872"/>
      <c r="V4" s="3880" t="s">
        <v>1770</v>
      </c>
      <c r="W4" s="3880"/>
      <c r="X4" s="1805"/>
      <c r="Y4" s="3871" t="s">
        <v>1772</v>
      </c>
      <c r="Z4" s="3872"/>
      <c r="AA4" s="3870" t="s">
        <v>1768</v>
      </c>
      <c r="AB4" s="3870" t="s">
        <v>1769</v>
      </c>
      <c r="AC4" s="3873" t="s">
        <v>1770</v>
      </c>
    </row>
    <row r="5" spans="1:29" ht="15">
      <c r="A5" s="348"/>
      <c r="B5" s="349"/>
      <c r="C5" s="3869" t="s">
        <v>1673</v>
      </c>
      <c r="D5" s="3834"/>
      <c r="E5" s="3868" t="s">
        <v>1674</v>
      </c>
      <c r="F5" s="3832"/>
      <c r="G5" s="3869" t="s">
        <v>1675</v>
      </c>
      <c r="H5" s="3834"/>
      <c r="I5" s="3869" t="s">
        <v>1676</v>
      </c>
      <c r="J5" s="3834"/>
      <c r="K5" s="537"/>
      <c r="L5" s="2482"/>
      <c r="M5" s="2483"/>
      <c r="N5" s="2483"/>
      <c r="O5" s="2483"/>
      <c r="P5" s="3878"/>
      <c r="Q5" s="3848"/>
      <c r="R5" s="3829"/>
      <c r="S5" s="3830"/>
      <c r="T5" s="3829"/>
      <c r="U5" s="3830"/>
      <c r="V5" s="3853"/>
      <c r="W5" s="3853"/>
      <c r="X5" s="1264"/>
      <c r="Y5" s="3829"/>
      <c r="Z5" s="3830"/>
      <c r="AA5" s="3823"/>
      <c r="AB5" s="3823"/>
      <c r="AC5" s="3874"/>
    </row>
    <row r="6" spans="1:29" ht="15.75" thickBot="1">
      <c r="A6" s="350"/>
      <c r="B6" s="351"/>
      <c r="C6" s="3835" t="s">
        <v>1677</v>
      </c>
      <c r="D6" s="3836"/>
      <c r="E6" s="3838" t="s">
        <v>1677</v>
      </c>
      <c r="F6" s="3839"/>
      <c r="G6" s="3835" t="s">
        <v>1677</v>
      </c>
      <c r="H6" s="3836"/>
      <c r="I6" s="3835" t="s">
        <v>1677</v>
      </c>
      <c r="J6" s="3836"/>
      <c r="K6" s="537" t="s">
        <v>1678</v>
      </c>
      <c r="L6" s="2482"/>
      <c r="M6" s="2483"/>
      <c r="N6" s="2483"/>
      <c r="O6" s="2483"/>
      <c r="P6" s="3879"/>
      <c r="Q6" s="3850"/>
      <c r="R6" s="3829"/>
      <c r="S6" s="3830"/>
      <c r="T6" s="3851"/>
      <c r="U6" s="3852"/>
      <c r="V6" s="3853"/>
      <c r="W6" s="3853"/>
      <c r="X6" s="1264"/>
      <c r="Y6" s="3851"/>
      <c r="Z6" s="3852"/>
      <c r="AA6" s="3824"/>
      <c r="AB6" s="3824"/>
      <c r="AC6" s="3875"/>
    </row>
    <row r="7" spans="1:29" s="102" customFormat="1" ht="15.75" thickBot="1">
      <c r="A7" s="352" t="s">
        <v>1679</v>
      </c>
      <c r="B7" s="353"/>
      <c r="C7" s="354">
        <f>'数据-取费表'!B2</f>
        <v>38867</v>
      </c>
      <c r="D7" s="355">
        <v>100</v>
      </c>
      <c r="E7" s="356"/>
      <c r="F7" s="357">
        <f>SUMIF(59:59,YEAR(E7)&amp;"-"&amp;MONTH(E7),60:60)</f>
        <v>0</v>
      </c>
      <c r="G7" s="356"/>
      <c r="H7" s="355">
        <f>SUMIF(59:59,YEAR(G7)&amp;"-"&amp;MONTH(G7),60:60)</f>
        <v>0</v>
      </c>
      <c r="I7" s="356"/>
      <c r="J7" s="355">
        <f>SUMIF(59:59,YEAR(I7)&amp;"-"&amp;MONTH(I7),60:60)</f>
        <v>0</v>
      </c>
      <c r="K7" s="38"/>
      <c r="L7" s="2484"/>
      <c r="M7" s="2435"/>
      <c r="N7" s="2435"/>
      <c r="O7" s="2435"/>
      <c r="P7" s="3881" t="s">
        <v>1680</v>
      </c>
      <c r="Q7" s="3854"/>
      <c r="R7" s="664" t="s">
        <v>14</v>
      </c>
      <c r="S7" s="665">
        <f t="shared" ref="S7:S15" si="0">F7</f>
        <v>0</v>
      </c>
      <c r="T7" s="664" t="s">
        <v>14</v>
      </c>
      <c r="U7" s="665">
        <f t="shared" ref="U7:U15" si="1">H7</f>
        <v>0</v>
      </c>
      <c r="V7" s="664" t="s">
        <v>14</v>
      </c>
      <c r="W7" s="665">
        <f t="shared" ref="W7:W15" si="2">J7</f>
        <v>0</v>
      </c>
      <c r="X7" s="666"/>
      <c r="Y7" s="3825" t="s">
        <v>1680</v>
      </c>
      <c r="Z7" s="382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5"/>
      <c r="N8" s="2435"/>
      <c r="O8" s="2435"/>
      <c r="P8" s="3881" t="s">
        <v>1683</v>
      </c>
      <c r="Q8" s="3826"/>
      <c r="R8" s="664" t="s">
        <v>14</v>
      </c>
      <c r="S8" s="665">
        <f t="shared" si="0"/>
        <v>100</v>
      </c>
      <c r="T8" s="664" t="s">
        <v>14</v>
      </c>
      <c r="U8" s="665">
        <f t="shared" si="1"/>
        <v>100</v>
      </c>
      <c r="V8" s="664" t="s">
        <v>14</v>
      </c>
      <c r="W8" s="665">
        <f t="shared" si="2"/>
        <v>100</v>
      </c>
      <c r="X8" s="666"/>
      <c r="Y8" s="3825" t="s">
        <v>1683</v>
      </c>
      <c r="Z8" s="382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5"/>
      <c r="N9" s="2435"/>
      <c r="O9" s="2435"/>
      <c r="P9" s="3840" t="s">
        <v>1686</v>
      </c>
      <c r="Q9" s="530" t="str">
        <f t="shared" ref="Q9:Q15" si="6">B9</f>
        <v>用途</v>
      </c>
      <c r="R9" s="664" t="s">
        <v>14</v>
      </c>
      <c r="S9" s="665">
        <f t="shared" si="0"/>
        <v>100</v>
      </c>
      <c r="T9" s="664" t="s">
        <v>14</v>
      </c>
      <c r="U9" s="665">
        <f t="shared" si="1"/>
        <v>100</v>
      </c>
      <c r="V9" s="664" t="s">
        <v>14</v>
      </c>
      <c r="W9" s="665">
        <f t="shared" si="2"/>
        <v>100</v>
      </c>
      <c r="X9" s="666"/>
      <c r="Y9" s="3769" t="s">
        <v>1687</v>
      </c>
      <c r="Z9" s="50" t="str">
        <f t="shared" ref="Z9:Z15" si="7">Q9</f>
        <v>用途</v>
      </c>
      <c r="AA9" s="50">
        <f t="shared" si="3"/>
        <v>1</v>
      </c>
      <c r="AB9" s="50">
        <f t="shared" si="4"/>
        <v>1</v>
      </c>
      <c r="AC9" s="802">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840"/>
      <c r="Q10" s="530" t="str">
        <f t="shared" si="6"/>
        <v>土地使用年限（年）</v>
      </c>
      <c r="R10" s="664" t="s">
        <v>14</v>
      </c>
      <c r="S10" s="665">
        <f t="shared" si="0"/>
        <v>100</v>
      </c>
      <c r="T10" s="664" t="s">
        <v>14</v>
      </c>
      <c r="U10" s="665">
        <f t="shared" si="1"/>
        <v>100</v>
      </c>
      <c r="V10" s="664" t="s">
        <v>14</v>
      </c>
      <c r="W10" s="665">
        <f t="shared" si="2"/>
        <v>100</v>
      </c>
      <c r="X10" s="666"/>
      <c r="Y10" s="376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840"/>
      <c r="Q11" s="530" t="str">
        <f t="shared" si="6"/>
        <v>容积率</v>
      </c>
      <c r="R11" s="664" t="s">
        <v>14</v>
      </c>
      <c r="S11" s="665">
        <f t="shared" si="0"/>
        <v>100</v>
      </c>
      <c r="T11" s="664" t="s">
        <v>14</v>
      </c>
      <c r="U11" s="665">
        <f t="shared" si="1"/>
        <v>100</v>
      </c>
      <c r="V11" s="664" t="s">
        <v>14</v>
      </c>
      <c r="W11" s="665">
        <f t="shared" si="2"/>
        <v>100</v>
      </c>
      <c r="X11" s="666"/>
      <c r="Y11" s="376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4"/>
      <c r="M12" s="2435"/>
      <c r="N12" s="2435"/>
      <c r="O12" s="2435"/>
      <c r="P12" s="3840"/>
      <c r="Q12" s="530">
        <f t="shared" si="6"/>
        <v>111</v>
      </c>
      <c r="R12" s="664" t="s">
        <v>14</v>
      </c>
      <c r="S12" s="665">
        <f t="shared" si="0"/>
        <v>100</v>
      </c>
      <c r="T12" s="664" t="s">
        <v>14</v>
      </c>
      <c r="U12" s="665">
        <f t="shared" si="1"/>
        <v>100</v>
      </c>
      <c r="V12" s="664" t="s">
        <v>14</v>
      </c>
      <c r="W12" s="665">
        <f t="shared" si="2"/>
        <v>100</v>
      </c>
      <c r="X12" s="666"/>
      <c r="Y12" s="376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8"/>
      <c r="M13" s="2483"/>
      <c r="N13" s="2483"/>
      <c r="O13" s="2483"/>
      <c r="P13" s="3840"/>
      <c r="Q13" s="530">
        <f t="shared" si="6"/>
        <v>111</v>
      </c>
      <c r="R13" s="664" t="s">
        <v>14</v>
      </c>
      <c r="S13" s="665">
        <f t="shared" si="0"/>
        <v>100</v>
      </c>
      <c r="T13" s="664" t="s">
        <v>14</v>
      </c>
      <c r="U13" s="665">
        <f t="shared" si="1"/>
        <v>100</v>
      </c>
      <c r="V13" s="664" t="s">
        <v>14</v>
      </c>
      <c r="W13" s="665">
        <f t="shared" si="2"/>
        <v>100</v>
      </c>
      <c r="X13" s="666"/>
      <c r="Y13" s="3769"/>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6"/>
      <c r="H14" s="377">
        <f>SUMIF(75:75,G14,76:76)-SUMIF(75:75,C14,76:76)+100</f>
        <v>100</v>
      </c>
      <c r="I14" s="371"/>
      <c r="J14" s="377">
        <f>SUMIF(75:75,I14,76:76)-SUMIF(75:75,C14,76:76)+100</f>
        <v>100</v>
      </c>
      <c r="K14" s="539"/>
      <c r="L14" s="2488"/>
      <c r="M14" s="2483"/>
      <c r="N14" s="2483"/>
      <c r="O14" s="2483"/>
      <c r="P14" s="3840"/>
      <c r="Q14" s="530">
        <f t="shared" si="6"/>
        <v>111</v>
      </c>
      <c r="R14" s="664" t="s">
        <v>14</v>
      </c>
      <c r="S14" s="665">
        <f t="shared" si="0"/>
        <v>100</v>
      </c>
      <c r="T14" s="664" t="s">
        <v>14</v>
      </c>
      <c r="U14" s="665">
        <f t="shared" si="1"/>
        <v>100</v>
      </c>
      <c r="V14" s="664" t="s">
        <v>14</v>
      </c>
      <c r="W14" s="665">
        <f t="shared" si="2"/>
        <v>100</v>
      </c>
      <c r="X14" s="666"/>
      <c r="Y14" s="3769"/>
      <c r="Z14" s="50">
        <f t="shared" si="7"/>
        <v>111</v>
      </c>
      <c r="AA14" s="50">
        <f t="shared" si="3"/>
        <v>1</v>
      </c>
      <c r="AB14" s="50">
        <f t="shared" si="4"/>
        <v>1</v>
      </c>
      <c r="AC14" s="802">
        <f t="shared" si="5"/>
        <v>1</v>
      </c>
    </row>
    <row r="15" spans="1:29" ht="71.25">
      <c r="A15" s="379" t="s">
        <v>1690</v>
      </c>
      <c r="B15" s="554" t="s">
        <v>1808</v>
      </c>
      <c r="C15" s="1807"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866" t="s">
        <v>1691</v>
      </c>
      <c r="Q15" s="1262" t="str">
        <f t="shared" si="6"/>
        <v>办公集聚程度</v>
      </c>
      <c r="R15" s="667" t="s">
        <v>14</v>
      </c>
      <c r="S15" s="668">
        <f t="shared" si="0"/>
        <v>100</v>
      </c>
      <c r="T15" s="667" t="s">
        <v>14</v>
      </c>
      <c r="U15" s="668">
        <f t="shared" si="1"/>
        <v>100</v>
      </c>
      <c r="V15" s="667" t="s">
        <v>14</v>
      </c>
      <c r="W15" s="668">
        <f t="shared" si="2"/>
        <v>100</v>
      </c>
      <c r="X15" s="1264"/>
      <c r="Y15" s="3859" t="s">
        <v>1691</v>
      </c>
      <c r="Z15" s="1263" t="str">
        <f t="shared" si="7"/>
        <v>办公集聚程度</v>
      </c>
      <c r="AA15" s="1263">
        <f t="shared" si="3"/>
        <v>1</v>
      </c>
      <c r="AB15" s="1263">
        <f t="shared" si="4"/>
        <v>1</v>
      </c>
      <c r="AC15" s="1808">
        <f t="shared" si="5"/>
        <v>1</v>
      </c>
    </row>
    <row r="16" spans="1:29" ht="15">
      <c r="A16" s="367"/>
      <c r="B16" s="555"/>
      <c r="C16" s="1756"/>
      <c r="D16" s="387"/>
      <c r="E16" s="386"/>
      <c r="F16" s="387"/>
      <c r="G16" s="1756"/>
      <c r="H16" s="389"/>
      <c r="I16" s="386"/>
      <c r="J16" s="387"/>
      <c r="K16" s="541"/>
      <c r="L16" s="2488"/>
      <c r="M16" s="2483"/>
      <c r="N16" s="2483"/>
      <c r="O16" s="2483"/>
      <c r="P16" s="3867"/>
      <c r="Q16" s="1262"/>
      <c r="R16" s="667"/>
      <c r="S16" s="668"/>
      <c r="T16" s="667"/>
      <c r="U16" s="668"/>
      <c r="V16" s="667"/>
      <c r="W16" s="668"/>
      <c r="X16" s="1264"/>
      <c r="Y16" s="3860"/>
      <c r="Z16" s="1263"/>
      <c r="AA16" s="1263">
        <v>1</v>
      </c>
      <c r="AB16" s="1263">
        <v>1</v>
      </c>
      <c r="AC16" s="1808">
        <v>1</v>
      </c>
    </row>
    <row r="17" spans="1:29" ht="57">
      <c r="A17" s="367"/>
      <c r="B17" s="556" t="s">
        <v>1259</v>
      </c>
      <c r="C17" s="1809" t="str">
        <f>估价对象房地状况!C6</f>
        <v>周边有601路、709路等多条公交线路，综合评价交通便捷度一般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867"/>
      <c r="Q17" s="1262" t="str">
        <f>B17</f>
        <v>交通便捷度</v>
      </c>
      <c r="R17" s="667" t="s">
        <v>14</v>
      </c>
      <c r="S17" s="668">
        <f>F17</f>
        <v>100</v>
      </c>
      <c r="T17" s="667" t="s">
        <v>14</v>
      </c>
      <c r="U17" s="668">
        <f>H17</f>
        <v>100</v>
      </c>
      <c r="V17" s="667" t="s">
        <v>14</v>
      </c>
      <c r="W17" s="668">
        <f>J17</f>
        <v>100</v>
      </c>
      <c r="X17" s="1264"/>
      <c r="Y17" s="3860"/>
      <c r="Z17" s="1263" t="str">
        <f>Q17</f>
        <v>交通便捷度</v>
      </c>
      <c r="AA17" s="1263">
        <f t="shared" si="3"/>
        <v>1</v>
      </c>
      <c r="AB17" s="1263">
        <f t="shared" si="4"/>
        <v>1</v>
      </c>
      <c r="AC17" s="1808">
        <f t="shared" si="5"/>
        <v>1</v>
      </c>
    </row>
    <row r="18" spans="1:29" ht="15">
      <c r="A18" s="367"/>
      <c r="B18" s="401"/>
      <c r="C18" s="1810"/>
      <c r="D18" s="389"/>
      <c r="E18" s="1754"/>
      <c r="F18" s="389"/>
      <c r="G18" s="1755"/>
      <c r="H18" s="387"/>
      <c r="I18" s="1755"/>
      <c r="J18" s="387"/>
      <c r="K18" s="541"/>
      <c r="L18" s="2488"/>
      <c r="M18" s="2483"/>
      <c r="N18" s="2483"/>
      <c r="O18" s="2483"/>
      <c r="P18" s="3867"/>
      <c r="Q18" s="1262"/>
      <c r="R18" s="667"/>
      <c r="S18" s="668"/>
      <c r="T18" s="667"/>
      <c r="U18" s="668"/>
      <c r="V18" s="667"/>
      <c r="W18" s="668"/>
      <c r="X18" s="1264"/>
      <c r="Y18" s="3860"/>
      <c r="Z18" s="1263"/>
      <c r="AA18" s="1263">
        <v>1</v>
      </c>
      <c r="AB18" s="1263">
        <v>1</v>
      </c>
      <c r="AC18" s="1808">
        <v>1</v>
      </c>
    </row>
    <row r="19" spans="1:29" ht="185.25">
      <c r="A19" s="367"/>
      <c r="B19" s="556" t="s">
        <v>1809</v>
      </c>
      <c r="C19" s="1809" t="str">
        <f>估价对象房地状况!C7</f>
        <v>银行：等金融机构；
医院：中国人民解放军第304医院等医疗机构；
学校：首都师范大学、首都师范大学附属中学等教育机构；
商业：社区级商业设施；
综合评价公共服务设施齐备度一般。</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867"/>
      <c r="Q19" s="1262" t="str">
        <f>B19</f>
        <v>公共配套设施</v>
      </c>
      <c r="R19" s="667" t="s">
        <v>14</v>
      </c>
      <c r="S19" s="668">
        <f>F19</f>
        <v>100</v>
      </c>
      <c r="T19" s="667" t="s">
        <v>14</v>
      </c>
      <c r="U19" s="668">
        <f>H19</f>
        <v>100</v>
      </c>
      <c r="V19" s="667" t="s">
        <v>14</v>
      </c>
      <c r="W19" s="668">
        <f>J19</f>
        <v>100</v>
      </c>
      <c r="X19" s="1264"/>
      <c r="Y19" s="3860"/>
      <c r="Z19" s="1263" t="str">
        <f>Q19</f>
        <v>公共配套设施</v>
      </c>
      <c r="AA19" s="1263">
        <f t="shared" si="3"/>
        <v>1</v>
      </c>
      <c r="AB19" s="1263">
        <f t="shared" si="4"/>
        <v>1</v>
      </c>
      <c r="AC19" s="1808">
        <f t="shared" si="5"/>
        <v>1</v>
      </c>
    </row>
    <row r="20" spans="1:29" ht="15">
      <c r="A20" s="367"/>
      <c r="B20" s="401"/>
      <c r="C20" s="1756"/>
      <c r="D20" s="387"/>
      <c r="E20" s="1749"/>
      <c r="F20" s="387"/>
      <c r="G20" s="1750"/>
      <c r="H20" s="387"/>
      <c r="I20" s="1750"/>
      <c r="J20" s="387"/>
      <c r="K20" s="541"/>
      <c r="L20" s="2488"/>
      <c r="M20" s="2483"/>
      <c r="N20" s="2483"/>
      <c r="O20" s="2483"/>
      <c r="P20" s="3867"/>
      <c r="Q20" s="1262"/>
      <c r="R20" s="667"/>
      <c r="S20" s="668"/>
      <c r="T20" s="667"/>
      <c r="U20" s="668"/>
      <c r="V20" s="667"/>
      <c r="W20" s="668"/>
      <c r="X20" s="1264"/>
      <c r="Y20" s="3860"/>
      <c r="Z20" s="1263"/>
      <c r="AA20" s="1263">
        <v>1</v>
      </c>
      <c r="AB20" s="1263">
        <v>1</v>
      </c>
      <c r="AC20" s="1808">
        <v>1</v>
      </c>
    </row>
    <row r="21" spans="1:29" ht="28.5">
      <c r="A21" s="367"/>
      <c r="B21" s="557" t="s">
        <v>1810</v>
      </c>
      <c r="C21" s="1809"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867"/>
      <c r="Q21" s="1262" t="str">
        <f>B21</f>
        <v>基础设施水平</v>
      </c>
      <c r="R21" s="667" t="s">
        <v>14</v>
      </c>
      <c r="S21" s="668">
        <f>F21</f>
        <v>100</v>
      </c>
      <c r="T21" s="667" t="s">
        <v>14</v>
      </c>
      <c r="U21" s="668">
        <f>H21</f>
        <v>100</v>
      </c>
      <c r="V21" s="667" t="s">
        <v>14</v>
      </c>
      <c r="W21" s="668">
        <f>J21</f>
        <v>100</v>
      </c>
      <c r="X21" s="1264"/>
      <c r="Y21" s="3860"/>
      <c r="Z21" s="1263" t="str">
        <f>Q21</f>
        <v>基础设施水平</v>
      </c>
      <c r="AA21" s="1263">
        <f t="shared" ref="AA21" si="8">D21/F21</f>
        <v>1</v>
      </c>
      <c r="AB21" s="1263">
        <f t="shared" ref="AB21" si="9">D21/H21</f>
        <v>1</v>
      </c>
      <c r="AC21" s="1808">
        <f t="shared" ref="AC21" si="10">D21/J21</f>
        <v>1</v>
      </c>
    </row>
    <row r="22" spans="1:29" ht="15">
      <c r="A22" s="367"/>
      <c r="B22" s="557"/>
      <c r="C22" s="1810"/>
      <c r="D22" s="387"/>
      <c r="E22" s="386"/>
      <c r="F22" s="387"/>
      <c r="G22" s="1756"/>
      <c r="H22" s="387"/>
      <c r="I22" s="1756"/>
      <c r="J22" s="387"/>
      <c r="K22" s="1064"/>
      <c r="L22" s="2488"/>
      <c r="M22" s="2483"/>
      <c r="N22" s="2483"/>
      <c r="O22" s="2483"/>
      <c r="P22" s="3867"/>
      <c r="Q22" s="1262"/>
      <c r="R22" s="667"/>
      <c r="S22" s="668"/>
      <c r="T22" s="667"/>
      <c r="U22" s="668"/>
      <c r="V22" s="667"/>
      <c r="W22" s="668"/>
      <c r="X22" s="1264"/>
      <c r="Y22" s="3860"/>
      <c r="Z22" s="1263"/>
      <c r="AA22" s="1263">
        <v>1</v>
      </c>
      <c r="AB22" s="1263">
        <v>1</v>
      </c>
      <c r="AC22" s="1808">
        <v>1</v>
      </c>
    </row>
    <row r="23" spans="1:29" ht="71.25">
      <c r="A23" s="367"/>
      <c r="B23" s="556" t="s">
        <v>1811</v>
      </c>
      <c r="C23" s="1809" t="str">
        <f>估价对象房地状况!C9</f>
        <v>人文环境：首都师范大学等人文场所；
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867"/>
      <c r="Q23" s="1262" t="str">
        <f>B23</f>
        <v>环境质量</v>
      </c>
      <c r="R23" s="667" t="s">
        <v>14</v>
      </c>
      <c r="S23" s="668">
        <f>F23</f>
        <v>100</v>
      </c>
      <c r="T23" s="667" t="s">
        <v>14</v>
      </c>
      <c r="U23" s="668">
        <f>H23</f>
        <v>100</v>
      </c>
      <c r="V23" s="667" t="s">
        <v>14</v>
      </c>
      <c r="W23" s="668">
        <f>J23</f>
        <v>100</v>
      </c>
      <c r="X23" s="1264"/>
      <c r="Y23" s="3860"/>
      <c r="Z23" s="1263" t="str">
        <f>Q23</f>
        <v>环境质量</v>
      </c>
      <c r="AA23" s="1263">
        <f t="shared" si="3"/>
        <v>1</v>
      </c>
      <c r="AB23" s="1263">
        <f t="shared" si="4"/>
        <v>1</v>
      </c>
      <c r="AC23" s="1808">
        <f t="shared" si="5"/>
        <v>1</v>
      </c>
    </row>
    <row r="24" spans="1:29" ht="15">
      <c r="A24" s="367"/>
      <c r="B24" s="557"/>
      <c r="C24" s="1756"/>
      <c r="D24" s="387"/>
      <c r="E24" s="1749"/>
      <c r="F24" s="387"/>
      <c r="G24" s="1750"/>
      <c r="H24" s="387"/>
      <c r="I24" s="1750"/>
      <c r="J24" s="387"/>
      <c r="K24" s="541"/>
      <c r="L24" s="2488"/>
      <c r="M24" s="2483"/>
      <c r="N24" s="2483"/>
      <c r="O24" s="2483"/>
      <c r="P24" s="3867"/>
      <c r="Q24" s="1262"/>
      <c r="R24" s="667"/>
      <c r="S24" s="668"/>
      <c r="T24" s="667"/>
      <c r="U24" s="668"/>
      <c r="V24" s="667"/>
      <c r="W24" s="668"/>
      <c r="X24" s="1264"/>
      <c r="Y24" s="3860"/>
      <c r="Z24" s="1263"/>
      <c r="AA24" s="1263">
        <v>1</v>
      </c>
      <c r="AB24" s="1263">
        <v>1</v>
      </c>
      <c r="AC24" s="1808">
        <v>1</v>
      </c>
    </row>
    <row r="25" spans="1:29" ht="27">
      <c r="A25" s="348"/>
      <c r="B25" s="556" t="s">
        <v>1812</v>
      </c>
      <c r="C25" s="1760"/>
      <c r="D25" s="374">
        <v>100</v>
      </c>
      <c r="E25" s="373"/>
      <c r="F25" s="374">
        <f>SUMIF(87:87,E26,88:88)-SUMIF(87:87,C26,88:88)+100</f>
        <v>100</v>
      </c>
      <c r="G25" s="1760"/>
      <c r="H25" s="374">
        <f>SUMIF(87:87,G26,88:88)-SUMIF(87:87,C26,88:88)+100</f>
        <v>100</v>
      </c>
      <c r="I25" s="373"/>
      <c r="J25" s="374">
        <f>SUMIF(87:87,I26,88:88)-SUMIF(87:87,C26,88:88)+100</f>
        <v>100</v>
      </c>
      <c r="K25" s="540"/>
      <c r="L25" s="2488"/>
      <c r="M25" s="2483"/>
      <c r="N25" s="2483"/>
      <c r="O25" s="2483"/>
      <c r="P25" s="3867"/>
      <c r="Q25" s="1262" t="str">
        <f>B25</f>
        <v>毗邻道路的类型与等级</v>
      </c>
      <c r="R25" s="667" t="s">
        <v>14</v>
      </c>
      <c r="S25" s="668">
        <f>F25</f>
        <v>100</v>
      </c>
      <c r="T25" s="667" t="s">
        <v>14</v>
      </c>
      <c r="U25" s="668">
        <f>H25</f>
        <v>100</v>
      </c>
      <c r="V25" s="667" t="s">
        <v>14</v>
      </c>
      <c r="W25" s="668">
        <f>J25</f>
        <v>100</v>
      </c>
      <c r="X25" s="1264"/>
      <c r="Y25" s="3860"/>
      <c r="Z25" s="1263" t="str">
        <f>Q25</f>
        <v>毗邻道路的类型与等级</v>
      </c>
      <c r="AA25" s="1263">
        <f t="shared" si="3"/>
        <v>1</v>
      </c>
      <c r="AB25" s="1263">
        <f t="shared" si="4"/>
        <v>1</v>
      </c>
      <c r="AC25" s="1808">
        <f t="shared" si="5"/>
        <v>1</v>
      </c>
    </row>
    <row r="26" spans="1:29" ht="15">
      <c r="A26" s="348"/>
      <c r="B26" s="401"/>
      <c r="C26" s="558"/>
      <c r="D26" s="374"/>
      <c r="E26" s="542"/>
      <c r="F26" s="374"/>
      <c r="G26" s="558"/>
      <c r="H26" s="374"/>
      <c r="I26" s="542"/>
      <c r="J26" s="374"/>
      <c r="K26" s="541"/>
      <c r="L26" s="2488"/>
      <c r="M26" s="2483"/>
      <c r="N26" s="2483"/>
      <c r="O26" s="2483"/>
      <c r="P26" s="3867"/>
      <c r="Q26" s="1262"/>
      <c r="R26" s="667"/>
      <c r="S26" s="668"/>
      <c r="T26" s="667"/>
      <c r="U26" s="668"/>
      <c r="V26" s="667"/>
      <c r="W26" s="668"/>
      <c r="X26" s="1264"/>
      <c r="Y26" s="3860"/>
      <c r="Z26" s="1263"/>
      <c r="AA26" s="1263">
        <v>1</v>
      </c>
      <c r="AB26" s="1263">
        <v>1</v>
      </c>
      <c r="AC26" s="1808">
        <v>1</v>
      </c>
    </row>
    <row r="27" spans="1:29" ht="15">
      <c r="A27" s="367"/>
      <c r="B27" s="401" t="s">
        <v>1780</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867"/>
      <c r="Q27" s="1262" t="str">
        <f t="shared" ref="Q27:Q47" si="11">B27</f>
        <v>楼层</v>
      </c>
      <c r="R27" s="667" t="s">
        <v>14</v>
      </c>
      <c r="S27" s="668">
        <f>F27</f>
        <v>100</v>
      </c>
      <c r="T27" s="667" t="s">
        <v>14</v>
      </c>
      <c r="U27" s="668">
        <f>H27</f>
        <v>100</v>
      </c>
      <c r="V27" s="667" t="s">
        <v>14</v>
      </c>
      <c r="W27" s="668">
        <f>J27</f>
        <v>100</v>
      </c>
      <c r="X27" s="1264"/>
      <c r="Y27" s="3860"/>
      <c r="Z27" s="1263" t="str">
        <f>Q27</f>
        <v>楼层</v>
      </c>
      <c r="AA27" s="1263">
        <f t="shared" si="3"/>
        <v>1</v>
      </c>
      <c r="AB27" s="1263">
        <f t="shared" si="4"/>
        <v>1</v>
      </c>
      <c r="AC27" s="1808">
        <f t="shared" si="5"/>
        <v>1</v>
      </c>
    </row>
    <row r="28" spans="1:29" s="102" customFormat="1" ht="15">
      <c r="A28" s="370"/>
      <c r="B28" s="556" t="s">
        <v>1813</v>
      </c>
      <c r="C28" s="1811"/>
      <c r="D28" s="401">
        <v>100</v>
      </c>
      <c r="E28" s="1803"/>
      <c r="F28" s="401">
        <f>SUMIF(91:91,E28,92:92)-SUMIF(91:91,C28,92:92)+100</f>
        <v>100</v>
      </c>
      <c r="G28" s="1811"/>
      <c r="H28" s="401">
        <f>SUMIF(91:91,G28,92:92)-SUMIF(91:91,C28,92:92)+100</f>
        <v>100</v>
      </c>
      <c r="I28" s="1803"/>
      <c r="J28" s="401">
        <f>SUMIF(91:91,I28,92:92)-SUMIF(91:91,C28,92:92)+100</f>
        <v>100</v>
      </c>
      <c r="K28" s="538"/>
      <c r="L28" s="2484"/>
      <c r="M28" s="2435"/>
      <c r="N28" s="2435"/>
      <c r="O28" s="2435"/>
      <c r="P28" s="3867"/>
      <c r="Q28" s="530" t="str">
        <f t="shared" si="11"/>
        <v>朝向</v>
      </c>
      <c r="R28" s="664" t="s">
        <v>14</v>
      </c>
      <c r="S28" s="665">
        <f>F28</f>
        <v>100</v>
      </c>
      <c r="T28" s="664" t="s">
        <v>14</v>
      </c>
      <c r="U28" s="665">
        <f>H28</f>
        <v>100</v>
      </c>
      <c r="V28" s="664" t="s">
        <v>14</v>
      </c>
      <c r="W28" s="665">
        <f>J28</f>
        <v>100</v>
      </c>
      <c r="X28" s="666"/>
      <c r="Y28" s="3860"/>
      <c r="Z28" s="50" t="str">
        <f>Q28</f>
        <v>朝向</v>
      </c>
      <c r="AA28" s="1263">
        <f>D28/F28</f>
        <v>1</v>
      </c>
      <c r="AB28" s="1263">
        <f>D28/H28</f>
        <v>1</v>
      </c>
      <c r="AC28" s="1808">
        <f>D28/J28</f>
        <v>1</v>
      </c>
    </row>
    <row r="29" spans="1:29" ht="15">
      <c r="A29" s="367"/>
      <c r="B29" s="1099">
        <v>111</v>
      </c>
      <c r="C29" s="1760"/>
      <c r="D29" s="374">
        <v>100</v>
      </c>
      <c r="E29" s="371"/>
      <c r="F29" s="374">
        <f>SUMIF(93:93,E29,94:94)-SUMIF(93:93,C29,94:94)+100</f>
        <v>100</v>
      </c>
      <c r="G29" s="1806"/>
      <c r="H29" s="374">
        <f>SUMIF(93:93,G29,94:94)-SUMIF(93:93,C29,94:94)+100</f>
        <v>100</v>
      </c>
      <c r="I29" s="371"/>
      <c r="J29" s="374">
        <f>SUMIF(93:93,I29,94:94)-SUMIF(93:93,C29,94:94)+100</f>
        <v>100</v>
      </c>
      <c r="K29" s="539"/>
      <c r="L29" s="2488"/>
      <c r="M29" s="2483"/>
      <c r="N29" s="2483"/>
      <c r="O29" s="2483"/>
      <c r="P29" s="3867"/>
      <c r="Q29" s="1262">
        <f t="shared" si="11"/>
        <v>111</v>
      </c>
      <c r="R29" s="667" t="s">
        <v>14</v>
      </c>
      <c r="S29" s="668">
        <f t="shared" ref="S29:S47" si="12">F29</f>
        <v>100</v>
      </c>
      <c r="T29" s="667" t="s">
        <v>14</v>
      </c>
      <c r="U29" s="668">
        <f t="shared" ref="U29:U47" si="13">H29</f>
        <v>100</v>
      </c>
      <c r="V29" s="667" t="s">
        <v>14</v>
      </c>
      <c r="W29" s="668">
        <f t="shared" ref="W29:W47" si="14">J29</f>
        <v>100</v>
      </c>
      <c r="X29" s="1264"/>
      <c r="Y29" s="3860"/>
      <c r="Z29" s="1263">
        <f t="shared" ref="Z29:Z47" si="15">Q29</f>
        <v>111</v>
      </c>
      <c r="AA29" s="1263">
        <f t="shared" si="3"/>
        <v>1</v>
      </c>
      <c r="AB29" s="1263">
        <f t="shared" si="4"/>
        <v>1</v>
      </c>
      <c r="AC29" s="1808">
        <f t="shared" si="5"/>
        <v>1</v>
      </c>
    </row>
    <row r="30" spans="1:29" ht="15">
      <c r="A30" s="367"/>
      <c r="B30" s="1099">
        <v>111</v>
      </c>
      <c r="C30" s="1760"/>
      <c r="D30" s="374">
        <v>100</v>
      </c>
      <c r="E30" s="371"/>
      <c r="F30" s="374">
        <f>SUMIF(95:95,E30,96:96)-SUMIF(95:95,C30,96:96)+100</f>
        <v>100</v>
      </c>
      <c r="G30" s="1806"/>
      <c r="H30" s="374">
        <f>SUMIF(95:95,G30,96:96)-SUMIF(95:95,C30,96:96)+100</f>
        <v>100</v>
      </c>
      <c r="I30" s="371"/>
      <c r="J30" s="374">
        <f>SUMIF(95:95,I30,96:96)-SUMIF(95:95,C30,96:96)+100</f>
        <v>100</v>
      </c>
      <c r="K30" s="539"/>
      <c r="L30" s="2488"/>
      <c r="M30" s="2483"/>
      <c r="N30" s="2483"/>
      <c r="O30" s="2483"/>
      <c r="P30" s="3867"/>
      <c r="Q30" s="1262">
        <f t="shared" si="11"/>
        <v>111</v>
      </c>
      <c r="R30" s="667" t="s">
        <v>14</v>
      </c>
      <c r="S30" s="668">
        <f t="shared" si="12"/>
        <v>100</v>
      </c>
      <c r="T30" s="667" t="s">
        <v>14</v>
      </c>
      <c r="U30" s="668">
        <f t="shared" si="13"/>
        <v>100</v>
      </c>
      <c r="V30" s="667" t="s">
        <v>14</v>
      </c>
      <c r="W30" s="668">
        <f t="shared" si="14"/>
        <v>100</v>
      </c>
      <c r="X30" s="1264"/>
      <c r="Y30" s="3860"/>
      <c r="Z30" s="1263">
        <f t="shared" si="15"/>
        <v>111</v>
      </c>
      <c r="AA30" s="1263">
        <f t="shared" si="3"/>
        <v>1</v>
      </c>
      <c r="AB30" s="1263">
        <f t="shared" si="4"/>
        <v>1</v>
      </c>
      <c r="AC30" s="1808">
        <f t="shared" si="5"/>
        <v>1</v>
      </c>
    </row>
    <row r="31" spans="1:29" ht="15">
      <c r="A31" s="367"/>
      <c r="B31" s="1099">
        <v>111</v>
      </c>
      <c r="C31" s="1760"/>
      <c r="D31" s="374">
        <v>100</v>
      </c>
      <c r="E31" s="371"/>
      <c r="F31" s="374">
        <f>SUMIF(97:97,E31,98:98)-SUMIF(97:97,C31,98:98)+100</f>
        <v>100</v>
      </c>
      <c r="G31" s="1806"/>
      <c r="H31" s="374">
        <f>SUMIF(97:97,G31,98:98)-SUMIF(97:97,C31,98:98)+100</f>
        <v>100</v>
      </c>
      <c r="I31" s="371"/>
      <c r="J31" s="374">
        <f>SUMIF(97:97,I31,98:98)-SUMIF(97:97,C31,98:98)+100</f>
        <v>100</v>
      </c>
      <c r="K31" s="539"/>
      <c r="L31" s="2488"/>
      <c r="M31" s="2483"/>
      <c r="N31" s="2483"/>
      <c r="O31" s="2483"/>
      <c r="P31" s="3867"/>
      <c r="Q31" s="1262">
        <f t="shared" si="11"/>
        <v>111</v>
      </c>
      <c r="R31" s="667" t="s">
        <v>14</v>
      </c>
      <c r="S31" s="668">
        <f t="shared" si="12"/>
        <v>100</v>
      </c>
      <c r="T31" s="667" t="s">
        <v>14</v>
      </c>
      <c r="U31" s="668">
        <f t="shared" si="13"/>
        <v>100</v>
      </c>
      <c r="V31" s="667" t="s">
        <v>14</v>
      </c>
      <c r="W31" s="668">
        <f t="shared" si="14"/>
        <v>100</v>
      </c>
      <c r="X31" s="1264"/>
      <c r="Y31" s="3860"/>
      <c r="Z31" s="1263">
        <f t="shared" si="15"/>
        <v>111</v>
      </c>
      <c r="AA31" s="1263">
        <f t="shared" si="3"/>
        <v>1</v>
      </c>
      <c r="AB31" s="1263">
        <f t="shared" si="4"/>
        <v>1</v>
      </c>
      <c r="AC31" s="1808">
        <f t="shared" si="5"/>
        <v>1</v>
      </c>
    </row>
    <row r="32" spans="1:29" ht="15.75" thickBot="1">
      <c r="A32" s="375"/>
      <c r="B32" s="559">
        <v>111</v>
      </c>
      <c r="C32" s="1761"/>
      <c r="D32" s="377">
        <v>100</v>
      </c>
      <c r="E32" s="553"/>
      <c r="F32" s="377">
        <f>SUMIF(99:99,E32,100:100)-SUMIF(99:99,C32,100:100)+100</f>
        <v>100</v>
      </c>
      <c r="G32" s="1806"/>
      <c r="H32" s="377">
        <f>SUMIF(99:99,G32,100:100)-SUMIF(99:99,C32,100:100)+100</f>
        <v>100</v>
      </c>
      <c r="I32" s="371"/>
      <c r="J32" s="377">
        <f>SUMIF(99:99,I32,100:100)-SUMIF(99:99,C32,100:100)+100</f>
        <v>100</v>
      </c>
      <c r="K32" s="539"/>
      <c r="L32" s="2488"/>
      <c r="M32" s="2483"/>
      <c r="N32" s="2483"/>
      <c r="O32" s="2483"/>
      <c r="P32" s="3867"/>
      <c r="Q32" s="1262">
        <f t="shared" si="11"/>
        <v>111</v>
      </c>
      <c r="R32" s="667" t="s">
        <v>14</v>
      </c>
      <c r="S32" s="668">
        <f t="shared" si="12"/>
        <v>100</v>
      </c>
      <c r="T32" s="667" t="s">
        <v>14</v>
      </c>
      <c r="U32" s="668">
        <f t="shared" si="13"/>
        <v>100</v>
      </c>
      <c r="V32" s="667" t="s">
        <v>14</v>
      </c>
      <c r="W32" s="668">
        <f t="shared" si="14"/>
        <v>100</v>
      </c>
      <c r="X32" s="1264"/>
      <c r="Y32" s="3860"/>
      <c r="Z32" s="1263">
        <f t="shared" si="15"/>
        <v>111</v>
      </c>
      <c r="AA32" s="1263">
        <f t="shared" si="3"/>
        <v>1</v>
      </c>
      <c r="AB32" s="1263">
        <f t="shared" si="4"/>
        <v>1</v>
      </c>
      <c r="AC32" s="1808">
        <f t="shared" si="5"/>
        <v>1</v>
      </c>
    </row>
    <row r="33" spans="1:29" ht="15">
      <c r="A33" s="379" t="s">
        <v>1694</v>
      </c>
      <c r="B33" s="60" t="s">
        <v>1814</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8"/>
      <c r="M33" s="2483"/>
      <c r="N33" s="2483"/>
      <c r="O33" s="2483"/>
      <c r="P33" s="3861" t="s">
        <v>1696</v>
      </c>
      <c r="Q33" s="1262" t="str">
        <f t="shared" si="11"/>
        <v>建筑类型</v>
      </c>
      <c r="R33" s="667" t="s">
        <v>14</v>
      </c>
      <c r="S33" s="668">
        <f t="shared" si="12"/>
        <v>100</v>
      </c>
      <c r="T33" s="667" t="s">
        <v>14</v>
      </c>
      <c r="U33" s="668">
        <f t="shared" si="13"/>
        <v>100</v>
      </c>
      <c r="V33" s="667" t="s">
        <v>14</v>
      </c>
      <c r="W33" s="668">
        <f t="shared" si="14"/>
        <v>100</v>
      </c>
      <c r="X33" s="1264"/>
      <c r="Y33" s="3864" t="s">
        <v>1696</v>
      </c>
      <c r="Z33" s="1263" t="str">
        <f t="shared" si="15"/>
        <v>建筑类型</v>
      </c>
      <c r="AA33" s="1263">
        <f t="shared" si="3"/>
        <v>1</v>
      </c>
      <c r="AB33" s="1263">
        <f t="shared" si="4"/>
        <v>1</v>
      </c>
      <c r="AC33" s="1808">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862"/>
      <c r="Q34" s="531" t="str">
        <f t="shared" si="11"/>
        <v>项目建筑规模</v>
      </c>
      <c r="R34" s="669" t="s">
        <v>14</v>
      </c>
      <c r="S34" s="670" t="e">
        <f t="shared" si="12"/>
        <v>#N/A</v>
      </c>
      <c r="T34" s="669" t="s">
        <v>14</v>
      </c>
      <c r="U34" s="670" t="e">
        <f t="shared" si="13"/>
        <v>#N/A</v>
      </c>
      <c r="V34" s="669" t="s">
        <v>14</v>
      </c>
      <c r="W34" s="670" t="e">
        <f t="shared" si="14"/>
        <v>#N/A</v>
      </c>
      <c r="X34" s="671"/>
      <c r="Y34" s="3864"/>
      <c r="Z34" s="672" t="str">
        <f t="shared" si="15"/>
        <v>项目建筑规模</v>
      </c>
      <c r="AA34" s="1263" t="e">
        <f t="shared" si="3"/>
        <v>#N/A</v>
      </c>
      <c r="AB34" s="1263" t="e">
        <f t="shared" si="4"/>
        <v>#N/A</v>
      </c>
      <c r="AC34" s="1808"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862"/>
      <c r="Q35" s="1262" t="str">
        <f t="shared" si="11"/>
        <v>建筑结构</v>
      </c>
      <c r="R35" s="667" t="s">
        <v>14</v>
      </c>
      <c r="S35" s="668">
        <f t="shared" si="12"/>
        <v>100</v>
      </c>
      <c r="T35" s="667" t="s">
        <v>14</v>
      </c>
      <c r="U35" s="668">
        <f t="shared" si="13"/>
        <v>100</v>
      </c>
      <c r="V35" s="667" t="s">
        <v>14</v>
      </c>
      <c r="W35" s="668">
        <f t="shared" si="14"/>
        <v>100</v>
      </c>
      <c r="X35" s="1264"/>
      <c r="Y35" s="3864"/>
      <c r="Z35" s="1263" t="str">
        <f t="shared" si="15"/>
        <v>建筑结构</v>
      </c>
      <c r="AA35" s="1263">
        <f t="shared" si="3"/>
        <v>1</v>
      </c>
      <c r="AB35" s="1263">
        <f t="shared" si="4"/>
        <v>1</v>
      </c>
      <c r="AC35" s="1808">
        <f t="shared" si="5"/>
        <v>1</v>
      </c>
    </row>
    <row r="36" spans="1:29" ht="15">
      <c r="A36" s="409"/>
      <c r="B36" s="364" t="s">
        <v>1782</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862"/>
      <c r="Q36" s="1262" t="str">
        <f t="shared" si="11"/>
        <v>公共部分装修</v>
      </c>
      <c r="R36" s="667" t="s">
        <v>14</v>
      </c>
      <c r="S36" s="668">
        <f t="shared" si="12"/>
        <v>100</v>
      </c>
      <c r="T36" s="667" t="s">
        <v>14</v>
      </c>
      <c r="U36" s="668">
        <f t="shared" si="13"/>
        <v>100</v>
      </c>
      <c r="V36" s="667" t="s">
        <v>14</v>
      </c>
      <c r="W36" s="668">
        <f t="shared" si="14"/>
        <v>100</v>
      </c>
      <c r="X36" s="1264"/>
      <c r="Y36" s="3864"/>
      <c r="Z36" s="1263" t="str">
        <f t="shared" si="15"/>
        <v>公共部分装修</v>
      </c>
      <c r="AA36" s="1263">
        <f t="shared" si="3"/>
        <v>1</v>
      </c>
      <c r="AB36" s="1263">
        <f t="shared" si="4"/>
        <v>1</v>
      </c>
      <c r="AC36" s="1808">
        <f t="shared" si="5"/>
        <v>1</v>
      </c>
    </row>
    <row r="37" spans="1:29" ht="15">
      <c r="A37" s="409"/>
      <c r="B37" s="364" t="s">
        <v>1783</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862"/>
      <c r="Q37" s="1262" t="str">
        <f t="shared" si="11"/>
        <v>成新度</v>
      </c>
      <c r="R37" s="667" t="s">
        <v>14</v>
      </c>
      <c r="S37" s="668" t="e">
        <f t="shared" si="12"/>
        <v>#N/A</v>
      </c>
      <c r="T37" s="667" t="s">
        <v>14</v>
      </c>
      <c r="U37" s="668" t="e">
        <f t="shared" si="13"/>
        <v>#N/A</v>
      </c>
      <c r="V37" s="667" t="s">
        <v>14</v>
      </c>
      <c r="W37" s="668" t="e">
        <f t="shared" si="14"/>
        <v>#N/A</v>
      </c>
      <c r="X37" s="1264"/>
      <c r="Y37" s="3864"/>
      <c r="Z37" s="1263" t="str">
        <f t="shared" si="15"/>
        <v>成新度</v>
      </c>
      <c r="AA37" s="1263" t="e">
        <f t="shared" si="3"/>
        <v>#N/A</v>
      </c>
      <c r="AB37" s="1263" t="e">
        <f t="shared" si="4"/>
        <v>#N/A</v>
      </c>
      <c r="AC37" s="1808" t="e">
        <f t="shared" si="5"/>
        <v>#N/A</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862"/>
      <c r="Q38" s="530" t="str">
        <f t="shared" si="11"/>
        <v>写字楼等级</v>
      </c>
      <c r="R38" s="664" t="s">
        <v>14</v>
      </c>
      <c r="S38" s="665">
        <f t="shared" si="12"/>
        <v>100</v>
      </c>
      <c r="T38" s="664" t="s">
        <v>14</v>
      </c>
      <c r="U38" s="665">
        <f t="shared" si="13"/>
        <v>100</v>
      </c>
      <c r="V38" s="664" t="s">
        <v>14</v>
      </c>
      <c r="W38" s="665">
        <f t="shared" si="14"/>
        <v>100</v>
      </c>
      <c r="X38" s="666"/>
      <c r="Y38" s="3864"/>
      <c r="Z38" s="50" t="str">
        <f t="shared" si="15"/>
        <v>写字楼等级</v>
      </c>
      <c r="AA38" s="50">
        <f t="shared" si="3"/>
        <v>1</v>
      </c>
      <c r="AB38" s="50">
        <f t="shared" si="4"/>
        <v>1</v>
      </c>
      <c r="AC38" s="802">
        <f t="shared" si="5"/>
        <v>1</v>
      </c>
    </row>
    <row r="39" spans="1:29" ht="15">
      <c r="A39" s="409"/>
      <c r="B39" s="364" t="s">
        <v>1816</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862" t="s">
        <v>1696</v>
      </c>
      <c r="Q39" s="1262" t="str">
        <f t="shared" si="11"/>
        <v>物业管理</v>
      </c>
      <c r="R39" s="667" t="s">
        <v>14</v>
      </c>
      <c r="S39" s="668">
        <f t="shared" si="12"/>
        <v>100</v>
      </c>
      <c r="T39" s="667" t="s">
        <v>14</v>
      </c>
      <c r="U39" s="668">
        <f t="shared" si="13"/>
        <v>100</v>
      </c>
      <c r="V39" s="667" t="s">
        <v>14</v>
      </c>
      <c r="W39" s="668">
        <f t="shared" si="14"/>
        <v>100</v>
      </c>
      <c r="X39" s="1264"/>
      <c r="Y39" s="3864" t="s">
        <v>1696</v>
      </c>
      <c r="Z39" s="1263" t="str">
        <f t="shared" si="15"/>
        <v>物业管理</v>
      </c>
      <c r="AA39" s="1263">
        <f t="shared" si="3"/>
        <v>1</v>
      </c>
      <c r="AB39" s="1263">
        <f t="shared" si="4"/>
        <v>1</v>
      </c>
      <c r="AC39" s="1808">
        <f t="shared" si="5"/>
        <v>1</v>
      </c>
    </row>
    <row r="40" spans="1:29" ht="15">
      <c r="A40" s="409"/>
      <c r="B40" s="364" t="s">
        <v>1784</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862"/>
      <c r="Q40" s="1262" t="str">
        <f t="shared" si="11"/>
        <v>市政基础设施</v>
      </c>
      <c r="R40" s="667" t="s">
        <v>14</v>
      </c>
      <c r="S40" s="668">
        <f t="shared" si="12"/>
        <v>100</v>
      </c>
      <c r="T40" s="667" t="s">
        <v>14</v>
      </c>
      <c r="U40" s="668">
        <f t="shared" si="13"/>
        <v>100</v>
      </c>
      <c r="V40" s="667" t="s">
        <v>14</v>
      </c>
      <c r="W40" s="668">
        <f t="shared" si="14"/>
        <v>100</v>
      </c>
      <c r="X40" s="1264"/>
      <c r="Y40" s="3864"/>
      <c r="Z40" s="1263" t="str">
        <f t="shared" si="15"/>
        <v>市政基础设施</v>
      </c>
      <c r="AA40" s="1263">
        <f t="shared" si="3"/>
        <v>1</v>
      </c>
      <c r="AB40" s="1263">
        <f t="shared" si="4"/>
        <v>1</v>
      </c>
      <c r="AC40" s="1808">
        <f t="shared" si="5"/>
        <v>1</v>
      </c>
    </row>
    <row r="41" spans="1:29" ht="15">
      <c r="A41" s="409"/>
      <c r="B41" s="364" t="s">
        <v>1786</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862"/>
      <c r="Q41" s="1262" t="str">
        <f t="shared" si="11"/>
        <v>层高</v>
      </c>
      <c r="R41" s="667" t="s">
        <v>14</v>
      </c>
      <c r="S41" s="668">
        <f t="shared" si="12"/>
        <v>100</v>
      </c>
      <c r="T41" s="667" t="s">
        <v>14</v>
      </c>
      <c r="U41" s="668">
        <f t="shared" si="13"/>
        <v>100</v>
      </c>
      <c r="V41" s="667" t="s">
        <v>14</v>
      </c>
      <c r="W41" s="668">
        <f t="shared" si="14"/>
        <v>100</v>
      </c>
      <c r="X41" s="1264"/>
      <c r="Y41" s="3864"/>
      <c r="Z41" s="1263" t="str">
        <f t="shared" si="15"/>
        <v>层高</v>
      </c>
      <c r="AA41" s="1263">
        <f t="shared" si="3"/>
        <v>1</v>
      </c>
      <c r="AB41" s="1263">
        <f t="shared" si="4"/>
        <v>1</v>
      </c>
      <c r="AC41" s="1808">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862"/>
      <c r="Q42" s="531" t="str">
        <f t="shared" si="11"/>
        <v>单套建筑面积</v>
      </c>
      <c r="R42" s="669" t="s">
        <v>14</v>
      </c>
      <c r="S42" s="670">
        <f t="shared" si="12"/>
        <v>100</v>
      </c>
      <c r="T42" s="669" t="s">
        <v>14</v>
      </c>
      <c r="U42" s="670">
        <f t="shared" si="13"/>
        <v>100</v>
      </c>
      <c r="V42" s="669" t="s">
        <v>14</v>
      </c>
      <c r="W42" s="670">
        <f t="shared" si="14"/>
        <v>100</v>
      </c>
      <c r="X42" s="671"/>
      <c r="Y42" s="3864"/>
      <c r="Z42" s="672" t="str">
        <f t="shared" si="15"/>
        <v>单套建筑面积</v>
      </c>
      <c r="AA42" s="1263">
        <f t="shared" si="3"/>
        <v>1</v>
      </c>
      <c r="AB42" s="1263">
        <f t="shared" si="4"/>
        <v>1</v>
      </c>
      <c r="AC42" s="1808">
        <f t="shared" si="5"/>
        <v>1</v>
      </c>
    </row>
    <row r="43" spans="1:29" ht="15">
      <c r="A43" s="409"/>
      <c r="B43" s="364" t="s">
        <v>1789</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862"/>
      <c r="Q43" s="1262" t="str">
        <f t="shared" si="11"/>
        <v>内部装修</v>
      </c>
      <c r="R43" s="667" t="s">
        <v>14</v>
      </c>
      <c r="S43" s="668">
        <f t="shared" si="12"/>
        <v>100</v>
      </c>
      <c r="T43" s="667" t="s">
        <v>14</v>
      </c>
      <c r="U43" s="668">
        <f t="shared" si="13"/>
        <v>100</v>
      </c>
      <c r="V43" s="667" t="s">
        <v>14</v>
      </c>
      <c r="W43" s="668">
        <f t="shared" si="14"/>
        <v>100</v>
      </c>
      <c r="X43" s="1264"/>
      <c r="Y43" s="3864"/>
      <c r="Z43" s="1263" t="str">
        <f t="shared" si="15"/>
        <v>内部装修</v>
      </c>
      <c r="AA43" s="1263">
        <f t="shared" si="3"/>
        <v>1</v>
      </c>
      <c r="AB43" s="1263">
        <f t="shared" si="4"/>
        <v>1</v>
      </c>
      <c r="AC43" s="1808">
        <f t="shared" si="5"/>
        <v>1</v>
      </c>
    </row>
    <row r="44" spans="1:29" ht="15">
      <c r="A44" s="409"/>
      <c r="B44" s="364" t="s">
        <v>1705</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8"/>
      <c r="M44" s="2483"/>
      <c r="N44" s="2483"/>
      <c r="O44" s="2483"/>
      <c r="P44" s="3862"/>
      <c r="Q44" s="1262" t="str">
        <f t="shared" si="11"/>
        <v>内部装修维护情况</v>
      </c>
      <c r="R44" s="667" t="s">
        <v>14</v>
      </c>
      <c r="S44" s="668">
        <f t="shared" si="12"/>
        <v>100</v>
      </c>
      <c r="T44" s="667" t="s">
        <v>14</v>
      </c>
      <c r="U44" s="668">
        <f t="shared" si="13"/>
        <v>100</v>
      </c>
      <c r="V44" s="667" t="s">
        <v>14</v>
      </c>
      <c r="W44" s="668">
        <f t="shared" si="14"/>
        <v>100</v>
      </c>
      <c r="X44" s="1264"/>
      <c r="Y44" s="3864"/>
      <c r="Z44" s="1263" t="str">
        <f t="shared" si="15"/>
        <v>内部装修维护情况</v>
      </c>
      <c r="AA44" s="1263">
        <f t="shared" si="3"/>
        <v>1</v>
      </c>
      <c r="AB44" s="1263">
        <f t="shared" si="4"/>
        <v>1</v>
      </c>
      <c r="AC44" s="1808">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862"/>
      <c r="Q45" s="530">
        <f t="shared" si="11"/>
        <v>111</v>
      </c>
      <c r="R45" s="664" t="s">
        <v>14</v>
      </c>
      <c r="S45" s="665">
        <f t="shared" si="12"/>
        <v>100</v>
      </c>
      <c r="T45" s="664" t="s">
        <v>14</v>
      </c>
      <c r="U45" s="665">
        <f t="shared" si="13"/>
        <v>100</v>
      </c>
      <c r="V45" s="664" t="s">
        <v>14</v>
      </c>
      <c r="W45" s="665">
        <f t="shared" si="14"/>
        <v>100</v>
      </c>
      <c r="X45" s="666"/>
      <c r="Y45" s="386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862"/>
      <c r="Q46" s="1262">
        <f t="shared" si="11"/>
        <v>111</v>
      </c>
      <c r="R46" s="667" t="s">
        <v>14</v>
      </c>
      <c r="S46" s="668">
        <f t="shared" si="12"/>
        <v>100</v>
      </c>
      <c r="T46" s="667" t="s">
        <v>14</v>
      </c>
      <c r="U46" s="668">
        <f t="shared" si="13"/>
        <v>100</v>
      </c>
      <c r="V46" s="667" t="s">
        <v>14</v>
      </c>
      <c r="W46" s="668">
        <f t="shared" si="14"/>
        <v>100</v>
      </c>
      <c r="X46" s="1264"/>
      <c r="Y46" s="3864"/>
      <c r="Z46" s="1263">
        <f t="shared" si="15"/>
        <v>111</v>
      </c>
      <c r="AA46" s="1263">
        <f t="shared" si="3"/>
        <v>1</v>
      </c>
      <c r="AB46" s="1263">
        <f t="shared" si="4"/>
        <v>1</v>
      </c>
      <c r="AC46" s="1808">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863"/>
      <c r="Q47" s="1262">
        <f t="shared" si="11"/>
        <v>111</v>
      </c>
      <c r="R47" s="667" t="s">
        <v>14</v>
      </c>
      <c r="S47" s="668">
        <f t="shared" si="12"/>
        <v>100</v>
      </c>
      <c r="T47" s="667" t="s">
        <v>14</v>
      </c>
      <c r="U47" s="668">
        <f t="shared" si="13"/>
        <v>100</v>
      </c>
      <c r="V47" s="667" t="s">
        <v>14</v>
      </c>
      <c r="W47" s="668">
        <f t="shared" si="14"/>
        <v>100</v>
      </c>
      <c r="X47" s="1264"/>
      <c r="Y47" s="3865"/>
      <c r="Z47" s="1263">
        <f t="shared" si="15"/>
        <v>111</v>
      </c>
      <c r="AA47" s="1263">
        <f t="shared" si="3"/>
        <v>1</v>
      </c>
      <c r="AB47" s="1263">
        <f t="shared" si="4"/>
        <v>1</v>
      </c>
      <c r="AC47" s="1808">
        <f t="shared" si="5"/>
        <v>1</v>
      </c>
    </row>
    <row r="48" spans="1:29" ht="15">
      <c r="A48" s="416" t="s">
        <v>1706</v>
      </c>
      <c r="B48" s="417"/>
      <c r="C48" s="1081" t="s">
        <v>0</v>
      </c>
      <c r="D48" s="418"/>
      <c r="E48" s="419"/>
      <c r="F48" s="420"/>
      <c r="G48" s="421"/>
      <c r="H48" s="422"/>
      <c r="I48" s="419"/>
      <c r="J48" s="422"/>
      <c r="K48" s="674"/>
      <c r="L48" s="2490"/>
      <c r="M48" s="2483"/>
      <c r="N48" s="2483"/>
      <c r="O48" s="2483"/>
      <c r="P48" s="3840" t="str">
        <f>A48</f>
        <v>成交单价（元/平方米）</v>
      </c>
      <c r="Q48" s="3858"/>
      <c r="R48" s="3853">
        <f>E48</f>
        <v>0</v>
      </c>
      <c r="S48" s="3853"/>
      <c r="T48" s="3853">
        <f>G48</f>
        <v>0</v>
      </c>
      <c r="U48" s="3853"/>
      <c r="V48" s="3853">
        <f>I48</f>
        <v>0</v>
      </c>
      <c r="W48" s="3853"/>
      <c r="X48" s="385"/>
      <c r="Y48" s="673"/>
      <c r="Z48" s="385"/>
      <c r="AA48" s="385"/>
      <c r="AB48" s="385"/>
      <c r="AC48" s="555"/>
    </row>
    <row r="49" spans="1:29" ht="15.75" thickBot="1">
      <c r="A49" s="423" t="s">
        <v>1790</v>
      </c>
      <c r="B49" s="424"/>
      <c r="C49" s="1082" t="e">
        <f>R50</f>
        <v>#DIV/0!</v>
      </c>
      <c r="D49" s="2137" t="s">
        <v>2135</v>
      </c>
      <c r="E49" s="1083" t="e">
        <f>R49</f>
        <v>#DIV/0!</v>
      </c>
      <c r="F49" s="2138"/>
      <c r="G49" s="1082" t="e">
        <f>T49</f>
        <v>#DIV/0!</v>
      </c>
      <c r="H49" s="2138"/>
      <c r="I49" s="1083" t="e">
        <f>V49</f>
        <v>#DIV/0!</v>
      </c>
      <c r="J49" s="2138"/>
      <c r="K49" s="2140">
        <f>F49+H49+J49</f>
        <v>0</v>
      </c>
      <c r="L49" s="2490"/>
      <c r="M49" s="2483"/>
      <c r="N49" s="2483"/>
      <c r="O49" s="2483"/>
      <c r="P49" s="3840" t="str">
        <f>A49</f>
        <v>比较价值（元/平方米）</v>
      </c>
      <c r="Q49" s="3858"/>
      <c r="R49" s="3853" t="e">
        <f>IF(F1="售价",ROUND(PRODUCT(R48,AA7:AA47),0),ROUND(PRODUCT(R48,AA7:AA47),1))</f>
        <v>#DIV/0!</v>
      </c>
      <c r="S49" s="3853"/>
      <c r="T49" s="3853" t="e">
        <f>IF(F1="售价",ROUND(PRODUCT(T48,AB7:AB47),0),ROUND(PRODUCT(T48,AB7:AB47),1))</f>
        <v>#DIV/0!</v>
      </c>
      <c r="U49" s="3853"/>
      <c r="V49" s="3853" t="e">
        <f>IF(F1="售价",ROUND(PRODUCT(V48,AC7:AC47),0),ROUND(PRODUCT(V48,AC7:AC47),1))</f>
        <v>#DIV/0!</v>
      </c>
      <c r="W49" s="3853"/>
      <c r="X49" s="385"/>
      <c r="Y49" s="385"/>
      <c r="Z49" s="385"/>
      <c r="AA49" s="385"/>
      <c r="AB49" s="385"/>
      <c r="AC49" s="555"/>
    </row>
    <row r="50" spans="1:29" ht="15.75" thickBot="1">
      <c r="A50" s="427" t="s">
        <v>1791</v>
      </c>
      <c r="B50" s="428"/>
      <c r="C50" s="351" t="e">
        <f>R50</f>
        <v>#DIV/0!</v>
      </c>
      <c r="D50" s="351"/>
      <c r="E50" s="351"/>
      <c r="F50" s="351"/>
      <c r="G50" s="351"/>
      <c r="H50" s="351"/>
      <c r="I50" s="351"/>
      <c r="J50" s="429"/>
      <c r="K50" s="675"/>
      <c r="L50" s="2490"/>
      <c r="M50" s="2483"/>
      <c r="N50" s="2483"/>
      <c r="O50" s="2483"/>
      <c r="P50" s="3882" t="str">
        <f>A50</f>
        <v>估价对象XX用房的比较价值（楼面单价，元/平方米）</v>
      </c>
      <c r="Q50" s="3883"/>
      <c r="R50" s="3884" t="e">
        <f>IF(F1="售价",ROUND(IF(D49="简单平均",AVERAGE(R49:V49),R49*F49+T49*H49+V49*J49),0),ROUND(IF(D49="简单平均",AVERAGE(R49:V49),R49*F49+T49*H49+V49*J49),1))</f>
        <v>#DIV/0!</v>
      </c>
      <c r="S50" s="3884"/>
      <c r="T50" s="3884"/>
      <c r="U50" s="3884"/>
      <c r="V50" s="3884"/>
      <c r="W50" s="3884"/>
      <c r="X50" s="1794"/>
      <c r="Y50" s="1794"/>
      <c r="Z50" s="1794"/>
      <c r="AA50" s="1794"/>
      <c r="AB50" s="1794"/>
      <c r="AC50" s="1795"/>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1792</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1793</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1794</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1795</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2" t="str">
        <f>YEAR(C7)&amp;"-"&amp;MONTH(C7)</f>
        <v>2006-5</v>
      </c>
      <c r="D59" s="1103">
        <f>EDATE(C59,-1)</f>
        <v>38808</v>
      </c>
      <c r="E59" s="1103">
        <f>EDATE(D59,-1)</f>
        <v>38777</v>
      </c>
      <c r="F59" s="1103">
        <f t="shared" ref="F59:O59" si="16">EDATE(E59,-1)</f>
        <v>38749</v>
      </c>
      <c r="G59" s="1103">
        <f t="shared" si="16"/>
        <v>38718</v>
      </c>
      <c r="H59" s="1103">
        <f t="shared" si="16"/>
        <v>38687</v>
      </c>
      <c r="I59" s="1103">
        <f t="shared" si="16"/>
        <v>38657</v>
      </c>
      <c r="J59" s="1103">
        <f t="shared" si="16"/>
        <v>38626</v>
      </c>
      <c r="K59" s="1103">
        <f t="shared" si="16"/>
        <v>38596</v>
      </c>
      <c r="L59" s="1103">
        <f t="shared" si="16"/>
        <v>38565</v>
      </c>
      <c r="M59" s="1103">
        <f t="shared" si="16"/>
        <v>38534</v>
      </c>
      <c r="N59" s="1103">
        <f t="shared" si="16"/>
        <v>38504</v>
      </c>
      <c r="O59" s="1103">
        <f t="shared" si="16"/>
        <v>38473</v>
      </c>
      <c r="P59" s="2523"/>
      <c r="Q59" s="2506"/>
      <c r="R59" s="2506"/>
      <c r="S59" s="2506"/>
      <c r="T59" s="2506"/>
      <c r="U59" s="2506"/>
      <c r="V59" s="2506"/>
      <c r="W59" s="2506"/>
      <c r="X59" s="2506"/>
      <c r="Y59" s="2506"/>
      <c r="Z59" s="2506"/>
      <c r="AA59" s="2506"/>
      <c r="AB59" s="2506"/>
      <c r="AC59" s="2506"/>
    </row>
    <row r="60" spans="1:29" s="102" customFormat="1" ht="15">
      <c r="A60" s="443"/>
      <c r="B60" s="444"/>
      <c r="C60" s="1101">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75" thickBot="1">
      <c r="A61" s="449" t="s">
        <v>1714</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5">
      <c r="A62" s="455" t="s">
        <v>1681</v>
      </c>
      <c r="B62" s="444"/>
      <c r="C62" s="456" t="s">
        <v>1773</v>
      </c>
      <c r="D62" s="31"/>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c r="A64" s="379" t="s">
        <v>1717</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1818</v>
      </c>
      <c r="C77" s="504" t="s">
        <v>1719</v>
      </c>
      <c r="D77" s="504" t="s">
        <v>1720</v>
      </c>
      <c r="E77" s="504" t="s">
        <v>1721</v>
      </c>
      <c r="F77" s="504" t="s">
        <v>1722</v>
      </c>
      <c r="G77" s="504" t="s">
        <v>1723</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1724</v>
      </c>
      <c r="C79" s="509" t="s">
        <v>1719</v>
      </c>
      <c r="D79" s="509" t="s">
        <v>1720</v>
      </c>
      <c r="E79" s="509" t="s">
        <v>1721</v>
      </c>
      <c r="F79" s="509" t="s">
        <v>1722</v>
      </c>
      <c r="G79" s="509" t="s">
        <v>1723</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1725</v>
      </c>
      <c r="C81" s="509" t="s">
        <v>1719</v>
      </c>
      <c r="D81" s="509" t="s">
        <v>1720</v>
      </c>
      <c r="E81" s="509" t="s">
        <v>1721</v>
      </c>
      <c r="F81" s="509" t="s">
        <v>1722</v>
      </c>
      <c r="G81" s="509" t="s">
        <v>1723</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1810</v>
      </c>
      <c r="C83" s="581" t="s">
        <v>1796</v>
      </c>
      <c r="D83" s="581" t="s">
        <v>1797</v>
      </c>
      <c r="E83" s="581" t="s">
        <v>1798</v>
      </c>
      <c r="F83" s="581" t="s">
        <v>1799</v>
      </c>
      <c r="G83" s="581" t="s">
        <v>1800</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1819</v>
      </c>
      <c r="C85" s="509" t="s">
        <v>1719</v>
      </c>
      <c r="D85" s="509" t="s">
        <v>1720</v>
      </c>
      <c r="E85" s="509" t="s">
        <v>1721</v>
      </c>
      <c r="F85" s="509" t="s">
        <v>1722</v>
      </c>
      <c r="G85" s="509" t="s">
        <v>1723</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1820</v>
      </c>
      <c r="C87" s="485"/>
      <c r="D87" s="485"/>
      <c r="E87" s="485"/>
      <c r="F87" s="485"/>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9" t="str">
        <f>B27</f>
        <v>楼层</v>
      </c>
      <c r="C89" s="485"/>
      <c r="D89" s="485"/>
      <c r="E89" s="485"/>
      <c r="F89" s="1776"/>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1734</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1736</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1737</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1821</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1738</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1739</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1822</v>
      </c>
      <c r="C119" s="513"/>
      <c r="D119" s="513"/>
      <c r="E119" s="513"/>
      <c r="F119" s="513"/>
      <c r="G119" s="513"/>
      <c r="H119" s="513"/>
      <c r="I119" s="513"/>
      <c r="J119" s="513"/>
      <c r="K119" s="513"/>
      <c r="L119" s="1812"/>
      <c r="M119" s="1813"/>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1805</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1741</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1742</v>
      </c>
      <c r="C125" s="509" t="s">
        <v>1719</v>
      </c>
      <c r="D125" s="509" t="s">
        <v>1720</v>
      </c>
      <c r="E125" s="509" t="s">
        <v>1721</v>
      </c>
      <c r="F125" s="509" t="s">
        <v>1722</v>
      </c>
      <c r="G125" s="509" t="s">
        <v>1723</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1823</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1765</v>
      </c>
      <c r="D3" s="343">
        <f>IF(D1="",'数据-汇总表'!E3,SUMIF('数据-汇总表'!$C19:$C33,D1,'数据-汇总表'!$E19:$E33))</f>
        <v>204.54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1766</v>
      </c>
      <c r="B4" s="346"/>
      <c r="C4" s="3841" t="s">
        <v>1767</v>
      </c>
      <c r="D4" s="3842"/>
      <c r="E4" s="3843" t="s">
        <v>1768</v>
      </c>
      <c r="F4" s="3844"/>
      <c r="G4" s="3841" t="s">
        <v>1769</v>
      </c>
      <c r="H4" s="3842"/>
      <c r="I4" s="3841" t="s">
        <v>1770</v>
      </c>
      <c r="J4" s="3842"/>
      <c r="K4" s="537" t="s">
        <v>1771</v>
      </c>
      <c r="L4" s="860"/>
      <c r="M4" s="861"/>
      <c r="N4" s="861"/>
      <c r="O4" s="861"/>
      <c r="P4" s="3845" t="s">
        <v>1772</v>
      </c>
      <c r="Q4" s="3846"/>
      <c r="R4" s="3827" t="s">
        <v>1768</v>
      </c>
      <c r="S4" s="3828"/>
      <c r="T4" s="3827" t="s">
        <v>1769</v>
      </c>
      <c r="U4" s="3828"/>
      <c r="V4" s="3853" t="s">
        <v>1770</v>
      </c>
      <c r="W4" s="3853"/>
      <c r="X4" s="1264"/>
      <c r="Y4" s="3827" t="s">
        <v>1772</v>
      </c>
      <c r="Z4" s="3828"/>
      <c r="AA4" s="3822" t="s">
        <v>1768</v>
      </c>
      <c r="AB4" s="3823" t="s">
        <v>1769</v>
      </c>
      <c r="AC4" s="3822" t="s">
        <v>1770</v>
      </c>
    </row>
    <row r="5" spans="1:29" ht="15">
      <c r="A5" s="348"/>
      <c r="B5" s="349"/>
      <c r="C5" s="3869" t="s">
        <v>1673</v>
      </c>
      <c r="D5" s="3834"/>
      <c r="E5" s="3868" t="s">
        <v>1674</v>
      </c>
      <c r="F5" s="3832"/>
      <c r="G5" s="3869" t="s">
        <v>1675</v>
      </c>
      <c r="H5" s="3834"/>
      <c r="I5" s="3869" t="s">
        <v>1676</v>
      </c>
      <c r="J5" s="3834"/>
      <c r="K5" s="537"/>
      <c r="L5" s="860"/>
      <c r="M5" s="861"/>
      <c r="N5" s="861"/>
      <c r="O5" s="861"/>
      <c r="P5" s="3847"/>
      <c r="Q5" s="3848"/>
      <c r="R5" s="3829"/>
      <c r="S5" s="3830"/>
      <c r="T5" s="3829"/>
      <c r="U5" s="3830"/>
      <c r="V5" s="3853"/>
      <c r="W5" s="3853"/>
      <c r="X5" s="1264"/>
      <c r="Y5" s="3829"/>
      <c r="Z5" s="3830"/>
      <c r="AA5" s="3823"/>
      <c r="AB5" s="3823"/>
      <c r="AC5" s="3823"/>
    </row>
    <row r="6" spans="1:29" ht="15.75" thickBot="1">
      <c r="A6" s="350"/>
      <c r="B6" s="351"/>
      <c r="C6" s="3835" t="s">
        <v>1677</v>
      </c>
      <c r="D6" s="3836"/>
      <c r="E6" s="3838" t="s">
        <v>1677</v>
      </c>
      <c r="F6" s="3839"/>
      <c r="G6" s="3835" t="s">
        <v>1677</v>
      </c>
      <c r="H6" s="3836"/>
      <c r="I6" s="3835" t="s">
        <v>1677</v>
      </c>
      <c r="J6" s="3836"/>
      <c r="K6" s="537" t="s">
        <v>1678</v>
      </c>
      <c r="L6" s="860"/>
      <c r="M6" s="861"/>
      <c r="N6" s="861"/>
      <c r="O6" s="861"/>
      <c r="P6" s="3849"/>
      <c r="Q6" s="3850"/>
      <c r="R6" s="3829"/>
      <c r="S6" s="3830"/>
      <c r="T6" s="3851"/>
      <c r="U6" s="3852"/>
      <c r="V6" s="3853"/>
      <c r="W6" s="3853"/>
      <c r="X6" s="1264"/>
      <c r="Y6" s="3851"/>
      <c r="Z6" s="3852"/>
      <c r="AA6" s="3824"/>
      <c r="AB6" s="3824"/>
      <c r="AC6" s="3824"/>
    </row>
    <row r="7" spans="1:29" s="102" customFormat="1" ht="15.75" thickBot="1">
      <c r="A7" s="352" t="s">
        <v>1679</v>
      </c>
      <c r="B7" s="353"/>
      <c r="C7" s="354">
        <f>'数据-取费表'!B2</f>
        <v>38867</v>
      </c>
      <c r="D7" s="355">
        <v>100</v>
      </c>
      <c r="E7" s="356"/>
      <c r="F7" s="357">
        <f>SUMIF(52:52,YEAR(E7)&amp;"-"&amp;MONTH(E7),53:53)</f>
        <v>0</v>
      </c>
      <c r="G7" s="356"/>
      <c r="H7" s="355">
        <f>SUMIF(52:52,YEAR(G7)&amp;"-"&amp;MONTH(G7),53:53)</f>
        <v>0</v>
      </c>
      <c r="I7" s="356"/>
      <c r="J7" s="355">
        <f>SUMIF(52:52,YEAR(I7)&amp;"-"&amp;MONTH(I7),53:53)</f>
        <v>0</v>
      </c>
      <c r="K7" s="38"/>
      <c r="L7" s="862"/>
      <c r="M7" s="863"/>
      <c r="N7" s="863"/>
      <c r="O7" s="863"/>
      <c r="P7" s="3825" t="s">
        <v>1680</v>
      </c>
      <c r="Q7" s="3854"/>
      <c r="R7" s="664" t="s">
        <v>14</v>
      </c>
      <c r="S7" s="665">
        <f t="shared" ref="S7:S15" si="0">F7</f>
        <v>0</v>
      </c>
      <c r="T7" s="664" t="s">
        <v>14</v>
      </c>
      <c r="U7" s="665">
        <f t="shared" ref="U7:U15" si="1">H7</f>
        <v>0</v>
      </c>
      <c r="V7" s="664" t="s">
        <v>14</v>
      </c>
      <c r="W7" s="665">
        <f t="shared" ref="W7:W15" si="2">J7</f>
        <v>0</v>
      </c>
      <c r="X7" s="666"/>
      <c r="Y7" s="3825" t="s">
        <v>1680</v>
      </c>
      <c r="Z7" s="382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825" t="s">
        <v>1683</v>
      </c>
      <c r="Q8" s="3826"/>
      <c r="R8" s="664" t="s">
        <v>14</v>
      </c>
      <c r="S8" s="665">
        <f t="shared" si="0"/>
        <v>100</v>
      </c>
      <c r="T8" s="664" t="s">
        <v>14</v>
      </c>
      <c r="U8" s="665">
        <f t="shared" si="1"/>
        <v>100</v>
      </c>
      <c r="V8" s="664" t="s">
        <v>14</v>
      </c>
      <c r="W8" s="665">
        <f t="shared" si="2"/>
        <v>100</v>
      </c>
      <c r="X8" s="666"/>
      <c r="Y8" s="3825" t="s">
        <v>1683</v>
      </c>
      <c r="Z8" s="382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858" t="s">
        <v>1686</v>
      </c>
      <c r="Q9" s="530" t="str">
        <f t="shared" ref="Q9:Q15" si="6">B9</f>
        <v>用途</v>
      </c>
      <c r="R9" s="664" t="s">
        <v>14</v>
      </c>
      <c r="S9" s="665">
        <f t="shared" si="0"/>
        <v>100</v>
      </c>
      <c r="T9" s="664" t="s">
        <v>14</v>
      </c>
      <c r="U9" s="665">
        <f t="shared" si="1"/>
        <v>100</v>
      </c>
      <c r="V9" s="664" t="s">
        <v>14</v>
      </c>
      <c r="W9" s="665">
        <f t="shared" si="2"/>
        <v>100</v>
      </c>
      <c r="X9" s="666"/>
      <c r="Y9" s="3769"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858"/>
      <c r="Q10" s="530" t="str">
        <f t="shared" si="6"/>
        <v>土地使用年限（年）</v>
      </c>
      <c r="R10" s="664" t="s">
        <v>14</v>
      </c>
      <c r="S10" s="665">
        <f t="shared" si="0"/>
        <v>100</v>
      </c>
      <c r="T10" s="664" t="s">
        <v>14</v>
      </c>
      <c r="U10" s="665">
        <f t="shared" si="1"/>
        <v>100</v>
      </c>
      <c r="V10" s="664" t="s">
        <v>14</v>
      </c>
      <c r="W10" s="665">
        <f t="shared" si="2"/>
        <v>100</v>
      </c>
      <c r="X10" s="666"/>
      <c r="Y10" s="376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858"/>
      <c r="Q11" s="530" t="str">
        <f t="shared" si="6"/>
        <v>容积率</v>
      </c>
      <c r="R11" s="664" t="s">
        <v>14</v>
      </c>
      <c r="S11" s="665">
        <f t="shared" si="0"/>
        <v>100</v>
      </c>
      <c r="T11" s="664" t="s">
        <v>14</v>
      </c>
      <c r="U11" s="665">
        <f t="shared" si="1"/>
        <v>100</v>
      </c>
      <c r="V11" s="664" t="s">
        <v>14</v>
      </c>
      <c r="W11" s="665">
        <f t="shared" si="2"/>
        <v>100</v>
      </c>
      <c r="X11" s="666"/>
      <c r="Y11" s="376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62"/>
      <c r="M12" s="863"/>
      <c r="N12" s="863"/>
      <c r="O12" s="864"/>
      <c r="P12" s="3858"/>
      <c r="Q12" s="530">
        <f t="shared" si="6"/>
        <v>111</v>
      </c>
      <c r="R12" s="664" t="s">
        <v>14</v>
      </c>
      <c r="S12" s="665">
        <f t="shared" si="0"/>
        <v>100</v>
      </c>
      <c r="T12" s="664" t="s">
        <v>14</v>
      </c>
      <c r="U12" s="665">
        <f t="shared" si="1"/>
        <v>100</v>
      </c>
      <c r="V12" s="664" t="s">
        <v>14</v>
      </c>
      <c r="W12" s="665">
        <f t="shared" si="2"/>
        <v>100</v>
      </c>
      <c r="X12" s="666"/>
      <c r="Y12" s="376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70"/>
      <c r="M13" s="861"/>
      <c r="N13" s="861"/>
      <c r="O13" s="869"/>
      <c r="P13" s="3858"/>
      <c r="Q13" s="530">
        <f t="shared" si="6"/>
        <v>111</v>
      </c>
      <c r="R13" s="664" t="s">
        <v>14</v>
      </c>
      <c r="S13" s="665">
        <f t="shared" si="0"/>
        <v>100</v>
      </c>
      <c r="T13" s="664" t="s">
        <v>14</v>
      </c>
      <c r="U13" s="665">
        <f t="shared" si="1"/>
        <v>100</v>
      </c>
      <c r="V13" s="664" t="s">
        <v>14</v>
      </c>
      <c r="W13" s="665">
        <f t="shared" si="2"/>
        <v>100</v>
      </c>
      <c r="X13" s="666"/>
      <c r="Y13" s="3769"/>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4"/>
      <c r="H14" s="377">
        <f>SUMIF(68:68,G14,69:69)-SUMIF(68:68,C14,69:69)+100</f>
        <v>100</v>
      </c>
      <c r="I14" s="407"/>
      <c r="J14" s="377">
        <f>SUMIF(68:68,I14,69:69)-SUMIF(68:68,C14,69:69)+100</f>
        <v>100</v>
      </c>
      <c r="K14" s="539"/>
      <c r="L14" s="870"/>
      <c r="M14" s="861"/>
      <c r="N14" s="861"/>
      <c r="O14" s="869"/>
      <c r="P14" s="3858"/>
      <c r="Q14" s="530">
        <f t="shared" si="6"/>
        <v>111</v>
      </c>
      <c r="R14" s="664" t="s">
        <v>14</v>
      </c>
      <c r="S14" s="665">
        <f t="shared" si="0"/>
        <v>100</v>
      </c>
      <c r="T14" s="664" t="s">
        <v>14</v>
      </c>
      <c r="U14" s="665">
        <f t="shared" si="1"/>
        <v>100</v>
      </c>
      <c r="V14" s="664" t="s">
        <v>14</v>
      </c>
      <c r="W14" s="665">
        <f t="shared" si="2"/>
        <v>100</v>
      </c>
      <c r="X14" s="666"/>
      <c r="Y14" s="3769"/>
      <c r="Z14" s="50">
        <f t="shared" si="7"/>
        <v>111</v>
      </c>
      <c r="AA14" s="50">
        <f t="shared" si="3"/>
        <v>1</v>
      </c>
      <c r="AB14" s="50">
        <f t="shared" si="4"/>
        <v>1</v>
      </c>
      <c r="AC14" s="50">
        <f t="shared" si="5"/>
        <v>1</v>
      </c>
    </row>
    <row r="15" spans="1:29" ht="57">
      <c r="A15" s="379" t="s">
        <v>1690</v>
      </c>
      <c r="B15" s="58" t="s">
        <v>1824</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859" t="s">
        <v>1691</v>
      </c>
      <c r="Q15" s="1262" t="str">
        <f t="shared" si="6"/>
        <v>产业集聚程度</v>
      </c>
      <c r="R15" s="667" t="s">
        <v>14</v>
      </c>
      <c r="S15" s="668">
        <f t="shared" si="0"/>
        <v>100</v>
      </c>
      <c r="T15" s="667" t="s">
        <v>14</v>
      </c>
      <c r="U15" s="668">
        <f t="shared" si="1"/>
        <v>100</v>
      </c>
      <c r="V15" s="667" t="s">
        <v>14</v>
      </c>
      <c r="W15" s="668">
        <f t="shared" si="2"/>
        <v>100</v>
      </c>
      <c r="X15" s="1264"/>
      <c r="Y15" s="3859"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860"/>
      <c r="Q16" s="1262"/>
      <c r="R16" s="667"/>
      <c r="S16" s="668"/>
      <c r="T16" s="667"/>
      <c r="U16" s="668"/>
      <c r="V16" s="667"/>
      <c r="W16" s="668"/>
      <c r="X16" s="1264"/>
      <c r="Y16" s="3860"/>
      <c r="Z16" s="1263"/>
      <c r="AA16" s="1263">
        <v>1</v>
      </c>
      <c r="AB16" s="1263">
        <v>1</v>
      </c>
      <c r="AC16" s="1263">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860"/>
      <c r="Q17" s="1262" t="str">
        <f>B17</f>
        <v>交通便捷度</v>
      </c>
      <c r="R17" s="667" t="s">
        <v>14</v>
      </c>
      <c r="S17" s="668">
        <f>F17</f>
        <v>100</v>
      </c>
      <c r="T17" s="667" t="s">
        <v>14</v>
      </c>
      <c r="U17" s="668">
        <f>H17</f>
        <v>100</v>
      </c>
      <c r="V17" s="667" t="s">
        <v>14</v>
      </c>
      <c r="W17" s="668">
        <f>J17</f>
        <v>100</v>
      </c>
      <c r="X17" s="1264"/>
      <c r="Y17" s="3860"/>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860"/>
      <c r="Q18" s="1262"/>
      <c r="R18" s="667"/>
      <c r="S18" s="668"/>
      <c r="T18" s="667"/>
      <c r="U18" s="668"/>
      <c r="V18" s="667"/>
      <c r="W18" s="668"/>
      <c r="X18" s="1264"/>
      <c r="Y18" s="3860"/>
      <c r="Z18" s="1263"/>
      <c r="AA18" s="1263">
        <v>1</v>
      </c>
      <c r="AB18" s="1263">
        <v>1</v>
      </c>
      <c r="AC18" s="1263">
        <v>1</v>
      </c>
    </row>
    <row r="19" spans="1:29" ht="42.75">
      <c r="A19" s="367"/>
      <c r="B19" s="390" t="s">
        <v>1809</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860"/>
      <c r="Q19" s="1262" t="str">
        <f>B19</f>
        <v>公共配套设施</v>
      </c>
      <c r="R19" s="667" t="s">
        <v>14</v>
      </c>
      <c r="S19" s="668">
        <f>F19</f>
        <v>100</v>
      </c>
      <c r="T19" s="667" t="s">
        <v>14</v>
      </c>
      <c r="U19" s="668">
        <f>H19</f>
        <v>100</v>
      </c>
      <c r="V19" s="667" t="s">
        <v>14</v>
      </c>
      <c r="W19" s="668">
        <f>J19</f>
        <v>100</v>
      </c>
      <c r="X19" s="1264"/>
      <c r="Y19" s="3860"/>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860"/>
      <c r="Q20" s="1262"/>
      <c r="R20" s="667"/>
      <c r="S20" s="668"/>
      <c r="T20" s="667"/>
      <c r="U20" s="668"/>
      <c r="V20" s="667"/>
      <c r="W20" s="668"/>
      <c r="X20" s="1264"/>
      <c r="Y20" s="3860"/>
      <c r="Z20" s="1263"/>
      <c r="AA20" s="1263">
        <v>1</v>
      </c>
      <c r="AB20" s="1263">
        <v>1</v>
      </c>
      <c r="AC20" s="1263">
        <v>1</v>
      </c>
    </row>
    <row r="21" spans="1:29" ht="28.5">
      <c r="A21" s="367"/>
      <c r="B21" s="586" t="s">
        <v>1810</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860"/>
      <c r="Q21" s="1262" t="str">
        <f>B21</f>
        <v>基础设施水平</v>
      </c>
      <c r="R21" s="667" t="s">
        <v>14</v>
      </c>
      <c r="S21" s="668">
        <f>F21</f>
        <v>100</v>
      </c>
      <c r="T21" s="667" t="s">
        <v>14</v>
      </c>
      <c r="U21" s="668">
        <f>H21</f>
        <v>100</v>
      </c>
      <c r="V21" s="667" t="s">
        <v>14</v>
      </c>
      <c r="W21" s="668">
        <f>J21</f>
        <v>100</v>
      </c>
      <c r="X21" s="1264"/>
      <c r="Y21" s="3860"/>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870"/>
      <c r="M22" s="861"/>
      <c r="N22" s="861"/>
      <c r="O22" s="869"/>
      <c r="P22" s="3860"/>
      <c r="Q22" s="1262"/>
      <c r="R22" s="667"/>
      <c r="S22" s="668"/>
      <c r="T22" s="667"/>
      <c r="U22" s="668"/>
      <c r="V22" s="667"/>
      <c r="W22" s="668"/>
      <c r="X22" s="1264"/>
      <c r="Y22" s="3860"/>
      <c r="Z22" s="1263"/>
      <c r="AA22" s="1263">
        <v>1</v>
      </c>
      <c r="AB22" s="1263">
        <v>1</v>
      </c>
      <c r="AC22" s="1263">
        <v>1</v>
      </c>
    </row>
    <row r="23" spans="1:29" ht="71.25">
      <c r="A23" s="367"/>
      <c r="B23" s="390" t="s">
        <v>1811</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860"/>
      <c r="Q23" s="1262" t="str">
        <f>B23</f>
        <v>环境质量</v>
      </c>
      <c r="R23" s="667" t="s">
        <v>14</v>
      </c>
      <c r="S23" s="668">
        <f>F23</f>
        <v>100</v>
      </c>
      <c r="T23" s="667" t="s">
        <v>14</v>
      </c>
      <c r="U23" s="668">
        <f>H23</f>
        <v>100</v>
      </c>
      <c r="V23" s="667" t="s">
        <v>14</v>
      </c>
      <c r="W23" s="668">
        <f>J23</f>
        <v>100</v>
      </c>
      <c r="X23" s="1264"/>
      <c r="Y23" s="3860"/>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860"/>
      <c r="Q24" s="1262"/>
      <c r="R24" s="667"/>
      <c r="S24" s="668"/>
      <c r="T24" s="667"/>
      <c r="U24" s="668"/>
      <c r="V24" s="667"/>
      <c r="W24" s="668"/>
      <c r="X24" s="1264"/>
      <c r="Y24" s="3860"/>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860"/>
      <c r="Q25" s="1262">
        <f>B25</f>
        <v>111</v>
      </c>
      <c r="R25" s="667" t="s">
        <v>14</v>
      </c>
      <c r="S25" s="668">
        <f>F25</f>
        <v>100</v>
      </c>
      <c r="T25" s="667" t="s">
        <v>14</v>
      </c>
      <c r="U25" s="668">
        <f>H25</f>
        <v>100</v>
      </c>
      <c r="V25" s="667" t="s">
        <v>14</v>
      </c>
      <c r="W25" s="668">
        <f>J25</f>
        <v>100</v>
      </c>
      <c r="X25" s="1264"/>
      <c r="Y25" s="3860"/>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860"/>
      <c r="Q26" s="1262">
        <f t="shared" ref="Q26:Q40" si="11">B26</f>
        <v>111</v>
      </c>
      <c r="R26" s="667" t="s">
        <v>14</v>
      </c>
      <c r="S26" s="668">
        <f>F26</f>
        <v>100</v>
      </c>
      <c r="T26" s="667" t="s">
        <v>14</v>
      </c>
      <c r="U26" s="668">
        <f>H26</f>
        <v>100</v>
      </c>
      <c r="V26" s="667" t="s">
        <v>14</v>
      </c>
      <c r="W26" s="668">
        <f>J26</f>
        <v>100</v>
      </c>
      <c r="X26" s="1264"/>
      <c r="Y26" s="3860"/>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860"/>
      <c r="Q27" s="530">
        <f t="shared" si="11"/>
        <v>111</v>
      </c>
      <c r="R27" s="664" t="s">
        <v>14</v>
      </c>
      <c r="S27" s="665">
        <f>F27</f>
        <v>100</v>
      </c>
      <c r="T27" s="664" t="s">
        <v>14</v>
      </c>
      <c r="U27" s="665">
        <f>H27</f>
        <v>100</v>
      </c>
      <c r="V27" s="664" t="s">
        <v>14</v>
      </c>
      <c r="W27" s="665">
        <f>J27</f>
        <v>100</v>
      </c>
      <c r="X27" s="666"/>
      <c r="Y27" s="3860"/>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860"/>
      <c r="Q28" s="1262">
        <f t="shared" si="11"/>
        <v>111</v>
      </c>
      <c r="R28" s="667" t="s">
        <v>14</v>
      </c>
      <c r="S28" s="668">
        <f t="shared" ref="S28:S40" si="12">F28</f>
        <v>100</v>
      </c>
      <c r="T28" s="667" t="s">
        <v>14</v>
      </c>
      <c r="U28" s="668">
        <f t="shared" ref="U28:U40" si="13">H28</f>
        <v>100</v>
      </c>
      <c r="V28" s="667" t="s">
        <v>14</v>
      </c>
      <c r="W28" s="668">
        <f t="shared" ref="W28:W40" si="14">J28</f>
        <v>100</v>
      </c>
      <c r="X28" s="1264"/>
      <c r="Y28" s="3860"/>
      <c r="Z28" s="1263">
        <f t="shared" ref="Z28:Z40" si="15">Q28</f>
        <v>111</v>
      </c>
      <c r="AA28" s="1263">
        <f t="shared" si="3"/>
        <v>1</v>
      </c>
      <c r="AB28" s="1263">
        <f t="shared" si="4"/>
        <v>1</v>
      </c>
      <c r="AC28" s="1263">
        <f t="shared" si="5"/>
        <v>1</v>
      </c>
    </row>
    <row r="29" spans="1:29" ht="28.5">
      <c r="A29" s="404" t="s">
        <v>1694</v>
      </c>
      <c r="B29" s="60" t="s">
        <v>1814</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885" t="s">
        <v>1696</v>
      </c>
      <c r="Q29" s="1262" t="str">
        <f t="shared" si="11"/>
        <v>建筑类型</v>
      </c>
      <c r="R29" s="667" t="s">
        <v>14</v>
      </c>
      <c r="S29" s="668">
        <f t="shared" si="12"/>
        <v>100</v>
      </c>
      <c r="T29" s="667" t="s">
        <v>14</v>
      </c>
      <c r="U29" s="668">
        <f t="shared" si="13"/>
        <v>100</v>
      </c>
      <c r="V29" s="667" t="s">
        <v>14</v>
      </c>
      <c r="W29" s="668">
        <f t="shared" si="14"/>
        <v>100</v>
      </c>
      <c r="X29" s="1264"/>
      <c r="Y29" s="3864"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864"/>
      <c r="Q30" s="531" t="str">
        <f t="shared" si="11"/>
        <v>项目建筑规模</v>
      </c>
      <c r="R30" s="669" t="s">
        <v>14</v>
      </c>
      <c r="S30" s="670" t="e">
        <f t="shared" si="12"/>
        <v>#N/A</v>
      </c>
      <c r="T30" s="669" t="s">
        <v>14</v>
      </c>
      <c r="U30" s="670" t="e">
        <f t="shared" si="13"/>
        <v>#N/A</v>
      </c>
      <c r="V30" s="669" t="s">
        <v>14</v>
      </c>
      <c r="W30" s="670" t="e">
        <f t="shared" si="14"/>
        <v>#N/A</v>
      </c>
      <c r="X30" s="671"/>
      <c r="Y30" s="3864"/>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864"/>
      <c r="Q31" s="1262" t="str">
        <f t="shared" si="11"/>
        <v>建筑结构</v>
      </c>
      <c r="R31" s="667" t="s">
        <v>14</v>
      </c>
      <c r="S31" s="668">
        <f t="shared" si="12"/>
        <v>100</v>
      </c>
      <c r="T31" s="667" t="s">
        <v>14</v>
      </c>
      <c r="U31" s="668">
        <f t="shared" si="13"/>
        <v>100</v>
      </c>
      <c r="V31" s="667" t="s">
        <v>14</v>
      </c>
      <c r="W31" s="668">
        <f t="shared" si="14"/>
        <v>100</v>
      </c>
      <c r="X31" s="1264"/>
      <c r="Y31" s="3864"/>
      <c r="Z31" s="1263" t="str">
        <f t="shared" si="15"/>
        <v>建筑结构</v>
      </c>
      <c r="AA31" s="1263">
        <f t="shared" si="3"/>
        <v>1</v>
      </c>
      <c r="AB31" s="1263">
        <f t="shared" si="4"/>
        <v>1</v>
      </c>
      <c r="AC31" s="1263">
        <f t="shared" si="5"/>
        <v>1</v>
      </c>
    </row>
    <row r="32" spans="1:29" ht="1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864"/>
      <c r="Q32" s="1262" t="str">
        <f t="shared" si="11"/>
        <v>公共部分装修</v>
      </c>
      <c r="R32" s="667" t="s">
        <v>14</v>
      </c>
      <c r="S32" s="668">
        <f t="shared" si="12"/>
        <v>100</v>
      </c>
      <c r="T32" s="667" t="s">
        <v>14</v>
      </c>
      <c r="U32" s="668">
        <f t="shared" si="13"/>
        <v>100</v>
      </c>
      <c r="V32" s="667" t="s">
        <v>14</v>
      </c>
      <c r="W32" s="668">
        <f t="shared" si="14"/>
        <v>100</v>
      </c>
      <c r="X32" s="1264"/>
      <c r="Y32" s="3864"/>
      <c r="Z32" s="1263" t="str">
        <f t="shared" si="15"/>
        <v>公共部分装修</v>
      </c>
      <c r="AA32" s="1263">
        <f t="shared" si="3"/>
        <v>1</v>
      </c>
      <c r="AB32" s="1263">
        <f t="shared" si="4"/>
        <v>1</v>
      </c>
      <c r="AC32" s="1263">
        <f t="shared" si="5"/>
        <v>1</v>
      </c>
    </row>
    <row r="33" spans="1:29" ht="1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864"/>
      <c r="Q33" s="1262" t="str">
        <f t="shared" si="11"/>
        <v>成新度</v>
      </c>
      <c r="R33" s="667" t="s">
        <v>14</v>
      </c>
      <c r="S33" s="668" t="e">
        <f t="shared" si="12"/>
        <v>#N/A</v>
      </c>
      <c r="T33" s="667" t="s">
        <v>14</v>
      </c>
      <c r="U33" s="668" t="e">
        <f t="shared" si="13"/>
        <v>#N/A</v>
      </c>
      <c r="V33" s="667" t="s">
        <v>14</v>
      </c>
      <c r="W33" s="668" t="e">
        <f t="shared" si="14"/>
        <v>#N/A</v>
      </c>
      <c r="X33" s="1264"/>
      <c r="Y33" s="3864"/>
      <c r="Z33" s="1263" t="str">
        <f t="shared" si="15"/>
        <v>成新度</v>
      </c>
      <c r="AA33" s="1263" t="e">
        <f t="shared" si="3"/>
        <v>#N/A</v>
      </c>
      <c r="AB33" s="1263" t="e">
        <f t="shared" si="4"/>
        <v>#N/A</v>
      </c>
      <c r="AC33" s="1263"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864"/>
      <c r="Q34" s="530" t="str">
        <f t="shared" si="11"/>
        <v>物业管理</v>
      </c>
      <c r="R34" s="664" t="s">
        <v>14</v>
      </c>
      <c r="S34" s="665">
        <f t="shared" si="12"/>
        <v>100</v>
      </c>
      <c r="T34" s="664" t="s">
        <v>14</v>
      </c>
      <c r="U34" s="665">
        <f t="shared" si="13"/>
        <v>100</v>
      </c>
      <c r="V34" s="664" t="s">
        <v>14</v>
      </c>
      <c r="W34" s="665">
        <f t="shared" si="14"/>
        <v>100</v>
      </c>
      <c r="X34" s="666"/>
      <c r="Y34" s="3864"/>
      <c r="Z34" s="50" t="str">
        <f t="shared" si="15"/>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864" t="s">
        <v>1696</v>
      </c>
      <c r="Q35" s="1262" t="str">
        <f t="shared" si="11"/>
        <v>市政基础设施</v>
      </c>
      <c r="R35" s="667" t="s">
        <v>14</v>
      </c>
      <c r="S35" s="668">
        <f t="shared" si="12"/>
        <v>100</v>
      </c>
      <c r="T35" s="667" t="s">
        <v>14</v>
      </c>
      <c r="U35" s="668">
        <f t="shared" si="13"/>
        <v>100</v>
      </c>
      <c r="V35" s="667" t="s">
        <v>14</v>
      </c>
      <c r="W35" s="668">
        <f t="shared" si="14"/>
        <v>100</v>
      </c>
      <c r="X35" s="1264"/>
      <c r="Y35" s="3864" t="s">
        <v>1696</v>
      </c>
      <c r="Z35" s="1263" t="str">
        <f t="shared" si="15"/>
        <v>市政基础设施</v>
      </c>
      <c r="AA35" s="1263">
        <f t="shared" si="3"/>
        <v>1</v>
      </c>
      <c r="AB35" s="1263">
        <f t="shared" si="4"/>
        <v>1</v>
      </c>
      <c r="AC35" s="1263">
        <f t="shared" si="5"/>
        <v>1</v>
      </c>
    </row>
    <row r="36" spans="1:29" ht="1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864"/>
      <c r="Q36" s="1262" t="str">
        <f t="shared" si="11"/>
        <v>内部装修</v>
      </c>
      <c r="R36" s="667" t="s">
        <v>14</v>
      </c>
      <c r="S36" s="668">
        <f t="shared" si="12"/>
        <v>100</v>
      </c>
      <c r="T36" s="667" t="s">
        <v>14</v>
      </c>
      <c r="U36" s="668">
        <f t="shared" si="13"/>
        <v>100</v>
      </c>
      <c r="V36" s="667" t="s">
        <v>14</v>
      </c>
      <c r="W36" s="668">
        <f t="shared" si="14"/>
        <v>100</v>
      </c>
      <c r="X36" s="1264"/>
      <c r="Y36" s="3864"/>
      <c r="Z36" s="1263" t="str">
        <f t="shared" si="15"/>
        <v>内部装修</v>
      </c>
      <c r="AA36" s="1263">
        <f t="shared" si="3"/>
        <v>1</v>
      </c>
      <c r="AB36" s="1263">
        <f t="shared" si="4"/>
        <v>1</v>
      </c>
      <c r="AC36" s="1263">
        <f t="shared" si="5"/>
        <v>1</v>
      </c>
    </row>
    <row r="37" spans="1:29" ht="1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864"/>
      <c r="Q37" s="1262" t="str">
        <f t="shared" si="11"/>
        <v>内部装修状况</v>
      </c>
      <c r="R37" s="667" t="s">
        <v>14</v>
      </c>
      <c r="S37" s="668">
        <f t="shared" si="12"/>
        <v>100</v>
      </c>
      <c r="T37" s="667" t="s">
        <v>14</v>
      </c>
      <c r="U37" s="668">
        <f t="shared" si="13"/>
        <v>100</v>
      </c>
      <c r="V37" s="667" t="s">
        <v>14</v>
      </c>
      <c r="W37" s="668">
        <f t="shared" si="14"/>
        <v>100</v>
      </c>
      <c r="X37" s="1264"/>
      <c r="Y37" s="3864"/>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864"/>
      <c r="Q38" s="531">
        <f t="shared" si="11"/>
        <v>111</v>
      </c>
      <c r="R38" s="669" t="s">
        <v>14</v>
      </c>
      <c r="S38" s="670">
        <f t="shared" si="12"/>
        <v>100</v>
      </c>
      <c r="T38" s="669" t="s">
        <v>14</v>
      </c>
      <c r="U38" s="670">
        <f t="shared" si="13"/>
        <v>100</v>
      </c>
      <c r="V38" s="669" t="s">
        <v>14</v>
      </c>
      <c r="W38" s="670">
        <f t="shared" si="14"/>
        <v>100</v>
      </c>
      <c r="X38" s="671"/>
      <c r="Y38" s="3864"/>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864"/>
      <c r="Q39" s="1262">
        <f t="shared" si="11"/>
        <v>111</v>
      </c>
      <c r="R39" s="667" t="s">
        <v>14</v>
      </c>
      <c r="S39" s="668">
        <f t="shared" si="12"/>
        <v>100</v>
      </c>
      <c r="T39" s="667" t="s">
        <v>14</v>
      </c>
      <c r="U39" s="668">
        <f t="shared" si="13"/>
        <v>100</v>
      </c>
      <c r="V39" s="667" t="s">
        <v>14</v>
      </c>
      <c r="W39" s="668">
        <f t="shared" si="14"/>
        <v>100</v>
      </c>
      <c r="X39" s="1264"/>
      <c r="Y39" s="3864"/>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865"/>
      <c r="Q40" s="1262">
        <f t="shared" si="11"/>
        <v>111</v>
      </c>
      <c r="R40" s="667" t="s">
        <v>14</v>
      </c>
      <c r="S40" s="668">
        <f t="shared" si="12"/>
        <v>100</v>
      </c>
      <c r="T40" s="667" t="s">
        <v>14</v>
      </c>
      <c r="U40" s="668">
        <f t="shared" si="13"/>
        <v>100</v>
      </c>
      <c r="V40" s="667" t="s">
        <v>14</v>
      </c>
      <c r="W40" s="668">
        <f t="shared" si="14"/>
        <v>100</v>
      </c>
      <c r="X40" s="1264"/>
      <c r="Y40" s="3865"/>
      <c r="Z40" s="1263">
        <f t="shared" si="15"/>
        <v>111</v>
      </c>
      <c r="AA40" s="1263">
        <f t="shared" si="3"/>
        <v>1</v>
      </c>
      <c r="AB40" s="1263">
        <f t="shared" si="4"/>
        <v>1</v>
      </c>
      <c r="AC40" s="1263">
        <f t="shared" si="5"/>
        <v>1</v>
      </c>
    </row>
    <row r="41" spans="1:29" ht="15">
      <c r="A41" s="416" t="s">
        <v>1706</v>
      </c>
      <c r="B41" s="417"/>
      <c r="C41" s="1081" t="s">
        <v>0</v>
      </c>
      <c r="D41" s="418"/>
      <c r="E41" s="419"/>
      <c r="F41" s="420"/>
      <c r="G41" s="421"/>
      <c r="H41" s="422"/>
      <c r="I41" s="419"/>
      <c r="J41" s="422"/>
      <c r="K41" s="674"/>
      <c r="L41" s="873"/>
      <c r="M41" s="861"/>
      <c r="N41" s="861"/>
      <c r="O41" s="861"/>
      <c r="P41" s="3858" t="str">
        <f>A41</f>
        <v>成交单价（元/平方米）</v>
      </c>
      <c r="Q41" s="3858"/>
      <c r="R41" s="3853">
        <f>E41</f>
        <v>0</v>
      </c>
      <c r="S41" s="3853"/>
      <c r="T41" s="3853">
        <f>G41</f>
        <v>0</v>
      </c>
      <c r="U41" s="3853"/>
      <c r="V41" s="3853">
        <f>I41</f>
        <v>0</v>
      </c>
      <c r="W41" s="3853"/>
      <c r="X41" s="385"/>
      <c r="Y41" s="673"/>
      <c r="Z41" s="385"/>
      <c r="AA41" s="385"/>
      <c r="AB41" s="385"/>
      <c r="AC41" s="385"/>
    </row>
    <row r="42" spans="1:29" ht="15.75" thickBot="1">
      <c r="A42" s="423" t="s">
        <v>1790</v>
      </c>
      <c r="B42" s="424"/>
      <c r="C42" s="1082" t="e">
        <f>R43</f>
        <v>#DIV/0!</v>
      </c>
      <c r="D42" s="2137" t="s">
        <v>2135</v>
      </c>
      <c r="E42" s="1083" t="e">
        <f>R42</f>
        <v>#DIV/0!</v>
      </c>
      <c r="F42" s="2138"/>
      <c r="G42" s="1082" t="e">
        <f>T42</f>
        <v>#DIV/0!</v>
      </c>
      <c r="H42" s="2138"/>
      <c r="I42" s="1083" t="e">
        <f>V42</f>
        <v>#DIV/0!</v>
      </c>
      <c r="J42" s="2138"/>
      <c r="K42" s="2140">
        <f>F42+H42+J42</f>
        <v>0</v>
      </c>
      <c r="L42" s="873"/>
      <c r="M42" s="861"/>
      <c r="N42" s="861"/>
      <c r="O42" s="861"/>
      <c r="P42" s="3858" t="str">
        <f>A42</f>
        <v>比较价值（元/平方米）</v>
      </c>
      <c r="Q42" s="3858"/>
      <c r="R42" s="3853" t="e">
        <f>IF(F1="售价",ROUND(PRODUCT(R41,AA7:AA40),0),ROUND(PRODUCT(R41,AA7:AA40),1))</f>
        <v>#DIV/0!</v>
      </c>
      <c r="S42" s="3853"/>
      <c r="T42" s="3853" t="e">
        <f>IF(F1="售价",ROUND(PRODUCT(T41,AB7:AB40),0),ROUND(PRODUCT(T41,AB7:AB40),1))</f>
        <v>#DIV/0!</v>
      </c>
      <c r="U42" s="3853"/>
      <c r="V42" s="3853" t="e">
        <f>IF(F1="售价",ROUND(PRODUCT(V41,AC7:AC40),0),ROUND(PRODUCT(V41,AC7:AC40),1))</f>
        <v>#DIV/0!</v>
      </c>
      <c r="W42" s="3853"/>
      <c r="X42" s="385"/>
      <c r="Y42" s="385"/>
      <c r="Z42" s="385"/>
      <c r="AA42" s="385"/>
      <c r="AB42" s="385"/>
      <c r="AC42" s="385"/>
    </row>
    <row r="43" spans="1:29" ht="15.75" thickBot="1">
      <c r="A43" s="427" t="s">
        <v>1791</v>
      </c>
      <c r="B43" s="428"/>
      <c r="C43" s="351" t="e">
        <f>R43</f>
        <v>#DIV/0!</v>
      </c>
      <c r="D43" s="351"/>
      <c r="E43" s="351"/>
      <c r="F43" s="351"/>
      <c r="G43" s="351"/>
      <c r="H43" s="351"/>
      <c r="I43" s="351"/>
      <c r="J43" s="351"/>
      <c r="K43" s="675"/>
      <c r="L43" s="873"/>
      <c r="M43" s="861"/>
      <c r="N43" s="861"/>
      <c r="O43" s="861"/>
      <c r="P43" s="3855" t="str">
        <f>A43</f>
        <v>估价对象XX用房的比较价值（楼面单价，元/平方米）</v>
      </c>
      <c r="Q43" s="3856"/>
      <c r="R43" s="3857" t="e">
        <f>IF(F1="售价",ROUND(IF(D42="简单平均",AVERAGE(R42:V42),R42*F42+T42*H42+V42*J42),0),ROUND(IF(D42="简单平均",AVERAGE(R42:V42),R42*F42+T42*H42+V42*J42),1))</f>
        <v>#DIV/0!</v>
      </c>
      <c r="S43" s="3857"/>
      <c r="T43" s="3857"/>
      <c r="U43" s="3857"/>
      <c r="V43" s="3857"/>
      <c r="W43" s="3857"/>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1.75" thickBot="1">
      <c r="A51" s="658" t="s">
        <v>1795</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2006-5</v>
      </c>
      <c r="D52" s="1103">
        <f>EDATE(C52,-1)</f>
        <v>38808</v>
      </c>
      <c r="E52" s="1103">
        <f t="shared" ref="E52:O52" si="16">EDATE(D52,-1)</f>
        <v>38777</v>
      </c>
      <c r="F52" s="1103">
        <f t="shared" si="16"/>
        <v>38749</v>
      </c>
      <c r="G52" s="1103">
        <f t="shared" si="16"/>
        <v>38718</v>
      </c>
      <c r="H52" s="1103">
        <f t="shared" si="16"/>
        <v>38687</v>
      </c>
      <c r="I52" s="1103">
        <f t="shared" si="16"/>
        <v>38657</v>
      </c>
      <c r="J52" s="1103">
        <f t="shared" si="16"/>
        <v>38626</v>
      </c>
      <c r="K52" s="1103">
        <f t="shared" si="16"/>
        <v>38596</v>
      </c>
      <c r="L52" s="1103">
        <f t="shared" si="16"/>
        <v>38565</v>
      </c>
      <c r="M52" s="1103">
        <f t="shared" si="16"/>
        <v>38534</v>
      </c>
      <c r="N52" s="1103">
        <f t="shared" si="16"/>
        <v>38504</v>
      </c>
      <c r="O52" s="1103">
        <f t="shared" si="16"/>
        <v>38473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1773</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1826</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1810</v>
      </c>
      <c r="C76" s="581" t="s">
        <v>1796</v>
      </c>
      <c r="D76" s="581" t="s">
        <v>1797</v>
      </c>
      <c r="E76" s="581" t="s">
        <v>1798</v>
      </c>
      <c r="F76" s="581" t="s">
        <v>1799</v>
      </c>
      <c r="G76" s="581" t="s">
        <v>1800</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1819</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1737</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1738</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1739</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1741</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1827</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1828</v>
      </c>
      <c r="B1" s="1139" t="s">
        <v>3333</v>
      </c>
      <c r="C1" s="1140" t="s">
        <v>1662</v>
      </c>
      <c r="D1" s="1141"/>
      <c r="E1" s="3127"/>
      <c r="F1" s="1734"/>
      <c r="G1" s="1143" t="s">
        <v>1764</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1765</v>
      </c>
      <c r="D3" s="343">
        <f>SUMIF('数据-汇总表'!$C19:$C33,D1,'数据-汇总表'!$E19:$E33)</f>
        <v>0</v>
      </c>
      <c r="E3" s="344" t="s">
        <v>1829</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5">
      <c r="A4" s="345" t="s">
        <v>1766</v>
      </c>
      <c r="B4" s="346"/>
      <c r="C4" s="3841" t="s">
        <v>1767</v>
      </c>
      <c r="D4" s="3842"/>
      <c r="E4" s="3843" t="s">
        <v>1768</v>
      </c>
      <c r="F4" s="3844"/>
      <c r="G4" s="3841" t="s">
        <v>1769</v>
      </c>
      <c r="H4" s="3842"/>
      <c r="I4" s="3841" t="s">
        <v>1770</v>
      </c>
      <c r="J4" s="3842"/>
      <c r="K4" s="537" t="s">
        <v>1771</v>
      </c>
      <c r="L4" s="2482"/>
      <c r="M4" s="2483"/>
      <c r="N4" s="2483"/>
      <c r="O4" s="2483"/>
      <c r="P4" s="3845" t="s">
        <v>1772</v>
      </c>
      <c r="Q4" s="3846"/>
      <c r="R4" s="3827" t="s">
        <v>1768</v>
      </c>
      <c r="S4" s="3828"/>
      <c r="T4" s="3827" t="s">
        <v>1769</v>
      </c>
      <c r="U4" s="3828"/>
      <c r="V4" s="3853" t="s">
        <v>1770</v>
      </c>
      <c r="W4" s="3853"/>
      <c r="X4" s="1264"/>
      <c r="Y4" s="3827" t="s">
        <v>1772</v>
      </c>
      <c r="Z4" s="3828"/>
      <c r="AA4" s="3822" t="s">
        <v>1768</v>
      </c>
      <c r="AB4" s="3823" t="s">
        <v>1769</v>
      </c>
      <c r="AC4" s="3822" t="s">
        <v>1770</v>
      </c>
    </row>
    <row r="5" spans="1:29" ht="15">
      <c r="A5" s="348"/>
      <c r="B5" s="349"/>
      <c r="C5" s="3869" t="s">
        <v>1673</v>
      </c>
      <c r="D5" s="3834"/>
      <c r="E5" s="3868" t="s">
        <v>1674</v>
      </c>
      <c r="F5" s="3832"/>
      <c r="G5" s="3869" t="s">
        <v>1675</v>
      </c>
      <c r="H5" s="3834"/>
      <c r="I5" s="3869" t="s">
        <v>1676</v>
      </c>
      <c r="J5" s="3834"/>
      <c r="K5" s="537"/>
      <c r="L5" s="2482"/>
      <c r="M5" s="2483"/>
      <c r="N5" s="2483"/>
      <c r="O5" s="2483"/>
      <c r="P5" s="3847"/>
      <c r="Q5" s="3848"/>
      <c r="R5" s="3829"/>
      <c r="S5" s="3830"/>
      <c r="T5" s="3829"/>
      <c r="U5" s="3830"/>
      <c r="V5" s="3853"/>
      <c r="W5" s="3853"/>
      <c r="X5" s="1264"/>
      <c r="Y5" s="3829"/>
      <c r="Z5" s="3830"/>
      <c r="AA5" s="3823"/>
      <c r="AB5" s="3823"/>
      <c r="AC5" s="3823"/>
    </row>
    <row r="6" spans="1:29" ht="15.75" thickBot="1">
      <c r="A6" s="350"/>
      <c r="B6" s="351"/>
      <c r="C6" s="3835" t="s">
        <v>1677</v>
      </c>
      <c r="D6" s="3836"/>
      <c r="E6" s="3838" t="s">
        <v>1677</v>
      </c>
      <c r="F6" s="3839"/>
      <c r="G6" s="3835" t="s">
        <v>1677</v>
      </c>
      <c r="H6" s="3836"/>
      <c r="I6" s="3835" t="s">
        <v>1677</v>
      </c>
      <c r="J6" s="3836"/>
      <c r="K6" s="537" t="s">
        <v>1678</v>
      </c>
      <c r="L6" s="2482"/>
      <c r="M6" s="2483"/>
      <c r="N6" s="2483"/>
      <c r="O6" s="2483"/>
      <c r="P6" s="3849"/>
      <c r="Q6" s="3850"/>
      <c r="R6" s="3829"/>
      <c r="S6" s="3830"/>
      <c r="T6" s="3851"/>
      <c r="U6" s="3852"/>
      <c r="V6" s="3853"/>
      <c r="W6" s="3853"/>
      <c r="X6" s="1264"/>
      <c r="Y6" s="3851"/>
      <c r="Z6" s="3852"/>
      <c r="AA6" s="3824"/>
      <c r="AB6" s="3824"/>
      <c r="AC6" s="3824"/>
    </row>
    <row r="7" spans="1:29" s="102" customFormat="1" ht="15.75" thickBot="1">
      <c r="A7" s="352" t="s">
        <v>1679</v>
      </c>
      <c r="B7" s="353"/>
      <c r="C7" s="354">
        <f>'数据-取费表'!B2</f>
        <v>38867</v>
      </c>
      <c r="D7" s="355">
        <v>100</v>
      </c>
      <c r="E7" s="356"/>
      <c r="F7" s="357">
        <f>SUMIF(48:48,YEAR(E7)&amp;"-"&amp;MONTH(E7),49:49)</f>
        <v>0</v>
      </c>
      <c r="G7" s="356"/>
      <c r="H7" s="355">
        <f>SUMIF(48:48,YEAR(G7)&amp;"-"&amp;MONTH(G7),49:49)</f>
        <v>0</v>
      </c>
      <c r="I7" s="356"/>
      <c r="J7" s="355">
        <f>SUMIF(48:48,YEAR(I7)&amp;"-"&amp;MONTH(I7),49:49)</f>
        <v>0</v>
      </c>
      <c r="K7" s="38"/>
      <c r="L7" s="2484"/>
      <c r="M7" s="2435"/>
      <c r="N7" s="2435"/>
      <c r="O7" s="2435"/>
      <c r="P7" s="3825" t="s">
        <v>1680</v>
      </c>
      <c r="Q7" s="3854"/>
      <c r="R7" s="664" t="s">
        <v>14</v>
      </c>
      <c r="S7" s="665">
        <f t="shared" ref="S7:S14" si="0">F7</f>
        <v>0</v>
      </c>
      <c r="T7" s="664" t="s">
        <v>14</v>
      </c>
      <c r="U7" s="665">
        <f t="shared" ref="U7:U14" si="1">H7</f>
        <v>0</v>
      </c>
      <c r="V7" s="664" t="s">
        <v>14</v>
      </c>
      <c r="W7" s="665">
        <f t="shared" ref="W7:W14" si="2">J7</f>
        <v>0</v>
      </c>
      <c r="X7" s="666"/>
      <c r="Y7" s="3825" t="s">
        <v>1680</v>
      </c>
      <c r="Z7" s="382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5"/>
      <c r="N8" s="2435"/>
      <c r="O8" s="2435"/>
      <c r="P8" s="3825" t="s">
        <v>1683</v>
      </c>
      <c r="Q8" s="3826"/>
      <c r="R8" s="664" t="s">
        <v>14</v>
      </c>
      <c r="S8" s="665">
        <f t="shared" si="0"/>
        <v>100</v>
      </c>
      <c r="T8" s="664" t="s">
        <v>14</v>
      </c>
      <c r="U8" s="665">
        <f t="shared" si="1"/>
        <v>100</v>
      </c>
      <c r="V8" s="664" t="s">
        <v>14</v>
      </c>
      <c r="W8" s="665">
        <f t="shared" si="2"/>
        <v>100</v>
      </c>
      <c r="X8" s="666"/>
      <c r="Y8" s="3825" t="s">
        <v>1683</v>
      </c>
      <c r="Z8" s="382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5"/>
      <c r="N9" s="2435"/>
      <c r="O9" s="2435"/>
      <c r="P9" s="3858" t="s">
        <v>1686</v>
      </c>
      <c r="Q9" s="530" t="str">
        <f t="shared" ref="Q9:Q14" si="6">B9</f>
        <v>用途</v>
      </c>
      <c r="R9" s="664" t="s">
        <v>14</v>
      </c>
      <c r="S9" s="665">
        <f t="shared" si="0"/>
        <v>100</v>
      </c>
      <c r="T9" s="664" t="s">
        <v>14</v>
      </c>
      <c r="U9" s="665">
        <f t="shared" si="1"/>
        <v>100</v>
      </c>
      <c r="V9" s="664" t="s">
        <v>14</v>
      </c>
      <c r="W9" s="665">
        <f t="shared" si="2"/>
        <v>100</v>
      </c>
      <c r="X9" s="666"/>
      <c r="Y9" s="3769"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858"/>
      <c r="Q10" s="530" t="str">
        <f t="shared" si="6"/>
        <v>土地使用年限（年）</v>
      </c>
      <c r="R10" s="664" t="s">
        <v>14</v>
      </c>
      <c r="S10" s="665">
        <f t="shared" si="0"/>
        <v>100</v>
      </c>
      <c r="T10" s="664" t="s">
        <v>14</v>
      </c>
      <c r="U10" s="665">
        <f t="shared" si="1"/>
        <v>100</v>
      </c>
      <c r="V10" s="664" t="s">
        <v>14</v>
      </c>
      <c r="W10" s="665">
        <f t="shared" si="2"/>
        <v>100</v>
      </c>
      <c r="X10" s="666"/>
      <c r="Y10" s="376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858"/>
      <c r="Q11" s="530">
        <f t="shared" si="6"/>
        <v>111</v>
      </c>
      <c r="R11" s="664" t="s">
        <v>14</v>
      </c>
      <c r="S11" s="665">
        <f t="shared" si="0"/>
        <v>100</v>
      </c>
      <c r="T11" s="664" t="s">
        <v>14</v>
      </c>
      <c r="U11" s="665">
        <f t="shared" si="1"/>
        <v>100</v>
      </c>
      <c r="V11" s="664" t="s">
        <v>14</v>
      </c>
      <c r="W11" s="665">
        <f t="shared" si="2"/>
        <v>100</v>
      </c>
      <c r="X11" s="666"/>
      <c r="Y11" s="376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858"/>
      <c r="Q12" s="530">
        <f t="shared" si="6"/>
        <v>111</v>
      </c>
      <c r="R12" s="664" t="s">
        <v>14</v>
      </c>
      <c r="S12" s="665">
        <f t="shared" si="0"/>
        <v>100</v>
      </c>
      <c r="T12" s="664" t="s">
        <v>14</v>
      </c>
      <c r="U12" s="665">
        <f t="shared" si="1"/>
        <v>100</v>
      </c>
      <c r="V12" s="664" t="s">
        <v>14</v>
      </c>
      <c r="W12" s="665">
        <f t="shared" si="2"/>
        <v>100</v>
      </c>
      <c r="X12" s="666"/>
      <c r="Y12" s="376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858"/>
      <c r="Q13" s="530">
        <f t="shared" si="6"/>
        <v>111</v>
      </c>
      <c r="R13" s="664" t="s">
        <v>14</v>
      </c>
      <c r="S13" s="665">
        <f t="shared" si="0"/>
        <v>100</v>
      </c>
      <c r="T13" s="664" t="s">
        <v>14</v>
      </c>
      <c r="U13" s="665">
        <f t="shared" si="1"/>
        <v>100</v>
      </c>
      <c r="V13" s="664" t="s">
        <v>14</v>
      </c>
      <c r="W13" s="665">
        <f t="shared" si="2"/>
        <v>100</v>
      </c>
      <c r="X13" s="666"/>
      <c r="Y13" s="3769"/>
      <c r="Z13" s="50">
        <f t="shared" si="7"/>
        <v>111</v>
      </c>
      <c r="AA13" s="50">
        <f t="shared" si="3"/>
        <v>1</v>
      </c>
      <c r="AB13" s="50">
        <f t="shared" si="4"/>
        <v>1</v>
      </c>
      <c r="AC13" s="50">
        <f t="shared" si="5"/>
        <v>1</v>
      </c>
    </row>
    <row r="14" spans="1:29" ht="71.25">
      <c r="A14" s="345" t="s">
        <v>1690</v>
      </c>
      <c r="B14" s="554" t="s">
        <v>1830</v>
      </c>
      <c r="C14" s="1815" t="str">
        <f>IF(B1="工业",估价对象房地状况!G4,估价对象房地状况!C6)</f>
        <v>周边有601路、709路等多条公交线路，综合评价交通便捷度一般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859" t="s">
        <v>1691</v>
      </c>
      <c r="Q14" s="1262" t="str">
        <f t="shared" si="6"/>
        <v>交通便捷度</v>
      </c>
      <c r="R14" s="667" t="s">
        <v>14</v>
      </c>
      <c r="S14" s="668">
        <f t="shared" si="0"/>
        <v>100</v>
      </c>
      <c r="T14" s="667" t="s">
        <v>14</v>
      </c>
      <c r="U14" s="668">
        <f t="shared" si="1"/>
        <v>100</v>
      </c>
      <c r="V14" s="667" t="s">
        <v>14</v>
      </c>
      <c r="W14" s="668">
        <f t="shared" si="2"/>
        <v>100</v>
      </c>
      <c r="X14" s="1264"/>
      <c r="Y14" s="3859"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860"/>
      <c r="Q15" s="1262"/>
      <c r="R15" s="667"/>
      <c r="S15" s="668"/>
      <c r="T15" s="667"/>
      <c r="U15" s="668"/>
      <c r="V15" s="667"/>
      <c r="W15" s="668"/>
      <c r="X15" s="1264"/>
      <c r="Y15" s="3860"/>
      <c r="Z15" s="1263"/>
      <c r="AA15" s="1263">
        <v>1</v>
      </c>
      <c r="AB15" s="1263">
        <v>1</v>
      </c>
      <c r="AC15" s="1263">
        <v>1</v>
      </c>
    </row>
    <row r="16" spans="1:29" ht="199.5">
      <c r="A16" s="348"/>
      <c r="B16" s="556" t="s">
        <v>1809</v>
      </c>
      <c r="C16" s="1752" t="str">
        <f>IF(B1="工业",估价对象房地状况!G5,估价对象房地状况!C7)</f>
        <v>银行：等金融机构；
医院：中国人民解放军第304医院等医疗机构；
学校：首都师范大学、首都师范大学附属中学等教育机构；
商业：社区级商业设施；
综合评价公共服务设施齐备度一般。</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860"/>
      <c r="Q16" s="1262" t="str">
        <f>B16</f>
        <v>公共配套设施</v>
      </c>
      <c r="R16" s="667" t="s">
        <v>14</v>
      </c>
      <c r="S16" s="668">
        <f>F16</f>
        <v>100</v>
      </c>
      <c r="T16" s="667" t="s">
        <v>14</v>
      </c>
      <c r="U16" s="668">
        <f>H16</f>
        <v>100</v>
      </c>
      <c r="V16" s="667" t="s">
        <v>14</v>
      </c>
      <c r="W16" s="668">
        <f>J16</f>
        <v>100</v>
      </c>
      <c r="X16" s="1264"/>
      <c r="Y16" s="3860"/>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88"/>
      <c r="M17" s="2483"/>
      <c r="N17" s="2483"/>
      <c r="O17" s="2483"/>
      <c r="P17" s="3860"/>
      <c r="Q17" s="1262"/>
      <c r="R17" s="667"/>
      <c r="S17" s="668"/>
      <c r="T17" s="667"/>
      <c r="U17" s="668"/>
      <c r="V17" s="667"/>
      <c r="W17" s="668"/>
      <c r="X17" s="1264"/>
      <c r="Y17" s="3860"/>
      <c r="Z17" s="1263"/>
      <c r="AA17" s="1263">
        <v>1</v>
      </c>
      <c r="AB17" s="1263">
        <v>1</v>
      </c>
      <c r="AC17" s="1263">
        <v>1</v>
      </c>
    </row>
    <row r="18" spans="1:29" ht="28.5">
      <c r="A18" s="348"/>
      <c r="B18" s="557" t="s">
        <v>1810</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860"/>
      <c r="Q18" s="1262" t="str">
        <f>B18</f>
        <v>基础设施水平</v>
      </c>
      <c r="R18" s="667" t="s">
        <v>14</v>
      </c>
      <c r="S18" s="668">
        <f>F18</f>
        <v>100</v>
      </c>
      <c r="T18" s="667" t="s">
        <v>14</v>
      </c>
      <c r="U18" s="668">
        <f>H18</f>
        <v>100</v>
      </c>
      <c r="V18" s="667" t="s">
        <v>14</v>
      </c>
      <c r="W18" s="668">
        <f>J18</f>
        <v>100</v>
      </c>
      <c r="X18" s="1264"/>
      <c r="Y18" s="3860"/>
      <c r="Z18" s="1263" t="str">
        <f>Q18</f>
        <v>基础设施水平</v>
      </c>
      <c r="AA18" s="1263">
        <f t="shared" ref="AA18" si="8">D18/F18</f>
        <v>1</v>
      </c>
      <c r="AB18" s="1263">
        <f t="shared" ref="AB18" si="9">D18/H18</f>
        <v>1</v>
      </c>
      <c r="AC18" s="1263">
        <f t="shared" ref="AC18" si="10">D18/J18</f>
        <v>1</v>
      </c>
    </row>
    <row r="19" spans="1:29" ht="15">
      <c r="A19" s="348"/>
      <c r="B19" s="557"/>
      <c r="C19" s="1753"/>
      <c r="D19" s="389"/>
      <c r="E19" s="1753"/>
      <c r="F19" s="392"/>
      <c r="G19" s="1753"/>
      <c r="H19" s="387"/>
      <c r="I19" s="386"/>
      <c r="J19" s="387"/>
      <c r="K19" s="1064"/>
      <c r="L19" s="2488"/>
      <c r="M19" s="2483"/>
      <c r="N19" s="2483"/>
      <c r="O19" s="2483"/>
      <c r="P19" s="3860"/>
      <c r="Q19" s="1262"/>
      <c r="R19" s="667"/>
      <c r="S19" s="668"/>
      <c r="T19" s="667"/>
      <c r="U19" s="668"/>
      <c r="V19" s="667"/>
      <c r="W19" s="668"/>
      <c r="X19" s="1264"/>
      <c r="Y19" s="3860"/>
      <c r="Z19" s="1263"/>
      <c r="AA19" s="1263">
        <v>1</v>
      </c>
      <c r="AB19" s="1263">
        <v>1</v>
      </c>
      <c r="AC19" s="1263">
        <v>1</v>
      </c>
    </row>
    <row r="20" spans="1:29" ht="71.25">
      <c r="A20" s="348"/>
      <c r="B20" s="556" t="s">
        <v>1831</v>
      </c>
      <c r="C20" s="1752" t="str">
        <f>IF(B1="工业",估价对象房地状况!G7,估价对象房地状况!C9)</f>
        <v>人文环境：首都师范大学等人文场所；
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860"/>
      <c r="Q20" s="1262" t="str">
        <f>B20</f>
        <v>自然及人文环境</v>
      </c>
      <c r="R20" s="667" t="s">
        <v>14</v>
      </c>
      <c r="S20" s="668">
        <f>F20</f>
        <v>100</v>
      </c>
      <c r="T20" s="667" t="s">
        <v>14</v>
      </c>
      <c r="U20" s="668">
        <f>H20</f>
        <v>100</v>
      </c>
      <c r="V20" s="667" t="s">
        <v>14</v>
      </c>
      <c r="W20" s="668">
        <f>J20</f>
        <v>100</v>
      </c>
      <c r="X20" s="1264"/>
      <c r="Y20" s="3860"/>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860"/>
      <c r="Q21" s="1262"/>
      <c r="R21" s="667"/>
      <c r="S21" s="668"/>
      <c r="T21" s="667"/>
      <c r="U21" s="668"/>
      <c r="V21" s="667"/>
      <c r="W21" s="668"/>
      <c r="X21" s="1264"/>
      <c r="Y21" s="3860"/>
      <c r="Z21" s="1263"/>
      <c r="AA21" s="1263">
        <v>1</v>
      </c>
      <c r="AB21" s="1263">
        <v>1</v>
      </c>
      <c r="AC21" s="1263">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860"/>
      <c r="Q22" s="1262" t="str">
        <f>B22</f>
        <v>楼层</v>
      </c>
      <c r="R22" s="667" t="s">
        <v>14</v>
      </c>
      <c r="S22" s="668">
        <f>F22</f>
        <v>100</v>
      </c>
      <c r="T22" s="667" t="s">
        <v>14</v>
      </c>
      <c r="U22" s="668">
        <f>H22</f>
        <v>100</v>
      </c>
      <c r="V22" s="667" t="s">
        <v>14</v>
      </c>
      <c r="W22" s="668">
        <f>J22</f>
        <v>100</v>
      </c>
      <c r="X22" s="1264"/>
      <c r="Y22" s="386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860"/>
      <c r="Q23" s="1262">
        <f>B23</f>
        <v>111</v>
      </c>
      <c r="R23" s="667" t="s">
        <v>14</v>
      </c>
      <c r="S23" s="668">
        <f>F23</f>
        <v>100</v>
      </c>
      <c r="T23" s="667" t="s">
        <v>14</v>
      </c>
      <c r="U23" s="668">
        <f>H23</f>
        <v>100</v>
      </c>
      <c r="V23" s="667" t="s">
        <v>14</v>
      </c>
      <c r="W23" s="668">
        <f>J23</f>
        <v>100</v>
      </c>
      <c r="X23" s="1264"/>
      <c r="Y23" s="386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860"/>
      <c r="Q24" s="1262">
        <f t="shared" ref="Q24:Q36" si="11">B24</f>
        <v>111</v>
      </c>
      <c r="R24" s="667" t="s">
        <v>14</v>
      </c>
      <c r="S24" s="668">
        <f>F24</f>
        <v>100</v>
      </c>
      <c r="T24" s="667" t="s">
        <v>14</v>
      </c>
      <c r="U24" s="668">
        <f>H24</f>
        <v>100</v>
      </c>
      <c r="V24" s="667" t="s">
        <v>14</v>
      </c>
      <c r="W24" s="668">
        <f>J24</f>
        <v>100</v>
      </c>
      <c r="X24" s="1264"/>
      <c r="Y24" s="3860"/>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860"/>
      <c r="Q25" s="530">
        <f t="shared" si="11"/>
        <v>111</v>
      </c>
      <c r="R25" s="664" t="s">
        <v>14</v>
      </c>
      <c r="S25" s="665">
        <f>F25</f>
        <v>100</v>
      </c>
      <c r="T25" s="664" t="s">
        <v>14</v>
      </c>
      <c r="U25" s="665">
        <f>H25</f>
        <v>100</v>
      </c>
      <c r="V25" s="664" t="s">
        <v>14</v>
      </c>
      <c r="W25" s="665">
        <f>J25</f>
        <v>100</v>
      </c>
      <c r="X25" s="666"/>
      <c r="Y25" s="3860"/>
      <c r="Z25" s="50">
        <f>Q25</f>
        <v>111</v>
      </c>
      <c r="AA25" s="1263">
        <f>D25/F25</f>
        <v>1</v>
      </c>
      <c r="AB25" s="1263">
        <f>D25/H25</f>
        <v>1</v>
      </c>
      <c r="AC25" s="1263">
        <f>D25/J25</f>
        <v>1</v>
      </c>
    </row>
    <row r="26" spans="1:29" ht="28.5">
      <c r="A26" s="574" t="s">
        <v>1694</v>
      </c>
      <c r="B26" s="59" t="s">
        <v>1833</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885"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864" t="s">
        <v>1696</v>
      </c>
      <c r="Z26" s="1263" t="str">
        <f t="shared" ref="Z26:Z36" si="15">Q26</f>
        <v>配套类型</v>
      </c>
      <c r="AA26" s="1263" t="e">
        <f t="shared" si="3"/>
        <v>#DIV/0!</v>
      </c>
      <c r="AB26" s="1263" t="e">
        <f t="shared" si="4"/>
        <v>#DIV/0!</v>
      </c>
      <c r="AC26" s="1263" t="e">
        <f t="shared" si="5"/>
        <v>#DIV/0!</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864"/>
      <c r="Q27" s="531" t="str">
        <f t="shared" si="11"/>
        <v>项目停车位配比</v>
      </c>
      <c r="R27" s="669" t="s">
        <v>14</v>
      </c>
      <c r="S27" s="670">
        <f t="shared" si="12"/>
        <v>100</v>
      </c>
      <c r="T27" s="669" t="s">
        <v>14</v>
      </c>
      <c r="U27" s="670">
        <f t="shared" si="13"/>
        <v>100</v>
      </c>
      <c r="V27" s="669" t="s">
        <v>14</v>
      </c>
      <c r="W27" s="670">
        <f t="shared" si="14"/>
        <v>100</v>
      </c>
      <c r="X27" s="671"/>
      <c r="Y27" s="3864"/>
      <c r="Z27" s="672" t="str">
        <f t="shared" si="15"/>
        <v>项目停车位配比</v>
      </c>
      <c r="AA27" s="1263">
        <f t="shared" si="3"/>
        <v>1</v>
      </c>
      <c r="AB27" s="1263">
        <f t="shared" si="4"/>
        <v>1</v>
      </c>
      <c r="AC27" s="1263">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864"/>
      <c r="Q28" s="1262" t="str">
        <f t="shared" si="11"/>
        <v>公共部分装修</v>
      </c>
      <c r="R28" s="667" t="s">
        <v>14</v>
      </c>
      <c r="S28" s="668">
        <f t="shared" si="12"/>
        <v>100</v>
      </c>
      <c r="T28" s="667" t="s">
        <v>14</v>
      </c>
      <c r="U28" s="668">
        <f t="shared" si="13"/>
        <v>100</v>
      </c>
      <c r="V28" s="667" t="s">
        <v>14</v>
      </c>
      <c r="W28" s="668">
        <f t="shared" si="14"/>
        <v>100</v>
      </c>
      <c r="X28" s="1264"/>
      <c r="Y28" s="3864"/>
      <c r="Z28" s="1263" t="str">
        <f t="shared" si="15"/>
        <v>公共部分装修</v>
      </c>
      <c r="AA28" s="1263">
        <f t="shared" si="3"/>
        <v>1</v>
      </c>
      <c r="AB28" s="1263">
        <f t="shared" si="4"/>
        <v>1</v>
      </c>
      <c r="AC28" s="1263">
        <f t="shared" si="5"/>
        <v>1</v>
      </c>
    </row>
    <row r="29" spans="1:29" ht="1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864"/>
      <c r="Q29" s="1262" t="str">
        <f t="shared" si="11"/>
        <v>成新率</v>
      </c>
      <c r="R29" s="667" t="s">
        <v>14</v>
      </c>
      <c r="S29" s="668" t="e">
        <f t="shared" si="12"/>
        <v>#N/A</v>
      </c>
      <c r="T29" s="667" t="s">
        <v>14</v>
      </c>
      <c r="U29" s="668" t="e">
        <f t="shared" si="13"/>
        <v>#N/A</v>
      </c>
      <c r="V29" s="667" t="s">
        <v>14</v>
      </c>
      <c r="W29" s="668" t="e">
        <f t="shared" si="14"/>
        <v>#N/A</v>
      </c>
      <c r="X29" s="1264"/>
      <c r="Y29" s="3864"/>
      <c r="Z29" s="1263" t="str">
        <f t="shared" si="15"/>
        <v>成新率</v>
      </c>
      <c r="AA29" s="1263" t="e">
        <f t="shared" si="3"/>
        <v>#N/A</v>
      </c>
      <c r="AB29" s="1263" t="e">
        <f t="shared" si="4"/>
        <v>#N/A</v>
      </c>
      <c r="AC29" s="1263" t="e">
        <f t="shared" si="5"/>
        <v>#N/A</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864"/>
      <c r="Q30" s="1262" t="str">
        <f t="shared" si="11"/>
        <v>物业等级</v>
      </c>
      <c r="R30" s="667" t="s">
        <v>14</v>
      </c>
      <c r="S30" s="668">
        <f t="shared" si="12"/>
        <v>100</v>
      </c>
      <c r="T30" s="667" t="s">
        <v>14</v>
      </c>
      <c r="U30" s="668">
        <f t="shared" si="13"/>
        <v>100</v>
      </c>
      <c r="V30" s="667" t="s">
        <v>14</v>
      </c>
      <c r="W30" s="668">
        <f t="shared" si="14"/>
        <v>100</v>
      </c>
      <c r="X30" s="1264"/>
      <c r="Y30" s="3864"/>
      <c r="Z30" s="1263" t="str">
        <f t="shared" si="15"/>
        <v>物业等级</v>
      </c>
      <c r="AA30" s="1263">
        <f t="shared" si="3"/>
        <v>1</v>
      </c>
      <c r="AB30" s="1263">
        <f t="shared" si="4"/>
        <v>1</v>
      </c>
      <c r="AC30" s="1263">
        <f t="shared" si="5"/>
        <v>1</v>
      </c>
    </row>
    <row r="31" spans="1:29" s="102" customFormat="1" ht="1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5"/>
      <c r="N31" s="2435"/>
      <c r="O31" s="2435"/>
      <c r="P31" s="3864"/>
      <c r="Q31" s="530" t="str">
        <f t="shared" si="11"/>
        <v>停车位面积</v>
      </c>
      <c r="R31" s="664" t="s">
        <v>14</v>
      </c>
      <c r="S31" s="665" t="e">
        <f t="shared" si="12"/>
        <v>#N/A</v>
      </c>
      <c r="T31" s="664" t="s">
        <v>14</v>
      </c>
      <c r="U31" s="665" t="e">
        <f t="shared" si="13"/>
        <v>#N/A</v>
      </c>
      <c r="V31" s="664" t="s">
        <v>14</v>
      </c>
      <c r="W31" s="665" t="e">
        <f t="shared" si="14"/>
        <v>#N/A</v>
      </c>
      <c r="X31" s="666"/>
      <c r="Y31" s="3864"/>
      <c r="Z31" s="50" t="str">
        <f t="shared" si="15"/>
        <v>停车位面积</v>
      </c>
      <c r="AA31" s="50" t="e">
        <f t="shared" si="3"/>
        <v>#N/A</v>
      </c>
      <c r="AB31" s="50" t="e">
        <f t="shared" si="4"/>
        <v>#N/A</v>
      </c>
      <c r="AC31" s="50" t="e">
        <f t="shared" si="5"/>
        <v>#N/A</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864" t="s">
        <v>1696</v>
      </c>
      <c r="Q32" s="1262" t="str">
        <f t="shared" si="11"/>
        <v>车位类型</v>
      </c>
      <c r="R32" s="667" t="s">
        <v>14</v>
      </c>
      <c r="S32" s="668">
        <f t="shared" si="12"/>
        <v>100</v>
      </c>
      <c r="T32" s="667" t="s">
        <v>14</v>
      </c>
      <c r="U32" s="668">
        <f t="shared" si="13"/>
        <v>100</v>
      </c>
      <c r="V32" s="667" t="s">
        <v>14</v>
      </c>
      <c r="W32" s="668">
        <f t="shared" si="14"/>
        <v>100</v>
      </c>
      <c r="X32" s="1264"/>
      <c r="Y32" s="3864" t="s">
        <v>1696</v>
      </c>
      <c r="Z32" s="1263" t="str">
        <f t="shared" si="15"/>
        <v>车位类型</v>
      </c>
      <c r="AA32" s="1263">
        <f t="shared" si="3"/>
        <v>1</v>
      </c>
      <c r="AB32" s="1263">
        <f t="shared" si="4"/>
        <v>1</v>
      </c>
      <c r="AC32" s="1263">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864"/>
      <c r="Q33" s="1262" t="str">
        <f t="shared" si="11"/>
        <v>是否直接入户</v>
      </c>
      <c r="R33" s="667" t="s">
        <v>14</v>
      </c>
      <c r="S33" s="668">
        <f t="shared" si="12"/>
        <v>100</v>
      </c>
      <c r="T33" s="667" t="s">
        <v>14</v>
      </c>
      <c r="U33" s="668">
        <f t="shared" si="13"/>
        <v>100</v>
      </c>
      <c r="V33" s="667" t="s">
        <v>14</v>
      </c>
      <c r="W33" s="668">
        <f t="shared" si="14"/>
        <v>100</v>
      </c>
      <c r="X33" s="1264"/>
      <c r="Y33" s="3864"/>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864"/>
      <c r="Q34" s="1262">
        <f t="shared" si="11"/>
        <v>111</v>
      </c>
      <c r="R34" s="667" t="s">
        <v>14</v>
      </c>
      <c r="S34" s="668">
        <f t="shared" si="12"/>
        <v>100</v>
      </c>
      <c r="T34" s="667" t="s">
        <v>14</v>
      </c>
      <c r="U34" s="668">
        <f t="shared" si="13"/>
        <v>100</v>
      </c>
      <c r="V34" s="667" t="s">
        <v>14</v>
      </c>
      <c r="W34" s="668">
        <f t="shared" si="14"/>
        <v>100</v>
      </c>
      <c r="X34" s="1264"/>
      <c r="Y34" s="3864"/>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864"/>
      <c r="Q35" s="531">
        <f t="shared" si="11"/>
        <v>111</v>
      </c>
      <c r="R35" s="669" t="s">
        <v>14</v>
      </c>
      <c r="S35" s="670">
        <f t="shared" si="12"/>
        <v>100</v>
      </c>
      <c r="T35" s="669" t="s">
        <v>14</v>
      </c>
      <c r="U35" s="670">
        <f t="shared" si="13"/>
        <v>100</v>
      </c>
      <c r="V35" s="669" t="s">
        <v>14</v>
      </c>
      <c r="W35" s="670">
        <f t="shared" si="14"/>
        <v>100</v>
      </c>
      <c r="X35" s="671"/>
      <c r="Y35" s="3864"/>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864"/>
      <c r="Q36" s="1262">
        <f t="shared" si="11"/>
        <v>111</v>
      </c>
      <c r="R36" s="667" t="s">
        <v>14</v>
      </c>
      <c r="S36" s="668">
        <f t="shared" si="12"/>
        <v>100</v>
      </c>
      <c r="T36" s="667" t="s">
        <v>14</v>
      </c>
      <c r="U36" s="668">
        <f t="shared" si="13"/>
        <v>100</v>
      </c>
      <c r="V36" s="667" t="s">
        <v>14</v>
      </c>
      <c r="W36" s="668">
        <f t="shared" si="14"/>
        <v>100</v>
      </c>
      <c r="X36" s="1264"/>
      <c r="Y36" s="3864"/>
      <c r="Z36" s="1263">
        <f t="shared" si="15"/>
        <v>111</v>
      </c>
      <c r="AA36" s="1263">
        <f t="shared" si="3"/>
        <v>1</v>
      </c>
      <c r="AB36" s="1263">
        <f t="shared" si="4"/>
        <v>1</v>
      </c>
      <c r="AC36" s="1263">
        <f t="shared" si="5"/>
        <v>1</v>
      </c>
    </row>
    <row r="37" spans="1:29" ht="15">
      <c r="A37" s="416" t="s">
        <v>1841</v>
      </c>
      <c r="B37" s="1817" t="s">
        <v>3354</v>
      </c>
      <c r="C37" s="1081" t="s">
        <v>0</v>
      </c>
      <c r="D37" s="418"/>
      <c r="E37" s="419"/>
      <c r="F37" s="420"/>
      <c r="G37" s="421"/>
      <c r="H37" s="422"/>
      <c r="I37" s="419"/>
      <c r="J37" s="422"/>
      <c r="K37" s="545"/>
      <c r="L37" s="2490"/>
      <c r="M37" s="2483"/>
      <c r="N37" s="2483"/>
      <c r="O37" s="2483"/>
      <c r="P37" s="3858" t="str">
        <f>A37</f>
        <v>成交单价</v>
      </c>
      <c r="Q37" s="3858"/>
      <c r="R37" s="3853">
        <f>E37</f>
        <v>0</v>
      </c>
      <c r="S37" s="3853"/>
      <c r="T37" s="3853">
        <f>G37</f>
        <v>0</v>
      </c>
      <c r="U37" s="3853"/>
      <c r="V37" s="3853">
        <f>I37</f>
        <v>0</v>
      </c>
      <c r="W37" s="3853"/>
      <c r="X37" s="385"/>
      <c r="Y37" s="673"/>
      <c r="Z37" s="385"/>
      <c r="AA37" s="385"/>
      <c r="AB37" s="385"/>
      <c r="AC37" s="385"/>
    </row>
    <row r="38" spans="1:29" ht="15.75" thickBot="1">
      <c r="A38" s="423" t="s">
        <v>1842</v>
      </c>
      <c r="B38" s="424" t="str">
        <f>B37</f>
        <v>元/平方米</v>
      </c>
      <c r="C38" s="1082" t="e">
        <f>R39</f>
        <v>#DIV/0!</v>
      </c>
      <c r="D38" s="2137" t="s">
        <v>2135</v>
      </c>
      <c r="E38" s="1083" t="e">
        <f>R38</f>
        <v>#DIV/0!</v>
      </c>
      <c r="F38" s="2138"/>
      <c r="G38" s="1082" t="e">
        <f>T38</f>
        <v>#DIV/0!</v>
      </c>
      <c r="H38" s="2138"/>
      <c r="I38" s="1083" t="e">
        <f>V38</f>
        <v>#DIV/0!</v>
      </c>
      <c r="J38" s="2138"/>
      <c r="K38" s="2140">
        <f>F38+H38+J38</f>
        <v>0</v>
      </c>
      <c r="L38" s="2490"/>
      <c r="M38" s="2483"/>
      <c r="N38" s="2483"/>
      <c r="O38" s="2483"/>
      <c r="P38" s="3858" t="str">
        <f>A38</f>
        <v>比较价值（元/平方米）</v>
      </c>
      <c r="Q38" s="3858"/>
      <c r="R38" s="3853" t="e">
        <f>IF(F1="售价",ROUND(PRODUCT(R37,AA7:AA36),0),ROUND(PRODUCT(R37,AA7:AA36),1))</f>
        <v>#DIV/0!</v>
      </c>
      <c r="S38" s="3853"/>
      <c r="T38" s="3853" t="e">
        <f>IF(F1="售价",ROUND(PRODUCT(T37,AB7:AB36),0),ROUND(PRODUCT(T37,AB7:AB36),1))</f>
        <v>#DIV/0!</v>
      </c>
      <c r="U38" s="3853"/>
      <c r="V38" s="3853" t="e">
        <f>IF(F1="售价",ROUND(PRODUCT(V37,AC7:AC36),0),ROUND(PRODUCT(V37,AC7:AC36),1))</f>
        <v>#DIV/0!</v>
      </c>
      <c r="W38" s="3853"/>
      <c r="X38" s="385"/>
      <c r="Y38" s="385"/>
      <c r="Z38" s="385"/>
      <c r="AA38" s="385"/>
      <c r="AB38" s="385"/>
      <c r="AC38" s="385"/>
    </row>
    <row r="39" spans="1:29" ht="15.75" thickBot="1">
      <c r="A39" s="427" t="s">
        <v>1843</v>
      </c>
      <c r="B39" s="428"/>
      <c r="C39" s="351" t="e">
        <f>R39</f>
        <v>#DIV/0!</v>
      </c>
      <c r="D39" s="351"/>
      <c r="E39" s="351"/>
      <c r="F39" s="351"/>
      <c r="G39" s="351"/>
      <c r="H39" s="351"/>
      <c r="I39" s="351"/>
      <c r="J39" s="351"/>
      <c r="K39" s="546"/>
      <c r="L39" s="2490"/>
      <c r="M39" s="2483"/>
      <c r="N39" s="2483"/>
      <c r="O39" s="2483"/>
      <c r="P39" s="3855" t="str">
        <f>A39</f>
        <v>估价对象XX用房的比较价值（楼面单价，元/平方米）</v>
      </c>
      <c r="Q39" s="3856"/>
      <c r="R39" s="3886" t="e">
        <f>IF(F1="售价",ROUND(IF(D38="简单平均",AVERAGE(R38:W38),R38*F38+T38*H38+V38*J38),0),ROUND(IF(D38="简单平均",AVERAGE(R38:V38),R38*F38+T38*H38+V38*J38),1))</f>
        <v>#DIV/0!</v>
      </c>
      <c r="S39" s="3886"/>
      <c r="T39" s="3886"/>
      <c r="U39" s="3886"/>
      <c r="V39" s="3886"/>
      <c r="W39" s="3886"/>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7" t="s">
        <v>1847</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5">
      <c r="A48" s="440" t="s">
        <v>1848</v>
      </c>
      <c r="B48" s="441"/>
      <c r="C48" s="1102" t="str">
        <f>YEAR(C7)&amp;"-"&amp;MONTH(C7)</f>
        <v>2006-5</v>
      </c>
      <c r="D48" s="1103">
        <f>EDATE(C48,-1)</f>
        <v>38808</v>
      </c>
      <c r="E48" s="1103">
        <f t="shared" ref="E48:O48" si="16">EDATE(D48,-1)</f>
        <v>38777</v>
      </c>
      <c r="F48" s="1103">
        <f t="shared" si="16"/>
        <v>38749</v>
      </c>
      <c r="G48" s="1103">
        <f t="shared" si="16"/>
        <v>38718</v>
      </c>
      <c r="H48" s="1103">
        <f t="shared" si="16"/>
        <v>38687</v>
      </c>
      <c r="I48" s="1103">
        <f t="shared" si="16"/>
        <v>38657</v>
      </c>
      <c r="J48" s="1103">
        <f t="shared" si="16"/>
        <v>38626</v>
      </c>
      <c r="K48" s="1103">
        <f t="shared" si="16"/>
        <v>38596</v>
      </c>
      <c r="L48" s="1103">
        <f t="shared" si="16"/>
        <v>38565</v>
      </c>
      <c r="M48" s="1103">
        <f t="shared" si="16"/>
        <v>38534</v>
      </c>
      <c r="N48" s="1103">
        <f t="shared" si="16"/>
        <v>38504</v>
      </c>
      <c r="O48" s="1103">
        <f t="shared" si="16"/>
        <v>38473</v>
      </c>
      <c r="P48" s="2523"/>
      <c r="Q48" s="2506"/>
      <c r="R48" s="2506"/>
      <c r="S48" s="2506"/>
      <c r="T48" s="2506"/>
      <c r="U48" s="2506"/>
      <c r="V48" s="2506"/>
      <c r="W48" s="2506"/>
      <c r="X48" s="2506"/>
      <c r="Y48" s="2506"/>
      <c r="Z48" s="2506"/>
      <c r="AA48" s="2506"/>
      <c r="AB48" s="2506"/>
      <c r="AC48" s="2506"/>
    </row>
    <row r="49" spans="1:29" s="102" customFormat="1" ht="15">
      <c r="A49" s="443"/>
      <c r="B49" s="444"/>
      <c r="C49" s="1097">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75" thickBot="1">
      <c r="A50" s="449" t="s">
        <v>1714</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5">
      <c r="A51" s="455" t="s">
        <v>1681</v>
      </c>
      <c r="B51" s="444"/>
      <c r="C51" s="456" t="s">
        <v>1773</v>
      </c>
      <c r="D51" s="31"/>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c r="A53" s="379" t="s">
        <v>1717</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1724</v>
      </c>
      <c r="C63" s="504" t="s">
        <v>1719</v>
      </c>
      <c r="D63" s="504" t="s">
        <v>1720</v>
      </c>
      <c r="E63" s="504" t="s">
        <v>1721</v>
      </c>
      <c r="F63" s="504" t="s">
        <v>1722</v>
      </c>
      <c r="G63" s="504" t="s">
        <v>1723</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1725</v>
      </c>
      <c r="C65" s="509" t="s">
        <v>1719</v>
      </c>
      <c r="D65" s="509" t="s">
        <v>1720</v>
      </c>
      <c r="E65" s="509" t="s">
        <v>1721</v>
      </c>
      <c r="F65" s="509" t="s">
        <v>1722</v>
      </c>
      <c r="G65" s="509" t="s">
        <v>1723</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1810</v>
      </c>
      <c r="C67" s="581" t="s">
        <v>1796</v>
      </c>
      <c r="D67" s="581" t="s">
        <v>1797</v>
      </c>
      <c r="E67" s="581" t="s">
        <v>1798</v>
      </c>
      <c r="F67" s="581" t="s">
        <v>1799</v>
      </c>
      <c r="G67" s="581" t="s">
        <v>1800</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1731</v>
      </c>
      <c r="C69" s="509" t="s">
        <v>1719</v>
      </c>
      <c r="D69" s="509" t="s">
        <v>1720</v>
      </c>
      <c r="E69" s="509" t="s">
        <v>1721</v>
      </c>
      <c r="F69" s="509" t="s">
        <v>1722</v>
      </c>
      <c r="G69" s="509" t="s">
        <v>1723</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1849</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1850</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1851</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1737</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1853</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1854</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1855</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1856</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估价对象为北京市房地产，为所有。根据《国有土地使用证》[]，估价对象（分摊）出让国有建设用地使用权面积为0平方米，建筑面积为204.54平方米。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估价对象为北京市房地产,属开发建设的，该项目尚在开发建设中。根据《国有土地使用证》[]，估价对象（分摊）出让国有建设用地使用权面积为0平方米，规划建筑面积为204.54平方米。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2006年5月30日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5月30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1828</v>
      </c>
      <c r="B1" s="1139" t="s">
        <v>3334</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1765</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841" t="s">
        <v>1767</v>
      </c>
      <c r="D4" s="3842"/>
      <c r="E4" s="3843" t="s">
        <v>1768</v>
      </c>
      <c r="F4" s="3844"/>
      <c r="G4" s="3841" t="s">
        <v>1769</v>
      </c>
      <c r="H4" s="3842"/>
      <c r="I4" s="3841" t="s">
        <v>1770</v>
      </c>
      <c r="J4" s="3842"/>
      <c r="K4" s="537" t="s">
        <v>1771</v>
      </c>
      <c r="L4" s="2482"/>
      <c r="M4" s="2483"/>
      <c r="N4" s="2483"/>
      <c r="O4" s="2483"/>
      <c r="P4" s="3845" t="s">
        <v>1772</v>
      </c>
      <c r="Q4" s="3846"/>
      <c r="R4" s="3827" t="s">
        <v>1768</v>
      </c>
      <c r="S4" s="3828"/>
      <c r="T4" s="3827" t="s">
        <v>1769</v>
      </c>
      <c r="U4" s="3828"/>
      <c r="V4" s="3853" t="s">
        <v>1770</v>
      </c>
      <c r="W4" s="3853"/>
      <c r="X4" s="1264"/>
      <c r="Y4" s="3827" t="s">
        <v>1772</v>
      </c>
      <c r="Z4" s="3828"/>
      <c r="AA4" s="3822" t="s">
        <v>1768</v>
      </c>
      <c r="AB4" s="3823" t="s">
        <v>1769</v>
      </c>
      <c r="AC4" s="3822" t="s">
        <v>1770</v>
      </c>
    </row>
    <row r="5" spans="1:29" ht="15">
      <c r="A5" s="348"/>
      <c r="B5" s="349"/>
      <c r="C5" s="3869" t="s">
        <v>1673</v>
      </c>
      <c r="D5" s="3834"/>
      <c r="E5" s="3868" t="s">
        <v>1674</v>
      </c>
      <c r="F5" s="3832"/>
      <c r="G5" s="3869" t="s">
        <v>1675</v>
      </c>
      <c r="H5" s="3834"/>
      <c r="I5" s="3869" t="s">
        <v>1676</v>
      </c>
      <c r="J5" s="3834"/>
      <c r="K5" s="537"/>
      <c r="L5" s="2482"/>
      <c r="M5" s="2483"/>
      <c r="N5" s="2483"/>
      <c r="O5" s="2483"/>
      <c r="P5" s="3847"/>
      <c r="Q5" s="3848"/>
      <c r="R5" s="3829"/>
      <c r="S5" s="3830"/>
      <c r="T5" s="3829"/>
      <c r="U5" s="3830"/>
      <c r="V5" s="3853"/>
      <c r="W5" s="3853"/>
      <c r="X5" s="1264"/>
      <c r="Y5" s="3829"/>
      <c r="Z5" s="3830"/>
      <c r="AA5" s="3823"/>
      <c r="AB5" s="3823"/>
      <c r="AC5" s="3823"/>
    </row>
    <row r="6" spans="1:29" ht="15.75" thickBot="1">
      <c r="A6" s="350"/>
      <c r="B6" s="351"/>
      <c r="C6" s="3835" t="s">
        <v>1677</v>
      </c>
      <c r="D6" s="3836"/>
      <c r="E6" s="3838" t="s">
        <v>1677</v>
      </c>
      <c r="F6" s="3839"/>
      <c r="G6" s="3835" t="s">
        <v>1677</v>
      </c>
      <c r="H6" s="3836"/>
      <c r="I6" s="3835" t="s">
        <v>1677</v>
      </c>
      <c r="J6" s="3836"/>
      <c r="K6" s="537" t="s">
        <v>1678</v>
      </c>
      <c r="L6" s="2482"/>
      <c r="M6" s="2483"/>
      <c r="N6" s="2483"/>
      <c r="O6" s="2483"/>
      <c r="P6" s="3849"/>
      <c r="Q6" s="3850"/>
      <c r="R6" s="3829"/>
      <c r="S6" s="3830"/>
      <c r="T6" s="3851"/>
      <c r="U6" s="3852"/>
      <c r="V6" s="3853"/>
      <c r="W6" s="3853"/>
      <c r="X6" s="1264"/>
      <c r="Y6" s="3851"/>
      <c r="Z6" s="3852"/>
      <c r="AA6" s="3824"/>
      <c r="AB6" s="3824"/>
      <c r="AC6" s="3824"/>
    </row>
    <row r="7" spans="1:29" s="102" customFormat="1" ht="15.75" thickBot="1">
      <c r="A7" s="352" t="s">
        <v>1679</v>
      </c>
      <c r="B7" s="353"/>
      <c r="C7" s="354">
        <f>'数据-取费表'!B2</f>
        <v>38867</v>
      </c>
      <c r="D7" s="355">
        <v>100</v>
      </c>
      <c r="E7" s="356"/>
      <c r="F7" s="357">
        <f>SUMIF(46:46,YEAR(E7)&amp;"-"&amp;MONTH(E7),47:47)</f>
        <v>0</v>
      </c>
      <c r="G7" s="1818"/>
      <c r="H7" s="355">
        <f>SUMIF(46:46,YEAR(G7)&amp;"-"&amp;MONTH(G7),47:47)</f>
        <v>0</v>
      </c>
      <c r="I7" s="356"/>
      <c r="J7" s="355">
        <f>SUMIF(46:46,YEAR(I7)&amp;"-"&amp;MONTH(I7),47:47)</f>
        <v>0</v>
      </c>
      <c r="K7" s="38"/>
      <c r="L7" s="2484"/>
      <c r="M7" s="2435"/>
      <c r="N7" s="2435"/>
      <c r="O7" s="2435"/>
      <c r="P7" s="3825" t="s">
        <v>1680</v>
      </c>
      <c r="Q7" s="3854"/>
      <c r="R7" s="664" t="s">
        <v>14</v>
      </c>
      <c r="S7" s="665">
        <f t="shared" ref="S7:S14" si="0">F7</f>
        <v>0</v>
      </c>
      <c r="T7" s="664" t="s">
        <v>14</v>
      </c>
      <c r="U7" s="665">
        <f t="shared" ref="U7:U14" si="1">H7</f>
        <v>0</v>
      </c>
      <c r="V7" s="664" t="s">
        <v>14</v>
      </c>
      <c r="W7" s="665">
        <f t="shared" ref="W7:W14" si="2">J7</f>
        <v>0</v>
      </c>
      <c r="X7" s="666"/>
      <c r="Y7" s="3825" t="s">
        <v>1680</v>
      </c>
      <c r="Z7" s="382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825" t="s">
        <v>1683</v>
      </c>
      <c r="Q8" s="3826"/>
      <c r="R8" s="664" t="s">
        <v>14</v>
      </c>
      <c r="S8" s="665">
        <f t="shared" si="0"/>
        <v>100</v>
      </c>
      <c r="T8" s="664" t="s">
        <v>14</v>
      </c>
      <c r="U8" s="665">
        <f t="shared" si="1"/>
        <v>100</v>
      </c>
      <c r="V8" s="664" t="s">
        <v>14</v>
      </c>
      <c r="W8" s="665">
        <f t="shared" si="2"/>
        <v>100</v>
      </c>
      <c r="X8" s="666"/>
      <c r="Y8" s="3825" t="s">
        <v>1683</v>
      </c>
      <c r="Z8" s="382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858" t="s">
        <v>1686</v>
      </c>
      <c r="Q9" s="530" t="str">
        <f t="shared" ref="Q9:Q14" si="6">B9</f>
        <v>用途</v>
      </c>
      <c r="R9" s="664" t="s">
        <v>14</v>
      </c>
      <c r="S9" s="665">
        <f t="shared" si="0"/>
        <v>100</v>
      </c>
      <c r="T9" s="664" t="s">
        <v>14</v>
      </c>
      <c r="U9" s="665">
        <f t="shared" si="1"/>
        <v>100</v>
      </c>
      <c r="V9" s="664" t="s">
        <v>14</v>
      </c>
      <c r="W9" s="665">
        <f t="shared" si="2"/>
        <v>100</v>
      </c>
      <c r="X9" s="666"/>
      <c r="Y9" s="3769"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858"/>
      <c r="Q10" s="530" t="str">
        <f t="shared" si="6"/>
        <v>土地使用年限（年）</v>
      </c>
      <c r="R10" s="664" t="s">
        <v>14</v>
      </c>
      <c r="S10" s="665">
        <f t="shared" si="0"/>
        <v>100</v>
      </c>
      <c r="T10" s="664" t="s">
        <v>14</v>
      </c>
      <c r="U10" s="665">
        <f t="shared" si="1"/>
        <v>100</v>
      </c>
      <c r="V10" s="664" t="s">
        <v>14</v>
      </c>
      <c r="W10" s="665">
        <f t="shared" si="2"/>
        <v>100</v>
      </c>
      <c r="X10" s="666"/>
      <c r="Y10" s="376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858"/>
      <c r="Q11" s="530">
        <f t="shared" si="6"/>
        <v>111</v>
      </c>
      <c r="R11" s="664" t="s">
        <v>14</v>
      </c>
      <c r="S11" s="665">
        <f t="shared" si="0"/>
        <v>100</v>
      </c>
      <c r="T11" s="664" t="s">
        <v>14</v>
      </c>
      <c r="U11" s="665">
        <f t="shared" si="1"/>
        <v>100</v>
      </c>
      <c r="V11" s="664" t="s">
        <v>14</v>
      </c>
      <c r="W11" s="665">
        <f t="shared" si="2"/>
        <v>100</v>
      </c>
      <c r="X11" s="666"/>
      <c r="Y11" s="376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858"/>
      <c r="Q12" s="530">
        <f t="shared" si="6"/>
        <v>111</v>
      </c>
      <c r="R12" s="664" t="s">
        <v>14</v>
      </c>
      <c r="S12" s="665">
        <f t="shared" si="0"/>
        <v>100</v>
      </c>
      <c r="T12" s="664" t="s">
        <v>14</v>
      </c>
      <c r="U12" s="665">
        <f t="shared" si="1"/>
        <v>100</v>
      </c>
      <c r="V12" s="664" t="s">
        <v>14</v>
      </c>
      <c r="W12" s="665">
        <f t="shared" si="2"/>
        <v>100</v>
      </c>
      <c r="X12" s="666"/>
      <c r="Y12" s="376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8"/>
      <c r="M13" s="2483"/>
      <c r="N13" s="2483"/>
      <c r="O13" s="2538"/>
      <c r="P13" s="3858"/>
      <c r="Q13" s="530">
        <f t="shared" si="6"/>
        <v>111</v>
      </c>
      <c r="R13" s="664" t="s">
        <v>14</v>
      </c>
      <c r="S13" s="665">
        <f t="shared" si="0"/>
        <v>100</v>
      </c>
      <c r="T13" s="664" t="s">
        <v>14</v>
      </c>
      <c r="U13" s="665">
        <f t="shared" si="1"/>
        <v>100</v>
      </c>
      <c r="V13" s="664" t="s">
        <v>14</v>
      </c>
      <c r="W13" s="665">
        <f t="shared" si="2"/>
        <v>100</v>
      </c>
      <c r="X13" s="666"/>
      <c r="Y13" s="3769"/>
      <c r="Z13" s="50">
        <f t="shared" si="7"/>
        <v>111</v>
      </c>
      <c r="AA13" s="50">
        <f t="shared" si="3"/>
        <v>1</v>
      </c>
      <c r="AB13" s="50">
        <f t="shared" si="4"/>
        <v>1</v>
      </c>
      <c r="AC13" s="50">
        <f t="shared" si="5"/>
        <v>1</v>
      </c>
    </row>
    <row r="14" spans="1:29" ht="71.25">
      <c r="A14" s="379" t="s">
        <v>1690</v>
      </c>
      <c r="B14" s="58" t="s">
        <v>1830</v>
      </c>
      <c r="C14" s="1815" t="str">
        <f>IF(B1="工业",估价对象房地状况!G4,估价对象房地状况!C6)</f>
        <v>周边有601路、709路等多条公交线路，综合评价交通便捷度一般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859" t="s">
        <v>1691</v>
      </c>
      <c r="Q14" s="1262" t="str">
        <f t="shared" si="6"/>
        <v>交通便捷度</v>
      </c>
      <c r="R14" s="667" t="s">
        <v>14</v>
      </c>
      <c r="S14" s="668">
        <f t="shared" si="0"/>
        <v>100</v>
      </c>
      <c r="T14" s="667" t="s">
        <v>14</v>
      </c>
      <c r="U14" s="668">
        <f t="shared" si="1"/>
        <v>100</v>
      </c>
      <c r="V14" s="667" t="s">
        <v>14</v>
      </c>
      <c r="W14" s="668">
        <f t="shared" si="2"/>
        <v>100</v>
      </c>
      <c r="X14" s="1264"/>
      <c r="Y14" s="3859"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860"/>
      <c r="Q15" s="1262"/>
      <c r="R15" s="667"/>
      <c r="S15" s="668"/>
      <c r="T15" s="667"/>
      <c r="U15" s="668"/>
      <c r="V15" s="667"/>
      <c r="W15" s="668"/>
      <c r="X15" s="1264"/>
      <c r="Y15" s="3860"/>
      <c r="Z15" s="1263"/>
      <c r="AA15" s="1263">
        <v>1</v>
      </c>
      <c r="AB15" s="1263">
        <v>1</v>
      </c>
      <c r="AC15" s="1263">
        <v>1</v>
      </c>
    </row>
    <row r="16" spans="1:29" ht="199.5">
      <c r="A16" s="367"/>
      <c r="B16" s="390" t="s">
        <v>1809</v>
      </c>
      <c r="C16" s="1752" t="str">
        <f>IF(B1="工业",估价对象房地状况!G5,估价对象房地状况!C7)</f>
        <v>银行：等金融机构；
医院：中国人民解放军第304医院等医疗机构；
学校：首都师范大学、首都师范大学附属中学等教育机构；
商业：社区级商业设施；
综合评价公共服务设施齐备度一般。</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860"/>
      <c r="Q16" s="1262" t="str">
        <f>B16</f>
        <v>公共配套设施</v>
      </c>
      <c r="R16" s="667" t="s">
        <v>14</v>
      </c>
      <c r="S16" s="668">
        <f>F16</f>
        <v>100</v>
      </c>
      <c r="T16" s="667" t="s">
        <v>14</v>
      </c>
      <c r="U16" s="668">
        <f>H16</f>
        <v>100</v>
      </c>
      <c r="V16" s="667" t="s">
        <v>14</v>
      </c>
      <c r="W16" s="668">
        <f>J16</f>
        <v>100</v>
      </c>
      <c r="X16" s="1264"/>
      <c r="Y16" s="3860"/>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88"/>
      <c r="M17" s="2483"/>
      <c r="N17" s="2483"/>
      <c r="O17" s="2538"/>
      <c r="P17" s="3860"/>
      <c r="Q17" s="1262"/>
      <c r="R17" s="667"/>
      <c r="S17" s="668"/>
      <c r="T17" s="667"/>
      <c r="U17" s="668"/>
      <c r="V17" s="667"/>
      <c r="W17" s="668"/>
      <c r="X17" s="1264"/>
      <c r="Y17" s="3860"/>
      <c r="Z17" s="1263"/>
      <c r="AA17" s="1263">
        <v>1</v>
      </c>
      <c r="AB17" s="1263">
        <v>1</v>
      </c>
      <c r="AC17" s="1263">
        <v>1</v>
      </c>
    </row>
    <row r="18" spans="1:29" ht="28.5">
      <c r="A18" s="367"/>
      <c r="B18" s="586" t="s">
        <v>1810</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860"/>
      <c r="Q18" s="1262" t="str">
        <f>B18</f>
        <v>基础设施水平</v>
      </c>
      <c r="R18" s="667" t="s">
        <v>14</v>
      </c>
      <c r="S18" s="668">
        <f>F18</f>
        <v>100</v>
      </c>
      <c r="T18" s="667" t="s">
        <v>14</v>
      </c>
      <c r="U18" s="668">
        <f>H18</f>
        <v>100</v>
      </c>
      <c r="V18" s="667" t="s">
        <v>14</v>
      </c>
      <c r="W18" s="668">
        <f>J18</f>
        <v>100</v>
      </c>
      <c r="X18" s="1264"/>
      <c r="Y18" s="3860"/>
      <c r="Z18" s="1263" t="str">
        <f>Q18</f>
        <v>基础设施水平</v>
      </c>
      <c r="AA18" s="1263">
        <f t="shared" ref="AA18" si="8">D18/F18</f>
        <v>1</v>
      </c>
      <c r="AB18" s="1263">
        <f t="shared" ref="AB18" si="9">D18/H18</f>
        <v>1</v>
      </c>
      <c r="AC18" s="1263">
        <f t="shared" ref="AC18" si="10">D18/J18</f>
        <v>1</v>
      </c>
    </row>
    <row r="19" spans="1:29" ht="15">
      <c r="A19" s="367"/>
      <c r="B19" s="586"/>
      <c r="C19" s="1753"/>
      <c r="D19" s="389"/>
      <c r="E19" s="1753"/>
      <c r="F19" s="392"/>
      <c r="G19" s="1753"/>
      <c r="H19" s="387"/>
      <c r="I19" s="386"/>
      <c r="J19" s="387"/>
      <c r="K19" s="1064"/>
      <c r="L19" s="2488"/>
      <c r="M19" s="2483"/>
      <c r="N19" s="2483"/>
      <c r="O19" s="2538"/>
      <c r="P19" s="3860"/>
      <c r="Q19" s="1262"/>
      <c r="R19" s="667"/>
      <c r="S19" s="668"/>
      <c r="T19" s="667"/>
      <c r="U19" s="668"/>
      <c r="V19" s="667"/>
      <c r="W19" s="668"/>
      <c r="X19" s="1264"/>
      <c r="Y19" s="3860"/>
      <c r="Z19" s="1263"/>
      <c r="AA19" s="1263">
        <v>1</v>
      </c>
      <c r="AB19" s="1263">
        <v>1</v>
      </c>
      <c r="AC19" s="1263">
        <v>1</v>
      </c>
    </row>
    <row r="20" spans="1:29" ht="71.25">
      <c r="A20" s="367"/>
      <c r="B20" s="390" t="s">
        <v>1831</v>
      </c>
      <c r="C20" s="1752" t="str">
        <f>IF(B1="工业",估价对象房地状况!G7,估价对象房地状况!C9)</f>
        <v>人文环境：首都师范大学等人文场所；
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860"/>
      <c r="Q20" s="1262" t="str">
        <f>B20</f>
        <v>自然及人文环境</v>
      </c>
      <c r="R20" s="667" t="s">
        <v>14</v>
      </c>
      <c r="S20" s="668">
        <f>F20</f>
        <v>100</v>
      </c>
      <c r="T20" s="667" t="s">
        <v>14</v>
      </c>
      <c r="U20" s="668">
        <f>H20</f>
        <v>100</v>
      </c>
      <c r="V20" s="667" t="s">
        <v>14</v>
      </c>
      <c r="W20" s="668">
        <f>J20</f>
        <v>100</v>
      </c>
      <c r="X20" s="1264"/>
      <c r="Y20" s="386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860"/>
      <c r="Q21" s="1262"/>
      <c r="R21" s="667"/>
      <c r="S21" s="668"/>
      <c r="T21" s="667"/>
      <c r="U21" s="668"/>
      <c r="V21" s="667"/>
      <c r="W21" s="668"/>
      <c r="X21" s="1264"/>
      <c r="Y21" s="3860"/>
      <c r="Z21" s="1263"/>
      <c r="AA21" s="1263">
        <v>1</v>
      </c>
      <c r="AB21" s="1263">
        <v>1</v>
      </c>
      <c r="AC21" s="1263">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860"/>
      <c r="Q22" s="1262" t="str">
        <f>B22</f>
        <v>楼层</v>
      </c>
      <c r="R22" s="667" t="s">
        <v>14</v>
      </c>
      <c r="S22" s="668">
        <f>F22</f>
        <v>100</v>
      </c>
      <c r="T22" s="667" t="s">
        <v>14</v>
      </c>
      <c r="U22" s="668">
        <f>H22</f>
        <v>100</v>
      </c>
      <c r="V22" s="667" t="s">
        <v>14</v>
      </c>
      <c r="W22" s="668">
        <f>J22</f>
        <v>100</v>
      </c>
      <c r="X22" s="1264"/>
      <c r="Y22" s="386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860"/>
      <c r="Q23" s="1262">
        <f>B23</f>
        <v>111</v>
      </c>
      <c r="R23" s="667" t="s">
        <v>14</v>
      </c>
      <c r="S23" s="668">
        <f>F23</f>
        <v>100</v>
      </c>
      <c r="T23" s="667" t="s">
        <v>14</v>
      </c>
      <c r="U23" s="668">
        <f>H23</f>
        <v>100</v>
      </c>
      <c r="V23" s="667" t="s">
        <v>14</v>
      </c>
      <c r="W23" s="668">
        <f>J23</f>
        <v>100</v>
      </c>
      <c r="X23" s="1264"/>
      <c r="Y23" s="386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860"/>
      <c r="Q24" s="1262">
        <f t="shared" ref="Q24:Q34" si="11">B24</f>
        <v>111</v>
      </c>
      <c r="R24" s="667" t="s">
        <v>14</v>
      </c>
      <c r="S24" s="668">
        <f>F24</f>
        <v>100</v>
      </c>
      <c r="T24" s="667" t="s">
        <v>14</v>
      </c>
      <c r="U24" s="668">
        <f>H24</f>
        <v>100</v>
      </c>
      <c r="V24" s="667" t="s">
        <v>14</v>
      </c>
      <c r="W24" s="668">
        <f>J24</f>
        <v>100</v>
      </c>
      <c r="X24" s="1264"/>
      <c r="Y24" s="3860"/>
      <c r="Z24" s="1263">
        <f>Q24</f>
        <v>111</v>
      </c>
      <c r="AA24" s="1263">
        <f t="shared" si="3"/>
        <v>1</v>
      </c>
      <c r="AB24" s="1263">
        <f t="shared" si="4"/>
        <v>1</v>
      </c>
      <c r="AC24" s="1263">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4"/>
      <c r="M25" s="2435"/>
      <c r="N25" s="2435"/>
      <c r="O25" s="2536"/>
      <c r="P25" s="3860"/>
      <c r="Q25" s="530">
        <f t="shared" si="11"/>
        <v>111</v>
      </c>
      <c r="R25" s="664" t="s">
        <v>14</v>
      </c>
      <c r="S25" s="665">
        <f>F25</f>
        <v>100</v>
      </c>
      <c r="T25" s="664" t="s">
        <v>14</v>
      </c>
      <c r="U25" s="665">
        <f>H25</f>
        <v>100</v>
      </c>
      <c r="V25" s="664" t="s">
        <v>14</v>
      </c>
      <c r="W25" s="665">
        <f>J25</f>
        <v>100</v>
      </c>
      <c r="X25" s="666"/>
      <c r="Y25" s="3860"/>
      <c r="Z25" s="50">
        <f>Q25</f>
        <v>111</v>
      </c>
      <c r="AA25" s="1263">
        <f>D25/F25</f>
        <v>1</v>
      </c>
      <c r="AB25" s="1263">
        <f>D25/H25</f>
        <v>1</v>
      </c>
      <c r="AC25" s="1263">
        <f>D25/J25</f>
        <v>1</v>
      </c>
    </row>
    <row r="26" spans="1:29" ht="28.5">
      <c r="A26" s="404" t="s">
        <v>1694</v>
      </c>
      <c r="B26" s="60" t="s">
        <v>1835</v>
      </c>
      <c r="C26" s="1762"/>
      <c r="D26" s="405">
        <v>100</v>
      </c>
      <c r="E26" s="1762"/>
      <c r="F26" s="587">
        <f>SUMIF(77:77,E26,78:78)-SUMIF(77:77,C26,78:78)+100</f>
        <v>100</v>
      </c>
      <c r="G26" s="1762"/>
      <c r="H26" s="405">
        <f>SUMIF(77:77,G26,78:78)-SUMIF(77:77,C26,78:78)+100</f>
        <v>100</v>
      </c>
      <c r="I26" s="1762"/>
      <c r="J26" s="405">
        <f>SUMIF(77:77,I26,78:78)-SUMIF(77:77,C26,78:78)+100</f>
        <v>100</v>
      </c>
      <c r="K26" s="538"/>
      <c r="L26" s="2488"/>
      <c r="M26" s="2483"/>
      <c r="N26" s="2483"/>
      <c r="O26" s="2538"/>
      <c r="P26" s="3885"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864" t="s">
        <v>1696</v>
      </c>
      <c r="Z26" s="1263" t="str">
        <f t="shared" ref="Z26:Z34" si="15">Q26</f>
        <v>公共部分装修</v>
      </c>
      <c r="AA26" s="1263">
        <f t="shared" si="3"/>
        <v>1</v>
      </c>
      <c r="AB26" s="1263">
        <f t="shared" si="4"/>
        <v>1</v>
      </c>
      <c r="AC26" s="1263">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864"/>
      <c r="Q27" s="531" t="str">
        <f t="shared" si="11"/>
        <v>成新率</v>
      </c>
      <c r="R27" s="669" t="s">
        <v>14</v>
      </c>
      <c r="S27" s="670" t="e">
        <f t="shared" si="12"/>
        <v>#N/A</v>
      </c>
      <c r="T27" s="669" t="s">
        <v>14</v>
      </c>
      <c r="U27" s="670" t="e">
        <f t="shared" si="13"/>
        <v>#N/A</v>
      </c>
      <c r="V27" s="669" t="s">
        <v>14</v>
      </c>
      <c r="W27" s="670" t="e">
        <f t="shared" si="14"/>
        <v>#N/A</v>
      </c>
      <c r="X27" s="671"/>
      <c r="Y27" s="3864"/>
      <c r="Z27" s="672" t="str">
        <f t="shared" si="15"/>
        <v>成新率</v>
      </c>
      <c r="AA27" s="1263" t="e">
        <f t="shared" si="3"/>
        <v>#N/A</v>
      </c>
      <c r="AB27" s="1263" t="e">
        <f t="shared" si="4"/>
        <v>#N/A</v>
      </c>
      <c r="AC27" s="1263"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864"/>
      <c r="Q28" s="1262" t="str">
        <f t="shared" si="11"/>
        <v>物业等级</v>
      </c>
      <c r="R28" s="667" t="s">
        <v>14</v>
      </c>
      <c r="S28" s="668">
        <f t="shared" si="12"/>
        <v>100</v>
      </c>
      <c r="T28" s="667" t="s">
        <v>14</v>
      </c>
      <c r="U28" s="668">
        <f t="shared" si="13"/>
        <v>100</v>
      </c>
      <c r="V28" s="667" t="s">
        <v>14</v>
      </c>
      <c r="W28" s="668">
        <f t="shared" si="14"/>
        <v>100</v>
      </c>
      <c r="X28" s="1264"/>
      <c r="Y28" s="3864"/>
      <c r="Z28" s="1263" t="str">
        <f t="shared" si="15"/>
        <v>物业等级</v>
      </c>
      <c r="AA28" s="1263">
        <f t="shared" si="3"/>
        <v>1</v>
      </c>
      <c r="AB28" s="1263">
        <f t="shared" si="4"/>
        <v>1</v>
      </c>
      <c r="AC28" s="1263">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864"/>
      <c r="Q29" s="1262" t="str">
        <f t="shared" si="11"/>
        <v>有无电梯</v>
      </c>
      <c r="R29" s="667" t="s">
        <v>14</v>
      </c>
      <c r="S29" s="668">
        <f t="shared" si="12"/>
        <v>100</v>
      </c>
      <c r="T29" s="667" t="s">
        <v>14</v>
      </c>
      <c r="U29" s="668">
        <f t="shared" si="13"/>
        <v>100</v>
      </c>
      <c r="V29" s="667" t="s">
        <v>14</v>
      </c>
      <c r="W29" s="668">
        <f t="shared" si="14"/>
        <v>100</v>
      </c>
      <c r="X29" s="1264"/>
      <c r="Y29" s="3864"/>
      <c r="Z29" s="1263" t="str">
        <f t="shared" si="15"/>
        <v>有无电梯</v>
      </c>
      <c r="AA29" s="1263">
        <f t="shared" si="3"/>
        <v>1</v>
      </c>
      <c r="AB29" s="1263">
        <f t="shared" si="4"/>
        <v>1</v>
      </c>
      <c r="AC29" s="1263">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864"/>
      <c r="Q30" s="1262" t="str">
        <f t="shared" si="11"/>
        <v>建筑面积</v>
      </c>
      <c r="R30" s="667" t="s">
        <v>14</v>
      </c>
      <c r="S30" s="668" t="e">
        <f t="shared" si="12"/>
        <v>#N/A</v>
      </c>
      <c r="T30" s="667" t="s">
        <v>14</v>
      </c>
      <c r="U30" s="668" t="e">
        <f t="shared" si="13"/>
        <v>#N/A</v>
      </c>
      <c r="V30" s="667" t="s">
        <v>14</v>
      </c>
      <c r="W30" s="668" t="e">
        <f t="shared" si="14"/>
        <v>#N/A</v>
      </c>
      <c r="X30" s="1264"/>
      <c r="Y30" s="3864"/>
      <c r="Z30" s="1263" t="str">
        <f t="shared" si="15"/>
        <v>建筑面积</v>
      </c>
      <c r="AA30" s="1263" t="e">
        <f t="shared" si="3"/>
        <v>#N/A</v>
      </c>
      <c r="AB30" s="1263" t="e">
        <f t="shared" si="4"/>
        <v>#N/A</v>
      </c>
      <c r="AC30" s="1263"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864"/>
      <c r="Q31" s="530" t="str">
        <f t="shared" si="11"/>
        <v>是否封闭</v>
      </c>
      <c r="R31" s="664" t="s">
        <v>14</v>
      </c>
      <c r="S31" s="665">
        <f t="shared" si="12"/>
        <v>100</v>
      </c>
      <c r="T31" s="664" t="s">
        <v>14</v>
      </c>
      <c r="U31" s="665">
        <f t="shared" si="13"/>
        <v>100</v>
      </c>
      <c r="V31" s="664" t="s">
        <v>14</v>
      </c>
      <c r="W31" s="665">
        <f t="shared" si="14"/>
        <v>100</v>
      </c>
      <c r="X31" s="666"/>
      <c r="Y31" s="386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864" t="s">
        <v>1696</v>
      </c>
      <c r="Q32" s="1262">
        <f t="shared" si="11"/>
        <v>111</v>
      </c>
      <c r="R32" s="667" t="s">
        <v>14</v>
      </c>
      <c r="S32" s="668">
        <f t="shared" si="12"/>
        <v>100</v>
      </c>
      <c r="T32" s="667" t="s">
        <v>14</v>
      </c>
      <c r="U32" s="668">
        <f t="shared" si="13"/>
        <v>100</v>
      </c>
      <c r="V32" s="667" t="s">
        <v>14</v>
      </c>
      <c r="W32" s="668">
        <f t="shared" si="14"/>
        <v>100</v>
      </c>
      <c r="X32" s="1264"/>
      <c r="Y32" s="3864"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864"/>
      <c r="Q33" s="1262">
        <f t="shared" si="11"/>
        <v>111</v>
      </c>
      <c r="R33" s="667" t="s">
        <v>14</v>
      </c>
      <c r="S33" s="668">
        <f t="shared" si="12"/>
        <v>100</v>
      </c>
      <c r="T33" s="667" t="s">
        <v>14</v>
      </c>
      <c r="U33" s="668">
        <f t="shared" si="13"/>
        <v>100</v>
      </c>
      <c r="V33" s="667" t="s">
        <v>14</v>
      </c>
      <c r="W33" s="668">
        <f t="shared" si="14"/>
        <v>100</v>
      </c>
      <c r="X33" s="1264"/>
      <c r="Y33" s="3864"/>
      <c r="Z33" s="1263">
        <f t="shared" si="15"/>
        <v>111</v>
      </c>
      <c r="AA33" s="1263">
        <f t="shared" si="3"/>
        <v>1</v>
      </c>
      <c r="AB33" s="1263">
        <f t="shared" si="4"/>
        <v>1</v>
      </c>
      <c r="AC33" s="1263">
        <f t="shared" si="5"/>
        <v>1</v>
      </c>
    </row>
    <row r="34" spans="1:30" ht="15.75" thickBot="1">
      <c r="A34" s="415"/>
      <c r="B34" s="1747">
        <v>111</v>
      </c>
      <c r="C34" s="376"/>
      <c r="D34" s="377">
        <v>100</v>
      </c>
      <c r="E34" s="1819"/>
      <c r="F34" s="378">
        <f>SUMIF(95:95,E34,96:96)-SUMIF(95:95,C34,96:96)+100</f>
        <v>100</v>
      </c>
      <c r="G34" s="1819"/>
      <c r="H34" s="377">
        <f>SUMIF(95:95,G34,96:96)-SUMIF(95:95,C34,96:96)+100</f>
        <v>100</v>
      </c>
      <c r="I34" s="1819"/>
      <c r="J34" s="377">
        <f>SUMIF(95:95,I34,96:96)-SUMIF(95:95,C34,96:96)+100</f>
        <v>100</v>
      </c>
      <c r="K34" s="539"/>
      <c r="L34" s="2488"/>
      <c r="M34" s="2483"/>
      <c r="N34" s="2483"/>
      <c r="O34" s="2538"/>
      <c r="P34" s="3864"/>
      <c r="Q34" s="1262">
        <f t="shared" si="11"/>
        <v>111</v>
      </c>
      <c r="R34" s="667" t="s">
        <v>14</v>
      </c>
      <c r="S34" s="668">
        <f t="shared" si="12"/>
        <v>100</v>
      </c>
      <c r="T34" s="667" t="s">
        <v>14</v>
      </c>
      <c r="U34" s="668">
        <f t="shared" si="13"/>
        <v>100</v>
      </c>
      <c r="V34" s="667" t="s">
        <v>14</v>
      </c>
      <c r="W34" s="668">
        <f t="shared" si="14"/>
        <v>100</v>
      </c>
      <c r="X34" s="1264"/>
      <c r="Y34" s="3864"/>
      <c r="Z34" s="1263">
        <f t="shared" si="15"/>
        <v>111</v>
      </c>
      <c r="AA34" s="1263">
        <f t="shared" si="3"/>
        <v>1</v>
      </c>
      <c r="AB34" s="1263">
        <f t="shared" si="4"/>
        <v>1</v>
      </c>
      <c r="AC34" s="1263">
        <f t="shared" si="5"/>
        <v>1</v>
      </c>
    </row>
    <row r="35" spans="1:30" ht="15">
      <c r="A35" s="416" t="s">
        <v>1706</v>
      </c>
      <c r="B35" s="417"/>
      <c r="C35" s="1081" t="s">
        <v>0</v>
      </c>
      <c r="D35" s="418"/>
      <c r="E35" s="419"/>
      <c r="F35" s="420"/>
      <c r="G35" s="421"/>
      <c r="H35" s="422"/>
      <c r="I35" s="419"/>
      <c r="J35" s="422"/>
      <c r="K35" s="674"/>
      <c r="L35" s="2490"/>
      <c r="M35" s="2483"/>
      <c r="N35" s="2483"/>
      <c r="O35" s="2483"/>
      <c r="P35" s="3858" t="str">
        <f>A35</f>
        <v>成交单价（元/平方米）</v>
      </c>
      <c r="Q35" s="3858"/>
      <c r="R35" s="3853">
        <f>E35</f>
        <v>0</v>
      </c>
      <c r="S35" s="3853"/>
      <c r="T35" s="3853">
        <f>G35</f>
        <v>0</v>
      </c>
      <c r="U35" s="3853"/>
      <c r="V35" s="3853">
        <f>I35</f>
        <v>0</v>
      </c>
      <c r="W35" s="3853"/>
      <c r="X35" s="385"/>
      <c r="Y35" s="673"/>
      <c r="Z35" s="385"/>
      <c r="AA35" s="385"/>
      <c r="AB35" s="385"/>
      <c r="AC35" s="385"/>
    </row>
    <row r="36" spans="1:30" ht="15.75" thickBot="1">
      <c r="A36" s="423" t="s">
        <v>1790</v>
      </c>
      <c r="B36" s="424"/>
      <c r="C36" s="1082" t="e">
        <f>R37</f>
        <v>#DIV/0!</v>
      </c>
      <c r="D36" s="2137" t="s">
        <v>2135</v>
      </c>
      <c r="E36" s="1083" t="e">
        <f>R36</f>
        <v>#DIV/0!</v>
      </c>
      <c r="F36" s="2138"/>
      <c r="G36" s="1082" t="e">
        <f>T36</f>
        <v>#DIV/0!</v>
      </c>
      <c r="H36" s="2138"/>
      <c r="I36" s="1083" t="e">
        <f>V36</f>
        <v>#DIV/0!</v>
      </c>
      <c r="J36" s="2138"/>
      <c r="K36" s="2140">
        <f>F36+H36+J36</f>
        <v>0</v>
      </c>
      <c r="L36" s="2490"/>
      <c r="M36" s="2483"/>
      <c r="N36" s="2483"/>
      <c r="O36" s="2483"/>
      <c r="P36" s="3858" t="str">
        <f>A36</f>
        <v>比较价值（元/平方米）</v>
      </c>
      <c r="Q36" s="3858"/>
      <c r="R36" s="3853" t="e">
        <f>IF(F1="售价",ROUND(PRODUCT(R35,AA7:AA34),0),ROUND(PRODUCT(R35,AA7:AA34),1))</f>
        <v>#DIV/0!</v>
      </c>
      <c r="S36" s="3853"/>
      <c r="T36" s="3853" t="e">
        <f>IF(F1="售价",ROUND(PRODUCT(T35,AB7:AB34),0),ROUND(PRODUCT(T35,AB7:AB34),1))</f>
        <v>#DIV/0!</v>
      </c>
      <c r="U36" s="3853"/>
      <c r="V36" s="3853" t="e">
        <f>IF(F1="售价",ROUND(PRODUCT(V35,AC7:AC34),0),ROUND(PRODUCT(V35,AC7:AC34),1))</f>
        <v>#DIV/0!</v>
      </c>
      <c r="W36" s="3853"/>
      <c r="X36" s="385"/>
      <c r="Y36" s="385"/>
      <c r="Z36" s="385"/>
      <c r="AA36" s="385"/>
      <c r="AB36" s="385"/>
      <c r="AC36" s="385"/>
    </row>
    <row r="37" spans="1:30" ht="15.75" thickBot="1">
      <c r="A37" s="427" t="s">
        <v>1791</v>
      </c>
      <c r="B37" s="428"/>
      <c r="C37" s="351" t="e">
        <f>R37</f>
        <v>#DIV/0!</v>
      </c>
      <c r="D37" s="351"/>
      <c r="E37" s="351"/>
      <c r="F37" s="351"/>
      <c r="G37" s="351"/>
      <c r="H37" s="351"/>
      <c r="I37" s="351"/>
      <c r="J37" s="351"/>
      <c r="K37" s="675"/>
      <c r="L37" s="2490"/>
      <c r="M37" s="2483"/>
      <c r="N37" s="2483"/>
      <c r="O37" s="2483"/>
      <c r="P37" s="3855" t="str">
        <f>A37</f>
        <v>估价对象XX用房的比较价值（楼面单价，元/平方米）</v>
      </c>
      <c r="Q37" s="3856"/>
      <c r="R37" s="3886" t="e">
        <f>IF(F1="售价",ROUND(IF(D36="简单平均",AVERAGE(R36:W36),R36*F36+T36*H36+V36*J36),0),ROUND(IF(D36="简单平均",AVERAGE(R36:V36),R36*F36+T36*H36+V36*J36),1))</f>
        <v>#DIV/0!</v>
      </c>
      <c r="S37" s="3886"/>
      <c r="T37" s="3886"/>
      <c r="U37" s="3886"/>
      <c r="V37" s="3886"/>
      <c r="W37" s="3886"/>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1795</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2" t="str">
        <f>YEAR(C7)&amp;"-"&amp;MONTH(C7)</f>
        <v>2006-5</v>
      </c>
      <c r="D46" s="1103">
        <f>EDATE(C46,-1)</f>
        <v>38808</v>
      </c>
      <c r="E46" s="1103">
        <f t="shared" ref="E46:O46" si="16">EDATE(D46,-1)</f>
        <v>38777</v>
      </c>
      <c r="F46" s="1103">
        <f t="shared" si="16"/>
        <v>38749</v>
      </c>
      <c r="G46" s="1103">
        <f t="shared" si="16"/>
        <v>38718</v>
      </c>
      <c r="H46" s="1103">
        <f t="shared" si="16"/>
        <v>38687</v>
      </c>
      <c r="I46" s="1103">
        <f t="shared" si="16"/>
        <v>38657</v>
      </c>
      <c r="J46" s="1103">
        <f t="shared" si="16"/>
        <v>38626</v>
      </c>
      <c r="K46" s="1103">
        <f t="shared" si="16"/>
        <v>38596</v>
      </c>
      <c r="L46" s="1103">
        <f t="shared" si="16"/>
        <v>38565</v>
      </c>
      <c r="M46" s="1103">
        <f t="shared" si="16"/>
        <v>38534</v>
      </c>
      <c r="N46" s="1103">
        <f t="shared" si="16"/>
        <v>38504</v>
      </c>
      <c r="O46" s="1103">
        <f t="shared" si="16"/>
        <v>38473</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1">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75" thickBot="1">
      <c r="A48" s="449" t="s">
        <v>1714</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5">
      <c r="A49" s="455" t="s">
        <v>1681</v>
      </c>
      <c r="B49" s="444"/>
      <c r="C49" s="456" t="s">
        <v>1773</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c r="A51" s="379" t="s">
        <v>1717</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1724</v>
      </c>
      <c r="C61" s="504" t="s">
        <v>1719</v>
      </c>
      <c r="D61" s="504" t="s">
        <v>1720</v>
      </c>
      <c r="E61" s="504" t="s">
        <v>1721</v>
      </c>
      <c r="F61" s="504" t="s">
        <v>1722</v>
      </c>
      <c r="G61" s="504" t="s">
        <v>1723</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1860</v>
      </c>
      <c r="C63" s="509" t="s">
        <v>1719</v>
      </c>
      <c r="D63" s="509" t="s">
        <v>1720</v>
      </c>
      <c r="E63" s="509" t="s">
        <v>1721</v>
      </c>
      <c r="F63" s="509" t="s">
        <v>1722</v>
      </c>
      <c r="G63" s="509" t="s">
        <v>1723</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1810</v>
      </c>
      <c r="C65" s="581" t="s">
        <v>1796</v>
      </c>
      <c r="D65" s="581" t="s">
        <v>1797</v>
      </c>
      <c r="E65" s="581" t="s">
        <v>1798</v>
      </c>
      <c r="F65" s="581" t="s">
        <v>1799</v>
      </c>
      <c r="G65" s="581" t="s">
        <v>1800</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1731</v>
      </c>
      <c r="C67" s="509" t="s">
        <v>1719</v>
      </c>
      <c r="D67" s="509" t="s">
        <v>1720</v>
      </c>
      <c r="E67" s="509" t="s">
        <v>1721</v>
      </c>
      <c r="F67" s="509" t="s">
        <v>1722</v>
      </c>
      <c r="G67" s="509" t="s">
        <v>1723</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1849</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1737</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1853</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1861</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1862</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1863</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1865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1866</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841" t="s">
        <v>1767</v>
      </c>
      <c r="D4" s="3842"/>
      <c r="E4" s="3843" t="s">
        <v>1768</v>
      </c>
      <c r="F4" s="3844"/>
      <c r="G4" s="3841" t="s">
        <v>1769</v>
      </c>
      <c r="H4" s="3842"/>
      <c r="I4" s="3841" t="s">
        <v>1770</v>
      </c>
      <c r="J4" s="3842"/>
      <c r="K4" s="537" t="s">
        <v>1771</v>
      </c>
      <c r="L4" s="2482"/>
      <c r="M4" s="2483"/>
      <c r="N4" s="2483"/>
      <c r="O4" s="2483"/>
      <c r="P4" s="3845" t="s">
        <v>1772</v>
      </c>
      <c r="Q4" s="3846"/>
      <c r="R4" s="3827" t="s">
        <v>1768</v>
      </c>
      <c r="S4" s="3828"/>
      <c r="T4" s="3827" t="s">
        <v>1769</v>
      </c>
      <c r="U4" s="3828"/>
      <c r="V4" s="3853" t="s">
        <v>1770</v>
      </c>
      <c r="W4" s="3853"/>
      <c r="X4" s="1264"/>
      <c r="Y4" s="3827" t="s">
        <v>1772</v>
      </c>
      <c r="Z4" s="3828"/>
      <c r="AA4" s="3822" t="s">
        <v>1768</v>
      </c>
      <c r="AB4" s="3823" t="s">
        <v>1769</v>
      </c>
      <c r="AC4" s="3822" t="s">
        <v>1770</v>
      </c>
    </row>
    <row r="5" spans="1:29" ht="15">
      <c r="A5" s="348"/>
      <c r="B5" s="349"/>
      <c r="C5" s="3869" t="s">
        <v>1673</v>
      </c>
      <c r="D5" s="3834"/>
      <c r="E5" s="3868" t="s">
        <v>1674</v>
      </c>
      <c r="F5" s="3832"/>
      <c r="G5" s="3869" t="s">
        <v>1675</v>
      </c>
      <c r="H5" s="3834"/>
      <c r="I5" s="3869" t="s">
        <v>1676</v>
      </c>
      <c r="J5" s="3834"/>
      <c r="K5" s="537"/>
      <c r="L5" s="2482"/>
      <c r="M5" s="2483"/>
      <c r="N5" s="2483"/>
      <c r="O5" s="2483"/>
      <c r="P5" s="3847"/>
      <c r="Q5" s="3848"/>
      <c r="R5" s="3829"/>
      <c r="S5" s="3830"/>
      <c r="T5" s="3829"/>
      <c r="U5" s="3830"/>
      <c r="V5" s="3853"/>
      <c r="W5" s="3853"/>
      <c r="X5" s="1264"/>
      <c r="Y5" s="3829"/>
      <c r="Z5" s="3830"/>
      <c r="AA5" s="3823"/>
      <c r="AB5" s="3823"/>
      <c r="AC5" s="3823"/>
    </row>
    <row r="6" spans="1:29" ht="15.75" thickBot="1">
      <c r="A6" s="350"/>
      <c r="B6" s="351"/>
      <c r="C6" s="3835" t="s">
        <v>1677</v>
      </c>
      <c r="D6" s="3836"/>
      <c r="E6" s="3838" t="s">
        <v>1677</v>
      </c>
      <c r="F6" s="3839"/>
      <c r="G6" s="3835" t="s">
        <v>1677</v>
      </c>
      <c r="H6" s="3836"/>
      <c r="I6" s="3835" t="s">
        <v>1677</v>
      </c>
      <c r="J6" s="3836"/>
      <c r="K6" s="537" t="s">
        <v>1678</v>
      </c>
      <c r="L6" s="2482"/>
      <c r="M6" s="2483"/>
      <c r="N6" s="2483"/>
      <c r="O6" s="2483"/>
      <c r="P6" s="3849"/>
      <c r="Q6" s="3850"/>
      <c r="R6" s="3829"/>
      <c r="S6" s="3830"/>
      <c r="T6" s="3851"/>
      <c r="U6" s="3852"/>
      <c r="V6" s="3853"/>
      <c r="W6" s="3853"/>
      <c r="X6" s="1264"/>
      <c r="Y6" s="3851"/>
      <c r="Z6" s="3852"/>
      <c r="AA6" s="3824"/>
      <c r="AB6" s="3824"/>
      <c r="AC6" s="3824"/>
    </row>
    <row r="7" spans="1:29" s="102" customFormat="1" ht="15.75" thickBot="1">
      <c r="A7" s="352" t="s">
        <v>1679</v>
      </c>
      <c r="B7" s="353"/>
      <c r="C7" s="354">
        <f>'数据-取费表'!B2</f>
        <v>38867</v>
      </c>
      <c r="D7" s="355">
        <v>100</v>
      </c>
      <c r="E7" s="356"/>
      <c r="F7" s="357">
        <f>SUMIF(69:69,YEAR(E7)&amp;"-"&amp;INT((MONTH(E7)+2)/3),70:70)</f>
        <v>0</v>
      </c>
      <c r="G7" s="1818"/>
      <c r="H7" s="355">
        <f>SUMIF(69:69,YEAR(G7)&amp;"-"&amp;INT((MONTH(G7)+2)/3),70:70)</f>
        <v>0</v>
      </c>
      <c r="I7" s="1818"/>
      <c r="J7" s="355">
        <f>SUMIF(69:69,YEAR(I7)&amp;"-"&amp;INT((MONTH(I7)+2)/3),70:70)</f>
        <v>0</v>
      </c>
      <c r="K7" s="38"/>
      <c r="L7" s="2484"/>
      <c r="M7" s="2435"/>
      <c r="N7" s="2435"/>
      <c r="O7" s="2435"/>
      <c r="P7" s="3825" t="s">
        <v>1680</v>
      </c>
      <c r="Q7" s="3854"/>
      <c r="R7" s="664" t="s">
        <v>14</v>
      </c>
      <c r="S7" s="665">
        <f t="shared" ref="S7:S15" si="0">F7</f>
        <v>0</v>
      </c>
      <c r="T7" s="664" t="s">
        <v>14</v>
      </c>
      <c r="U7" s="665">
        <f t="shared" ref="U7:U15" si="1">H7</f>
        <v>0</v>
      </c>
      <c r="V7" s="664" t="s">
        <v>14</v>
      </c>
      <c r="W7" s="665">
        <f t="shared" ref="W7:W15" si="2">J7</f>
        <v>0</v>
      </c>
      <c r="X7" s="666"/>
      <c r="Y7" s="3825" t="s">
        <v>1680</v>
      </c>
      <c r="Z7" s="382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5"/>
      <c r="N8" s="2435"/>
      <c r="O8" s="2435"/>
      <c r="P8" s="3825" t="s">
        <v>1683</v>
      </c>
      <c r="Q8" s="3826"/>
      <c r="R8" s="664" t="s">
        <v>14</v>
      </c>
      <c r="S8" s="665">
        <f t="shared" si="0"/>
        <v>0</v>
      </c>
      <c r="T8" s="664" t="s">
        <v>14</v>
      </c>
      <c r="U8" s="665">
        <f t="shared" si="1"/>
        <v>0</v>
      </c>
      <c r="V8" s="664" t="s">
        <v>14</v>
      </c>
      <c r="W8" s="665">
        <f t="shared" si="2"/>
        <v>0</v>
      </c>
      <c r="X8" s="666"/>
      <c r="Y8" s="3825" t="s">
        <v>1683</v>
      </c>
      <c r="Z8" s="3826"/>
      <c r="AA8" s="50" t="e">
        <f t="shared" ref="AA8:AA45" si="3">D8/F8</f>
        <v>#DIV/0!</v>
      </c>
      <c r="AB8" s="50" t="e">
        <f t="shared" ref="AB8:AB45" si="4">D8/H8</f>
        <v>#DIV/0!</v>
      </c>
      <c r="AC8" s="50" t="e">
        <f t="shared" ref="AC8:AC45" si="5">D8/J8</f>
        <v>#DIV/0!</v>
      </c>
    </row>
    <row r="9" spans="1:29" s="102" customFormat="1">
      <c r="A9" s="359" t="s">
        <v>1684</v>
      </c>
      <c r="B9" s="60" t="s">
        <v>1685</v>
      </c>
      <c r="C9" s="1821"/>
      <c r="D9" s="59">
        <v>100</v>
      </c>
      <c r="E9" s="1821"/>
      <c r="F9" s="59">
        <f>SUMIF(74:74,E9,75:75)-SUMIF(74:74,C9,75:75)+100</f>
        <v>100</v>
      </c>
      <c r="G9" s="1821"/>
      <c r="H9" s="59">
        <f>SUMIF(74:74,G9,75:75)-SUMIF(74:74,C9,75:75)+100</f>
        <v>100</v>
      </c>
      <c r="I9" s="1821"/>
      <c r="J9" s="59">
        <f>SUMIF(74:74,I9,75:75)-SUMIF(74:74,C9,75:75)+100</f>
        <v>100</v>
      </c>
      <c r="K9" s="38"/>
      <c r="L9" s="2484"/>
      <c r="M9" s="2435"/>
      <c r="N9" s="2435"/>
      <c r="O9" s="2536"/>
      <c r="P9" s="3858" t="s">
        <v>1686</v>
      </c>
      <c r="Q9" s="530" t="str">
        <f t="shared" ref="Q9:Q15" si="6">B9</f>
        <v>用途</v>
      </c>
      <c r="R9" s="664" t="s">
        <v>14</v>
      </c>
      <c r="S9" s="665">
        <f t="shared" si="0"/>
        <v>100</v>
      </c>
      <c r="T9" s="664" t="s">
        <v>14</v>
      </c>
      <c r="U9" s="665">
        <f t="shared" si="1"/>
        <v>100</v>
      </c>
      <c r="V9" s="664" t="s">
        <v>14</v>
      </c>
      <c r="W9" s="665">
        <f t="shared" si="2"/>
        <v>100</v>
      </c>
      <c r="X9" s="666"/>
      <c r="Y9" s="376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5"/>
      <c r="M10" s="2486"/>
      <c r="N10" s="2486"/>
      <c r="O10" s="2537"/>
      <c r="P10" s="3858"/>
      <c r="Q10" s="530" t="str">
        <f t="shared" si="6"/>
        <v>土地使用年限（年）</v>
      </c>
      <c r="R10" s="664" t="s">
        <v>14</v>
      </c>
      <c r="S10" s="665">
        <f t="shared" si="0"/>
        <v>100</v>
      </c>
      <c r="T10" s="664" t="s">
        <v>14</v>
      </c>
      <c r="U10" s="665">
        <f t="shared" si="1"/>
        <v>100</v>
      </c>
      <c r="V10" s="664" t="s">
        <v>14</v>
      </c>
      <c r="W10" s="665">
        <f t="shared" si="2"/>
        <v>100</v>
      </c>
      <c r="X10" s="666"/>
      <c r="Y10" s="3769"/>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858"/>
      <c r="Q11" s="530" t="str">
        <f t="shared" si="6"/>
        <v>容积率</v>
      </c>
      <c r="R11" s="664" t="s">
        <v>14</v>
      </c>
      <c r="S11" s="665" t="e">
        <f t="shared" si="0"/>
        <v>#N/A</v>
      </c>
      <c r="T11" s="664" t="s">
        <v>14</v>
      </c>
      <c r="U11" s="665" t="e">
        <f t="shared" si="1"/>
        <v>#N/A</v>
      </c>
      <c r="V11" s="664" t="s">
        <v>14</v>
      </c>
      <c r="W11" s="665" t="e">
        <f t="shared" si="2"/>
        <v>#N/A</v>
      </c>
      <c r="X11" s="666"/>
      <c r="Y11" s="3769"/>
      <c r="Z11" s="50" t="str">
        <f t="shared" si="7"/>
        <v>容积率</v>
      </c>
      <c r="AA11" s="50" t="e">
        <f t="shared" si="3"/>
        <v>#N/A</v>
      </c>
      <c r="AB11" s="50" t="e">
        <f t="shared" si="4"/>
        <v>#N/A</v>
      </c>
      <c r="AC11" s="50" t="e">
        <f t="shared" si="5"/>
        <v>#N/A</v>
      </c>
    </row>
    <row r="12" spans="1:29" s="102" customFormat="1" ht="1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5"/>
      <c r="N12" s="2435"/>
      <c r="O12" s="2536"/>
      <c r="P12" s="3858"/>
      <c r="Q12" s="530" t="str">
        <f t="shared" si="6"/>
        <v>配建</v>
      </c>
      <c r="R12" s="664" t="s">
        <v>14</v>
      </c>
      <c r="S12" s="665">
        <f t="shared" si="0"/>
        <v>100</v>
      </c>
      <c r="T12" s="664" t="s">
        <v>14</v>
      </c>
      <c r="U12" s="665">
        <f t="shared" si="1"/>
        <v>100</v>
      </c>
      <c r="V12" s="664" t="s">
        <v>14</v>
      </c>
      <c r="W12" s="665">
        <f t="shared" si="2"/>
        <v>100</v>
      </c>
      <c r="X12" s="666"/>
      <c r="Y12" s="376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858"/>
      <c r="Q13" s="530">
        <f t="shared" si="6"/>
        <v>111</v>
      </c>
      <c r="R13" s="664" t="s">
        <v>14</v>
      </c>
      <c r="S13" s="665">
        <f t="shared" si="0"/>
        <v>100</v>
      </c>
      <c r="T13" s="664" t="s">
        <v>14</v>
      </c>
      <c r="U13" s="665">
        <f t="shared" si="1"/>
        <v>100</v>
      </c>
      <c r="V13" s="664" t="s">
        <v>14</v>
      </c>
      <c r="W13" s="665">
        <f t="shared" si="2"/>
        <v>100</v>
      </c>
      <c r="X13" s="666"/>
      <c r="Y13" s="3769"/>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858"/>
      <c r="Q14" s="530">
        <f t="shared" si="6"/>
        <v>111</v>
      </c>
      <c r="R14" s="664" t="s">
        <v>14</v>
      </c>
      <c r="S14" s="665">
        <f t="shared" si="0"/>
        <v>100</v>
      </c>
      <c r="T14" s="664" t="s">
        <v>14</v>
      </c>
      <c r="U14" s="665">
        <f t="shared" si="1"/>
        <v>100</v>
      </c>
      <c r="V14" s="664" t="s">
        <v>14</v>
      </c>
      <c r="W14" s="665">
        <f t="shared" si="2"/>
        <v>100</v>
      </c>
      <c r="X14" s="666"/>
      <c r="Y14" s="3769"/>
      <c r="Z14" s="50">
        <f t="shared" si="7"/>
        <v>111</v>
      </c>
      <c r="AA14" s="50">
        <f>D14/F14</f>
        <v>1</v>
      </c>
      <c r="AB14" s="50">
        <f>D14/H14</f>
        <v>1</v>
      </c>
      <c r="AC14" s="50">
        <f>D14/J14</f>
        <v>1</v>
      </c>
    </row>
    <row r="15" spans="1:29" ht="57">
      <c r="A15" s="379" t="s">
        <v>1690</v>
      </c>
      <c r="B15" s="58" t="s">
        <v>1257</v>
      </c>
      <c r="C15" s="1748" t="str">
        <f>估价对象房地状况!C15</f>
        <v>周边有中海雅园、北洼西里等住宅小区，居住社区成熟度较好。</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859" t="s">
        <v>1691</v>
      </c>
      <c r="Q15" s="1262" t="str">
        <f t="shared" si="6"/>
        <v>居住社区成熟度</v>
      </c>
      <c r="R15" s="667" t="s">
        <v>14</v>
      </c>
      <c r="S15" s="668">
        <f t="shared" si="0"/>
        <v>100</v>
      </c>
      <c r="T15" s="667" t="s">
        <v>14</v>
      </c>
      <c r="U15" s="668">
        <f t="shared" si="1"/>
        <v>100</v>
      </c>
      <c r="V15" s="667" t="s">
        <v>14</v>
      </c>
      <c r="W15" s="668">
        <f t="shared" si="2"/>
        <v>100</v>
      </c>
      <c r="X15" s="1264"/>
      <c r="Y15" s="3859"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0"/>
      <c r="H16" s="389"/>
      <c r="I16" s="1749"/>
      <c r="J16" s="387"/>
      <c r="K16" s="592"/>
      <c r="L16" s="2488"/>
      <c r="M16" s="2483"/>
      <c r="N16" s="2483"/>
      <c r="O16" s="2538"/>
      <c r="P16" s="3860"/>
      <c r="Q16" s="1262"/>
      <c r="R16" s="667"/>
      <c r="S16" s="668"/>
      <c r="T16" s="667"/>
      <c r="U16" s="668"/>
      <c r="V16" s="667"/>
      <c r="W16" s="668"/>
      <c r="X16" s="1264"/>
      <c r="Y16" s="3860"/>
      <c r="Z16" s="1263"/>
      <c r="AA16" s="1263">
        <v>1</v>
      </c>
      <c r="AB16" s="1263">
        <v>1</v>
      </c>
      <c r="AC16" s="1263">
        <v>1</v>
      </c>
    </row>
    <row r="17" spans="1:29" ht="71.25">
      <c r="A17" s="367"/>
      <c r="B17" s="390" t="s">
        <v>1774</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860"/>
      <c r="Q17" s="1262" t="str">
        <f>B17</f>
        <v>商业繁华度</v>
      </c>
      <c r="R17" s="667" t="s">
        <v>14</v>
      </c>
      <c r="S17" s="668">
        <f>F17</f>
        <v>100</v>
      </c>
      <c r="T17" s="667" t="s">
        <v>14</v>
      </c>
      <c r="U17" s="668">
        <f>H17</f>
        <v>100</v>
      </c>
      <c r="V17" s="667" t="s">
        <v>14</v>
      </c>
      <c r="W17" s="668">
        <f>J17</f>
        <v>100</v>
      </c>
      <c r="X17" s="1264"/>
      <c r="Y17" s="3860"/>
      <c r="Z17" s="1263" t="str">
        <f>Q17</f>
        <v>商业繁华度</v>
      </c>
      <c r="AA17" s="1263">
        <f t="shared" si="3"/>
        <v>1</v>
      </c>
      <c r="AB17" s="1263">
        <f t="shared" si="4"/>
        <v>1</v>
      </c>
      <c r="AC17" s="1263">
        <f t="shared" si="5"/>
        <v>1</v>
      </c>
    </row>
    <row r="18" spans="1:29" ht="15">
      <c r="A18" s="367"/>
      <c r="B18" s="395"/>
      <c r="C18" s="1753"/>
      <c r="D18" s="389"/>
      <c r="E18" s="1755"/>
      <c r="F18" s="389"/>
      <c r="G18" s="1755"/>
      <c r="H18" s="387"/>
      <c r="I18" s="1754"/>
      <c r="J18" s="387"/>
      <c r="K18" s="592"/>
      <c r="L18" s="2488"/>
      <c r="M18" s="2483"/>
      <c r="N18" s="2483"/>
      <c r="O18" s="2538"/>
      <c r="P18" s="3860"/>
      <c r="Q18" s="1262"/>
      <c r="R18" s="667"/>
      <c r="S18" s="668"/>
      <c r="T18" s="667"/>
      <c r="U18" s="668"/>
      <c r="V18" s="667"/>
      <c r="W18" s="668"/>
      <c r="X18" s="1264"/>
      <c r="Y18" s="3860"/>
      <c r="Z18" s="1263"/>
      <c r="AA18" s="1263">
        <v>1</v>
      </c>
      <c r="AB18" s="1263">
        <v>1</v>
      </c>
      <c r="AC18" s="1263">
        <v>1</v>
      </c>
    </row>
    <row r="19" spans="1:29" ht="71.25">
      <c r="A19" s="367"/>
      <c r="B19" s="390" t="s">
        <v>1808</v>
      </c>
      <c r="C19" s="1802"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860"/>
      <c r="Q19" s="1262" t="str">
        <f>B19</f>
        <v>办公集聚程度</v>
      </c>
      <c r="R19" s="667" t="s">
        <v>14</v>
      </c>
      <c r="S19" s="668">
        <f>F19</f>
        <v>100</v>
      </c>
      <c r="T19" s="667" t="s">
        <v>14</v>
      </c>
      <c r="U19" s="668">
        <f>H19</f>
        <v>100</v>
      </c>
      <c r="V19" s="667" t="s">
        <v>14</v>
      </c>
      <c r="W19" s="668">
        <f>J19</f>
        <v>100</v>
      </c>
      <c r="X19" s="1264"/>
      <c r="Y19" s="3860"/>
      <c r="Z19" s="1263" t="str">
        <f>Q19</f>
        <v>办公集聚程度</v>
      </c>
      <c r="AA19" s="1263">
        <f t="shared" si="3"/>
        <v>1</v>
      </c>
      <c r="AB19" s="1263">
        <f t="shared" si="4"/>
        <v>1</v>
      </c>
      <c r="AC19" s="1263">
        <f t="shared" si="5"/>
        <v>1</v>
      </c>
    </row>
    <row r="20" spans="1:29" ht="15">
      <c r="A20" s="367"/>
      <c r="B20" s="395"/>
      <c r="C20" s="386"/>
      <c r="D20" s="387"/>
      <c r="E20" s="1750"/>
      <c r="F20" s="387"/>
      <c r="G20" s="1750"/>
      <c r="H20" s="387"/>
      <c r="I20" s="1749"/>
      <c r="J20" s="387"/>
      <c r="K20" s="592"/>
      <c r="L20" s="2488"/>
      <c r="M20" s="2483"/>
      <c r="N20" s="2483"/>
      <c r="O20" s="2538"/>
      <c r="P20" s="3860"/>
      <c r="Q20" s="1262"/>
      <c r="R20" s="667"/>
      <c r="S20" s="668"/>
      <c r="T20" s="667"/>
      <c r="U20" s="668"/>
      <c r="V20" s="667"/>
      <c r="W20" s="668"/>
      <c r="X20" s="1264"/>
      <c r="Y20" s="3860"/>
      <c r="Z20" s="1263"/>
      <c r="AA20" s="1263">
        <v>1</v>
      </c>
      <c r="AB20" s="1263">
        <v>1</v>
      </c>
      <c r="AC20" s="1263">
        <v>1</v>
      </c>
    </row>
    <row r="21" spans="1:29" ht="71.25">
      <c r="A21" s="367"/>
      <c r="B21" s="390" t="s">
        <v>1830</v>
      </c>
      <c r="C21" s="1752" t="str">
        <f>估价对象房地状况!C18</f>
        <v>周边有601路、709路等多条公交线路，综合评价交通便捷度一般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860"/>
      <c r="Q21" s="1262" t="str">
        <f>B21</f>
        <v>交通便捷度</v>
      </c>
      <c r="R21" s="667" t="s">
        <v>14</v>
      </c>
      <c r="S21" s="668">
        <f>F21</f>
        <v>100</v>
      </c>
      <c r="T21" s="667" t="s">
        <v>14</v>
      </c>
      <c r="U21" s="668">
        <f>H21</f>
        <v>100</v>
      </c>
      <c r="V21" s="667" t="s">
        <v>14</v>
      </c>
      <c r="W21" s="668">
        <f>J21</f>
        <v>100</v>
      </c>
      <c r="X21" s="1264"/>
      <c r="Y21" s="3860"/>
      <c r="Z21" s="1263" t="str">
        <f>Q21</f>
        <v>交通便捷度</v>
      </c>
      <c r="AA21" s="1263">
        <f t="shared" si="3"/>
        <v>1</v>
      </c>
      <c r="AB21" s="1263">
        <f t="shared" si="4"/>
        <v>1</v>
      </c>
      <c r="AC21" s="1263">
        <f t="shared" si="5"/>
        <v>1</v>
      </c>
    </row>
    <row r="22" spans="1:29" ht="15">
      <c r="A22" s="367"/>
      <c r="B22" s="586"/>
      <c r="C22" s="386"/>
      <c r="D22" s="389"/>
      <c r="E22" s="1750"/>
      <c r="F22" s="387"/>
      <c r="G22" s="1750"/>
      <c r="H22" s="387"/>
      <c r="I22" s="1749"/>
      <c r="J22" s="387"/>
      <c r="K22" s="592"/>
      <c r="L22" s="2488"/>
      <c r="M22" s="2483"/>
      <c r="N22" s="2483"/>
      <c r="O22" s="2538"/>
      <c r="P22" s="3860"/>
      <c r="Q22" s="1262"/>
      <c r="R22" s="667"/>
      <c r="S22" s="668"/>
      <c r="T22" s="667"/>
      <c r="U22" s="668"/>
      <c r="V22" s="667"/>
      <c r="W22" s="668"/>
      <c r="X22" s="1264"/>
      <c r="Y22" s="3860"/>
      <c r="Z22" s="1263"/>
      <c r="AA22" s="1263">
        <v>1</v>
      </c>
      <c r="AB22" s="1263">
        <v>1</v>
      </c>
      <c r="AC22" s="1263">
        <v>1</v>
      </c>
    </row>
    <row r="23" spans="1:29" ht="15">
      <c r="A23" s="348"/>
      <c r="B23" s="390" t="s">
        <v>1868</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860"/>
      <c r="Q23" s="1262" t="str">
        <f t="shared" ref="Q23:Q37" si="8">B23</f>
        <v>区域土地利用方向</v>
      </c>
      <c r="R23" s="667" t="s">
        <v>14</v>
      </c>
      <c r="S23" s="668">
        <f>F23</f>
        <v>100</v>
      </c>
      <c r="T23" s="667" t="s">
        <v>14</v>
      </c>
      <c r="U23" s="668">
        <f>H23</f>
        <v>100</v>
      </c>
      <c r="V23" s="667" t="s">
        <v>14</v>
      </c>
      <c r="W23" s="668">
        <f>J23</f>
        <v>100</v>
      </c>
      <c r="X23" s="1264"/>
      <c r="Y23" s="3860"/>
      <c r="Z23" s="1263" t="str">
        <f>Q23</f>
        <v>区域土地利用方向</v>
      </c>
      <c r="AA23" s="1263">
        <f t="shared" si="3"/>
        <v>1</v>
      </c>
      <c r="AB23" s="1263">
        <f t="shared" si="4"/>
        <v>1</v>
      </c>
      <c r="AC23" s="1263">
        <f t="shared" si="5"/>
        <v>1</v>
      </c>
    </row>
    <row r="24" spans="1:29" ht="15">
      <c r="A24" s="348"/>
      <c r="B24" s="395"/>
      <c r="C24" s="542"/>
      <c r="D24" s="387"/>
      <c r="E24" s="1750"/>
      <c r="F24" s="387"/>
      <c r="G24" s="1749"/>
      <c r="H24" s="387"/>
      <c r="I24" s="1749"/>
      <c r="J24" s="387"/>
      <c r="K24" s="698"/>
      <c r="L24" s="2488"/>
      <c r="M24" s="2483"/>
      <c r="N24" s="2483"/>
      <c r="O24" s="2538"/>
      <c r="P24" s="3860"/>
      <c r="Q24" s="1262"/>
      <c r="R24" s="667"/>
      <c r="S24" s="668"/>
      <c r="T24" s="667"/>
      <c r="U24" s="668"/>
      <c r="V24" s="667"/>
      <c r="W24" s="668"/>
      <c r="X24" s="1264"/>
      <c r="Y24" s="3860"/>
      <c r="Z24" s="1263"/>
      <c r="AA24" s="1263"/>
      <c r="AB24" s="1263"/>
      <c r="AC24" s="1263"/>
    </row>
    <row r="25" spans="1:29" ht="71.25">
      <c r="A25" s="348"/>
      <c r="B25" s="586" t="s">
        <v>1869</v>
      </c>
      <c r="C25" s="1802" t="str">
        <f>估价对象房地状况!C20</f>
        <v>人文环境：首都师范大学等人文场所；
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860"/>
      <c r="Q25" s="1262" t="str">
        <f t="shared" si="8"/>
        <v>自然及人文环境状况</v>
      </c>
      <c r="R25" s="667" t="s">
        <v>14</v>
      </c>
      <c r="S25" s="668">
        <f>F25</f>
        <v>100</v>
      </c>
      <c r="T25" s="667" t="s">
        <v>14</v>
      </c>
      <c r="U25" s="668">
        <f>H25</f>
        <v>100</v>
      </c>
      <c r="V25" s="667" t="s">
        <v>14</v>
      </c>
      <c r="W25" s="668">
        <f>J25</f>
        <v>100</v>
      </c>
      <c r="X25" s="1264"/>
      <c r="Y25" s="3860"/>
      <c r="Z25" s="1263" t="str">
        <f>Q25</f>
        <v>自然及人文环境状况</v>
      </c>
      <c r="AA25" s="1263">
        <f t="shared" si="3"/>
        <v>1</v>
      </c>
      <c r="AB25" s="1263">
        <f t="shared" si="4"/>
        <v>1</v>
      </c>
      <c r="AC25" s="1263">
        <f t="shared" si="5"/>
        <v>1</v>
      </c>
    </row>
    <row r="26" spans="1:29" ht="15">
      <c r="A26" s="348"/>
      <c r="B26" s="395"/>
      <c r="C26" s="386"/>
      <c r="D26" s="387"/>
      <c r="E26" s="1756"/>
      <c r="F26" s="387"/>
      <c r="G26" s="1756"/>
      <c r="H26" s="387"/>
      <c r="I26" s="386"/>
      <c r="J26" s="387"/>
      <c r="K26" s="592"/>
      <c r="L26" s="2488"/>
      <c r="M26" s="2483"/>
      <c r="N26" s="2483"/>
      <c r="O26" s="2538"/>
      <c r="P26" s="3860"/>
      <c r="Q26" s="1262"/>
      <c r="R26" s="667"/>
      <c r="S26" s="668"/>
      <c r="T26" s="667"/>
      <c r="U26" s="668"/>
      <c r="V26" s="667"/>
      <c r="W26" s="668"/>
      <c r="X26" s="1264"/>
      <c r="Y26" s="3860"/>
      <c r="Z26" s="1263"/>
      <c r="AA26" s="1263">
        <v>1</v>
      </c>
      <c r="AB26" s="1263">
        <v>1</v>
      </c>
      <c r="AC26" s="1263">
        <v>1</v>
      </c>
    </row>
    <row r="27" spans="1:29" s="102" customFormat="1" ht="199.5">
      <c r="A27" s="443"/>
      <c r="B27" s="586" t="s">
        <v>1775</v>
      </c>
      <c r="C27" s="1752" t="str">
        <f>估价对象房地状况!C21</f>
        <v>银行：等金融机构；
医院：中国人民解放军第304医院等医疗机构；
学校：首都师范大学、首都师范大学附属中学等教育机构；
商业：社区级商业设施；
综合评价公共服务设施齐备度一般。</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5"/>
      <c r="N27" s="2435"/>
      <c r="O27" s="2536"/>
      <c r="P27" s="3860"/>
      <c r="Q27" s="530" t="str">
        <f t="shared" si="8"/>
        <v>公共配套设施</v>
      </c>
      <c r="R27" s="664" t="s">
        <v>14</v>
      </c>
      <c r="S27" s="665">
        <f>F27</f>
        <v>100</v>
      </c>
      <c r="T27" s="664" t="s">
        <v>14</v>
      </c>
      <c r="U27" s="665">
        <f>H27</f>
        <v>100</v>
      </c>
      <c r="V27" s="664" t="s">
        <v>14</v>
      </c>
      <c r="W27" s="665">
        <f>J27</f>
        <v>100</v>
      </c>
      <c r="X27" s="666"/>
      <c r="Y27" s="3860"/>
      <c r="Z27" s="50" t="str">
        <f>Q27</f>
        <v>公共配套设施</v>
      </c>
      <c r="AA27" s="1263">
        <f>D27/F27</f>
        <v>1</v>
      </c>
      <c r="AB27" s="1263">
        <f>D27/H27</f>
        <v>1</v>
      </c>
      <c r="AC27" s="1263">
        <f>D27/J27</f>
        <v>1</v>
      </c>
    </row>
    <row r="28" spans="1:29" s="102" customFormat="1" ht="15">
      <c r="A28" s="443"/>
      <c r="B28" s="395"/>
      <c r="C28" s="1822"/>
      <c r="D28" s="387"/>
      <c r="E28" s="1756"/>
      <c r="F28" s="387"/>
      <c r="G28" s="1756"/>
      <c r="H28" s="387"/>
      <c r="I28" s="386"/>
      <c r="J28" s="387"/>
      <c r="K28" s="592"/>
      <c r="L28" s="2484"/>
      <c r="M28" s="2435"/>
      <c r="N28" s="2435"/>
      <c r="O28" s="2536"/>
      <c r="P28" s="3860"/>
      <c r="Q28" s="530"/>
      <c r="R28" s="664"/>
      <c r="S28" s="665"/>
      <c r="T28" s="664"/>
      <c r="U28" s="665"/>
      <c r="V28" s="664"/>
      <c r="W28" s="665"/>
      <c r="X28" s="666"/>
      <c r="Y28" s="3860"/>
      <c r="Z28" s="50"/>
      <c r="AA28" s="1263">
        <v>1</v>
      </c>
      <c r="AB28" s="1263">
        <v>1</v>
      </c>
      <c r="AC28" s="1263">
        <v>1</v>
      </c>
    </row>
    <row r="29" spans="1:29" s="102" customFormat="1" ht="28.5">
      <c r="A29" s="443"/>
      <c r="B29" s="586" t="s">
        <v>1776</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860"/>
      <c r="Q29" s="530" t="str">
        <f t="shared" ref="Q29" si="9">B29</f>
        <v>基础设施水平</v>
      </c>
      <c r="R29" s="664" t="s">
        <v>14</v>
      </c>
      <c r="S29" s="665">
        <f>F29</f>
        <v>100</v>
      </c>
      <c r="T29" s="664" t="s">
        <v>14</v>
      </c>
      <c r="U29" s="665">
        <f>H29</f>
        <v>100</v>
      </c>
      <c r="V29" s="664" t="s">
        <v>14</v>
      </c>
      <c r="W29" s="665">
        <f>J29</f>
        <v>100</v>
      </c>
      <c r="X29" s="666"/>
      <c r="Y29" s="3860"/>
      <c r="Z29" s="50" t="str">
        <f>Q29</f>
        <v>基础设施水平</v>
      </c>
      <c r="AA29" s="1263">
        <f>D29/F29</f>
        <v>1</v>
      </c>
      <c r="AB29" s="1263">
        <f>D29/H29</f>
        <v>1</v>
      </c>
      <c r="AC29" s="1263">
        <f>D29/J29</f>
        <v>1</v>
      </c>
    </row>
    <row r="30" spans="1:29" s="102" customFormat="1" ht="15">
      <c r="A30" s="443"/>
      <c r="B30" s="395"/>
      <c r="C30" s="1822"/>
      <c r="D30" s="387"/>
      <c r="E30" s="1823"/>
      <c r="F30" s="387"/>
      <c r="G30" s="1823"/>
      <c r="H30" s="387"/>
      <c r="I30" s="1823"/>
      <c r="J30" s="387"/>
      <c r="K30" s="592"/>
      <c r="L30" s="2484"/>
      <c r="M30" s="2435"/>
      <c r="N30" s="2435"/>
      <c r="O30" s="2536"/>
      <c r="P30" s="3860"/>
      <c r="Q30" s="530"/>
      <c r="R30" s="664"/>
      <c r="S30" s="665"/>
      <c r="T30" s="664"/>
      <c r="U30" s="665"/>
      <c r="V30" s="664"/>
      <c r="W30" s="665"/>
      <c r="X30" s="666"/>
      <c r="Y30" s="3860"/>
      <c r="Z30" s="50"/>
      <c r="AA30" s="1263">
        <v>1</v>
      </c>
      <c r="AB30" s="1263">
        <v>1</v>
      </c>
      <c r="AC30" s="1263">
        <v>1</v>
      </c>
    </row>
    <row r="31" spans="1:29" ht="15">
      <c r="A31" s="367"/>
      <c r="B31" s="395" t="s">
        <v>1777</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860"/>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860"/>
      <c r="Z31" s="1263" t="str">
        <f t="shared" ref="Z31:Z45" si="13">Q31</f>
        <v>临街状况</v>
      </c>
      <c r="AA31" s="1263">
        <f t="shared" si="3"/>
        <v>1</v>
      </c>
      <c r="AB31" s="1263">
        <f t="shared" si="4"/>
        <v>1</v>
      </c>
      <c r="AC31" s="1263">
        <f t="shared" si="5"/>
        <v>1</v>
      </c>
    </row>
    <row r="32" spans="1:29" ht="27">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860"/>
      <c r="Q32" s="1262" t="str">
        <f t="shared" si="8"/>
        <v>毗邻道路的类型与等级</v>
      </c>
      <c r="R32" s="667" t="s">
        <v>14</v>
      </c>
      <c r="S32" s="668">
        <f t="shared" si="10"/>
        <v>100</v>
      </c>
      <c r="T32" s="667" t="s">
        <v>14</v>
      </c>
      <c r="U32" s="668">
        <f t="shared" si="11"/>
        <v>100</v>
      </c>
      <c r="V32" s="667" t="s">
        <v>14</v>
      </c>
      <c r="W32" s="668">
        <f t="shared" si="12"/>
        <v>100</v>
      </c>
      <c r="X32" s="1264"/>
      <c r="Y32" s="3860"/>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88"/>
      <c r="M33" s="2483"/>
      <c r="N33" s="2483"/>
      <c r="O33" s="2538"/>
      <c r="P33" s="3860"/>
      <c r="Q33" s="1262"/>
      <c r="R33" s="667"/>
      <c r="S33" s="668"/>
      <c r="T33" s="667"/>
      <c r="U33" s="668"/>
      <c r="V33" s="667"/>
      <c r="W33" s="668"/>
      <c r="X33" s="1264"/>
      <c r="Y33" s="3860"/>
      <c r="Z33" s="1263"/>
      <c r="AA33" s="1263">
        <v>1</v>
      </c>
      <c r="AB33" s="1263">
        <v>1</v>
      </c>
      <c r="AC33" s="1263">
        <v>1</v>
      </c>
    </row>
    <row r="34" spans="1:29" ht="15">
      <c r="A34" s="367"/>
      <c r="B34" s="364" t="s">
        <v>1870</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860"/>
      <c r="Q34" s="1262" t="str">
        <f t="shared" si="8"/>
        <v>土地级别</v>
      </c>
      <c r="R34" s="667" t="s">
        <v>14</v>
      </c>
      <c r="S34" s="668">
        <f t="shared" si="10"/>
        <v>100</v>
      </c>
      <c r="T34" s="667" t="s">
        <v>14</v>
      </c>
      <c r="U34" s="668">
        <f t="shared" si="11"/>
        <v>100</v>
      </c>
      <c r="V34" s="667" t="s">
        <v>14</v>
      </c>
      <c r="W34" s="668">
        <f t="shared" si="12"/>
        <v>100</v>
      </c>
      <c r="X34" s="1264"/>
      <c r="Y34" s="3860"/>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860"/>
      <c r="Q35" s="1262">
        <f t="shared" si="8"/>
        <v>111</v>
      </c>
      <c r="R35" s="667" t="s">
        <v>14</v>
      </c>
      <c r="S35" s="668">
        <f t="shared" si="10"/>
        <v>100</v>
      </c>
      <c r="T35" s="667" t="s">
        <v>14</v>
      </c>
      <c r="U35" s="668">
        <f t="shared" si="11"/>
        <v>100</v>
      </c>
      <c r="V35" s="667" t="s">
        <v>14</v>
      </c>
      <c r="W35" s="668">
        <f t="shared" si="12"/>
        <v>100</v>
      </c>
      <c r="X35" s="1264"/>
      <c r="Y35" s="3860"/>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885" t="s">
        <v>1696</v>
      </c>
      <c r="Q36" s="1262">
        <f t="shared" si="8"/>
        <v>111</v>
      </c>
      <c r="R36" s="667" t="s">
        <v>14</v>
      </c>
      <c r="S36" s="668">
        <f t="shared" si="10"/>
        <v>100</v>
      </c>
      <c r="T36" s="667" t="s">
        <v>14</v>
      </c>
      <c r="U36" s="668">
        <f t="shared" si="11"/>
        <v>100</v>
      </c>
      <c r="V36" s="667" t="s">
        <v>14</v>
      </c>
      <c r="W36" s="668">
        <f t="shared" si="12"/>
        <v>100</v>
      </c>
      <c r="X36" s="1264"/>
      <c r="Y36" s="3864"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864"/>
      <c r="Q37" s="1262">
        <f t="shared" si="8"/>
        <v>111</v>
      </c>
      <c r="R37" s="669" t="s">
        <v>14</v>
      </c>
      <c r="S37" s="670">
        <f t="shared" si="10"/>
        <v>100</v>
      </c>
      <c r="T37" s="669" t="s">
        <v>14</v>
      </c>
      <c r="U37" s="670">
        <f t="shared" si="11"/>
        <v>100</v>
      </c>
      <c r="V37" s="669" t="s">
        <v>14</v>
      </c>
      <c r="W37" s="670">
        <f t="shared" si="12"/>
        <v>100</v>
      </c>
      <c r="X37" s="671"/>
      <c r="Y37" s="3864"/>
      <c r="Z37" s="672">
        <f t="shared" si="13"/>
        <v>111</v>
      </c>
      <c r="AA37" s="1263">
        <f t="shared" si="3"/>
        <v>1</v>
      </c>
      <c r="AB37" s="1263">
        <f t="shared" si="4"/>
        <v>1</v>
      </c>
      <c r="AC37" s="1263">
        <f t="shared" si="5"/>
        <v>1</v>
      </c>
    </row>
    <row r="38" spans="1:29" ht="15">
      <c r="A38" s="409" t="s">
        <v>1694</v>
      </c>
      <c r="B38" s="395" t="s">
        <v>1871</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864"/>
      <c r="Q38" s="1262" t="str">
        <f>B38</f>
        <v>宗地面积</v>
      </c>
      <c r="R38" s="667" t="s">
        <v>14</v>
      </c>
      <c r="S38" s="668" t="e">
        <f t="shared" si="10"/>
        <v>#N/A</v>
      </c>
      <c r="T38" s="667" t="s">
        <v>14</v>
      </c>
      <c r="U38" s="668" t="e">
        <f t="shared" si="11"/>
        <v>#N/A</v>
      </c>
      <c r="V38" s="667" t="s">
        <v>14</v>
      </c>
      <c r="W38" s="668" t="e">
        <f t="shared" si="12"/>
        <v>#N/A</v>
      </c>
      <c r="X38" s="1264"/>
      <c r="Y38" s="3864"/>
      <c r="Z38" s="1263" t="str">
        <f t="shared" si="13"/>
        <v>宗地面积</v>
      </c>
      <c r="AA38" s="1263" t="e">
        <f t="shared" si="3"/>
        <v>#N/A</v>
      </c>
      <c r="AB38" s="1263" t="e">
        <f t="shared" si="4"/>
        <v>#N/A</v>
      </c>
      <c r="AC38" s="1263" t="e">
        <f t="shared" si="5"/>
        <v>#N/A</v>
      </c>
    </row>
    <row r="39" spans="1:29" ht="15">
      <c r="A39" s="409"/>
      <c r="B39" s="364" t="s">
        <v>1872</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88"/>
      <c r="M39" s="2483"/>
      <c r="N39" s="2483"/>
      <c r="O39" s="2538"/>
      <c r="P39" s="3864"/>
      <c r="Q39" s="1262" t="str">
        <f t="shared" ref="Q39:Q45" si="14">B39</f>
        <v>宗地形状</v>
      </c>
      <c r="R39" s="667" t="s">
        <v>14</v>
      </c>
      <c r="S39" s="668">
        <f t="shared" si="10"/>
        <v>100</v>
      </c>
      <c r="T39" s="667" t="s">
        <v>14</v>
      </c>
      <c r="U39" s="668">
        <f t="shared" si="11"/>
        <v>100</v>
      </c>
      <c r="V39" s="667" t="s">
        <v>14</v>
      </c>
      <c r="W39" s="668">
        <f t="shared" si="12"/>
        <v>100</v>
      </c>
      <c r="X39" s="1264"/>
      <c r="Y39" s="3864"/>
      <c r="Z39" s="1263" t="str">
        <f t="shared" si="13"/>
        <v>宗地形状</v>
      </c>
      <c r="AA39" s="1263">
        <f t="shared" si="3"/>
        <v>1</v>
      </c>
      <c r="AB39" s="1263">
        <f t="shared" si="4"/>
        <v>1</v>
      </c>
      <c r="AC39" s="1263">
        <f t="shared" si="5"/>
        <v>1</v>
      </c>
    </row>
    <row r="40" spans="1:29" ht="15">
      <c r="A40" s="409"/>
      <c r="B40" s="364" t="s">
        <v>1873</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8"/>
      <c r="M40" s="2483"/>
      <c r="N40" s="2483"/>
      <c r="O40" s="2538"/>
      <c r="P40" s="3864"/>
      <c r="Q40" s="1262" t="str">
        <f t="shared" si="14"/>
        <v>临街宽度及深度</v>
      </c>
      <c r="R40" s="667" t="s">
        <v>14</v>
      </c>
      <c r="S40" s="668">
        <f t="shared" si="10"/>
        <v>100</v>
      </c>
      <c r="T40" s="667" t="s">
        <v>14</v>
      </c>
      <c r="U40" s="668">
        <f t="shared" si="11"/>
        <v>100</v>
      </c>
      <c r="V40" s="667" t="s">
        <v>14</v>
      </c>
      <c r="W40" s="668">
        <f t="shared" si="12"/>
        <v>100</v>
      </c>
      <c r="X40" s="1264"/>
      <c r="Y40" s="3864"/>
      <c r="Z40" s="1263" t="str">
        <f t="shared" si="13"/>
        <v>临街宽度及深度</v>
      </c>
      <c r="AA40" s="1263">
        <f t="shared" si="3"/>
        <v>1</v>
      </c>
      <c r="AB40" s="1263">
        <f t="shared" si="4"/>
        <v>1</v>
      </c>
      <c r="AC40" s="1263">
        <f t="shared" si="5"/>
        <v>1</v>
      </c>
    </row>
    <row r="41" spans="1:29" s="102" customFormat="1" ht="15">
      <c r="A41" s="410"/>
      <c r="B41" s="364" t="s">
        <v>1874</v>
      </c>
      <c r="C41" s="1824"/>
      <c r="D41" s="119">
        <v>100</v>
      </c>
      <c r="E41" s="1824"/>
      <c r="F41" s="374">
        <f>SUMIF(122:122,E41,123:123)-SUMIF(122:122,C41,123:123)+100</f>
        <v>100</v>
      </c>
      <c r="G41" s="1824"/>
      <c r="H41" s="374">
        <f>SUMIF(122:122,G41,123:123)-SUMIF(122:122,C41,123:123)+100</f>
        <v>100</v>
      </c>
      <c r="I41" s="1824"/>
      <c r="J41" s="374">
        <f>SUMIF(122:122,I41,123:123)-SUMIF(122:122,C41,123:123)+100</f>
        <v>100</v>
      </c>
      <c r="K41" s="538"/>
      <c r="L41" s="2484"/>
      <c r="M41" s="2435"/>
      <c r="N41" s="2435"/>
      <c r="O41" s="2536"/>
      <c r="P41" s="3864"/>
      <c r="Q41" s="1262" t="str">
        <f t="shared" si="14"/>
        <v>宗地开发程度</v>
      </c>
      <c r="R41" s="664" t="s">
        <v>14</v>
      </c>
      <c r="S41" s="665">
        <f t="shared" si="10"/>
        <v>100</v>
      </c>
      <c r="T41" s="664" t="s">
        <v>14</v>
      </c>
      <c r="U41" s="665">
        <f t="shared" si="11"/>
        <v>100</v>
      </c>
      <c r="V41" s="664" t="s">
        <v>14</v>
      </c>
      <c r="W41" s="665">
        <f t="shared" si="12"/>
        <v>100</v>
      </c>
      <c r="X41" s="666"/>
      <c r="Y41" s="3864"/>
      <c r="Z41" s="50" t="str">
        <f t="shared" si="13"/>
        <v>宗地开发程度</v>
      </c>
      <c r="AA41" s="50">
        <f t="shared" si="3"/>
        <v>1</v>
      </c>
      <c r="AB41" s="50">
        <f t="shared" si="4"/>
        <v>1</v>
      </c>
      <c r="AC41" s="50">
        <f t="shared" si="5"/>
        <v>1</v>
      </c>
    </row>
    <row r="42" spans="1:29" ht="15">
      <c r="A42" s="409"/>
      <c r="B42" s="364" t="s">
        <v>1875</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88"/>
      <c r="M42" s="2483"/>
      <c r="N42" s="2483"/>
      <c r="O42" s="2538"/>
      <c r="P42" s="3864" t="s">
        <v>1696</v>
      </c>
      <c r="Q42" s="1262" t="str">
        <f t="shared" si="14"/>
        <v>工程地质条件</v>
      </c>
      <c r="R42" s="667" t="s">
        <v>14</v>
      </c>
      <c r="S42" s="668">
        <f t="shared" si="10"/>
        <v>100</v>
      </c>
      <c r="T42" s="667" t="s">
        <v>14</v>
      </c>
      <c r="U42" s="668">
        <f t="shared" si="11"/>
        <v>100</v>
      </c>
      <c r="V42" s="667" t="s">
        <v>14</v>
      </c>
      <c r="W42" s="668">
        <f t="shared" si="12"/>
        <v>100</v>
      </c>
      <c r="X42" s="1264"/>
      <c r="Y42" s="3864"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864"/>
      <c r="Q43" s="1262">
        <f t="shared" si="14"/>
        <v>111</v>
      </c>
      <c r="R43" s="667" t="s">
        <v>14</v>
      </c>
      <c r="S43" s="668">
        <f t="shared" si="10"/>
        <v>100</v>
      </c>
      <c r="T43" s="667" t="s">
        <v>14</v>
      </c>
      <c r="U43" s="668">
        <f t="shared" si="11"/>
        <v>100</v>
      </c>
      <c r="V43" s="667" t="s">
        <v>14</v>
      </c>
      <c r="W43" s="668">
        <f t="shared" si="12"/>
        <v>100</v>
      </c>
      <c r="X43" s="1264"/>
      <c r="Y43" s="3864"/>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864"/>
      <c r="Q44" s="1262">
        <f t="shared" si="14"/>
        <v>111</v>
      </c>
      <c r="R44" s="667" t="s">
        <v>14</v>
      </c>
      <c r="S44" s="668">
        <f t="shared" si="10"/>
        <v>100</v>
      </c>
      <c r="T44" s="667" t="s">
        <v>14</v>
      </c>
      <c r="U44" s="668">
        <f t="shared" si="11"/>
        <v>100</v>
      </c>
      <c r="V44" s="667" t="s">
        <v>14</v>
      </c>
      <c r="W44" s="668">
        <f t="shared" si="12"/>
        <v>100</v>
      </c>
      <c r="X44" s="1264"/>
      <c r="Y44" s="3864"/>
      <c r="Z44" s="1263">
        <f t="shared" si="13"/>
        <v>111</v>
      </c>
      <c r="AA44" s="1263">
        <f t="shared" si="3"/>
        <v>1</v>
      </c>
      <c r="AB44" s="1263">
        <f t="shared" si="4"/>
        <v>1</v>
      </c>
      <c r="AC44" s="1263">
        <f t="shared" si="5"/>
        <v>1</v>
      </c>
    </row>
    <row r="45" spans="1:29" s="408" customFormat="1" ht="15.75" thickBot="1">
      <c r="A45" s="406"/>
      <c r="B45" s="1067">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864"/>
      <c r="Q45" s="1262">
        <f t="shared" si="14"/>
        <v>111</v>
      </c>
      <c r="R45" s="669" t="s">
        <v>14</v>
      </c>
      <c r="S45" s="670">
        <f t="shared" si="10"/>
        <v>100</v>
      </c>
      <c r="T45" s="669" t="s">
        <v>14</v>
      </c>
      <c r="U45" s="670">
        <f t="shared" si="11"/>
        <v>100</v>
      </c>
      <c r="V45" s="669" t="s">
        <v>14</v>
      </c>
      <c r="W45" s="670">
        <f t="shared" si="12"/>
        <v>100</v>
      </c>
      <c r="X45" s="671"/>
      <c r="Y45" s="3864"/>
      <c r="Z45" s="672">
        <f t="shared" si="13"/>
        <v>111</v>
      </c>
      <c r="AA45" s="1263">
        <f t="shared" si="3"/>
        <v>1</v>
      </c>
      <c r="AB45" s="1263">
        <f t="shared" si="4"/>
        <v>1</v>
      </c>
      <c r="AC45" s="1263">
        <f t="shared" si="5"/>
        <v>1</v>
      </c>
    </row>
    <row r="46" spans="1:29" ht="15">
      <c r="A46" s="416" t="s">
        <v>1841</v>
      </c>
      <c r="B46" s="1826" t="s">
        <v>1876</v>
      </c>
      <c r="C46" s="602" t="s">
        <v>0</v>
      </c>
      <c r="D46" s="418"/>
      <c r="E46" s="419"/>
      <c r="F46" s="420"/>
      <c r="G46" s="421"/>
      <c r="H46" s="422"/>
      <c r="I46" s="419"/>
      <c r="J46" s="422"/>
      <c r="K46" s="674"/>
      <c r="L46" s="2490"/>
      <c r="M46" s="2483"/>
      <c r="N46" s="2483"/>
      <c r="O46" s="2483"/>
      <c r="P46" s="3858" t="str">
        <f>A46</f>
        <v>成交单价</v>
      </c>
      <c r="Q46" s="3858"/>
      <c r="R46" s="3853">
        <f>E46</f>
        <v>0</v>
      </c>
      <c r="S46" s="3853"/>
      <c r="T46" s="3853">
        <f>G46</f>
        <v>0</v>
      </c>
      <c r="U46" s="3853"/>
      <c r="V46" s="3853">
        <f>I46</f>
        <v>0</v>
      </c>
      <c r="W46" s="3853"/>
      <c r="X46" s="385"/>
      <c r="Y46" s="673"/>
      <c r="Z46" s="385"/>
      <c r="AA46" s="385"/>
      <c r="AB46" s="385"/>
      <c r="AC46" s="385"/>
    </row>
    <row r="47" spans="1:29" ht="15.75" thickBot="1">
      <c r="A47" s="423" t="s">
        <v>1790</v>
      </c>
      <c r="B47" s="603"/>
      <c r="C47" s="426" t="e">
        <f>R48</f>
        <v>#DIV/0!</v>
      </c>
      <c r="D47" s="2137" t="s">
        <v>2135</v>
      </c>
      <c r="E47" s="426" t="e">
        <f>R47</f>
        <v>#DIV/0!</v>
      </c>
      <c r="F47" s="2138"/>
      <c r="G47" s="425" t="e">
        <f>T47</f>
        <v>#DIV/0!</v>
      </c>
      <c r="H47" s="2138"/>
      <c r="I47" s="426" t="e">
        <f>V47</f>
        <v>#DIV/0!</v>
      </c>
      <c r="J47" s="2138"/>
      <c r="K47" s="2140">
        <f>F47+H47+J47</f>
        <v>0</v>
      </c>
      <c r="L47" s="2490"/>
      <c r="M47" s="2483"/>
      <c r="N47" s="2483"/>
      <c r="O47" s="2483"/>
      <c r="P47" s="3858" t="str">
        <f>A47</f>
        <v>比较价值（元/平方米）</v>
      </c>
      <c r="Q47" s="3858"/>
      <c r="R47" s="3887" t="e">
        <f>ROUND(PRODUCT(R46,AA7:AA45),0)</f>
        <v>#DIV/0!</v>
      </c>
      <c r="S47" s="3887"/>
      <c r="T47" s="3887" t="e">
        <f>ROUND(PRODUCT(T46,AB7:AB45),0)</f>
        <v>#DIV/0!</v>
      </c>
      <c r="U47" s="3887"/>
      <c r="V47" s="3887" t="e">
        <f>ROUND(PRODUCT(V46,AC7:AC45),0)</f>
        <v>#DIV/0!</v>
      </c>
      <c r="W47" s="3887"/>
      <c r="X47" s="385"/>
      <c r="Y47" s="385"/>
      <c r="Z47" s="385"/>
      <c r="AA47" s="385"/>
      <c r="AB47" s="385"/>
      <c r="AC47" s="385"/>
    </row>
    <row r="48" spans="1:29" ht="15.75" thickBot="1">
      <c r="A48" s="427" t="s">
        <v>1877</v>
      </c>
      <c r="B48" s="428"/>
      <c r="C48" s="429" t="e">
        <f>R48</f>
        <v>#DIV/0!</v>
      </c>
      <c r="D48" s="429"/>
      <c r="E48" s="429"/>
      <c r="F48" s="429"/>
      <c r="G48" s="429"/>
      <c r="H48" s="429"/>
      <c r="I48" s="429"/>
      <c r="J48" s="429"/>
      <c r="K48" s="675"/>
      <c r="L48" s="2490"/>
      <c r="M48" s="2483"/>
      <c r="N48" s="2483"/>
      <c r="O48" s="2483"/>
      <c r="P48" s="3855" t="str">
        <f>A48</f>
        <v>估价对象XX用房的比较价值（楼面单价，元/平方米）</v>
      </c>
      <c r="Q48" s="3856"/>
      <c r="R48" s="3888" t="e">
        <f>ROUND(IF(D47="简单平均",AVERAGE(R47:W47),R47*F47+T47*H47+V47*J47),0)</f>
        <v>#DIV/0!</v>
      </c>
      <c r="S48" s="3888"/>
      <c r="T48" s="3888"/>
      <c r="U48" s="3888"/>
      <c r="V48" s="3888"/>
      <c r="W48" s="3888"/>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1792</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1793</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1794</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1878</v>
      </c>
      <c r="B55" s="605" t="s">
        <v>1879</v>
      </c>
      <c r="C55" s="1827" t="s">
        <v>1880</v>
      </c>
      <c r="D55" s="1828" t="s">
        <v>1881</v>
      </c>
      <c r="E55" s="606" t="s">
        <v>1882</v>
      </c>
      <c r="F55" s="837" t="s">
        <v>1883</v>
      </c>
      <c r="G55" s="3841" t="s">
        <v>1884</v>
      </c>
      <c r="H55" s="3889"/>
      <c r="I55" s="127" t="s">
        <v>1885</v>
      </c>
      <c r="J55" s="1829">
        <f>项目基本情况!F35</f>
        <v>0</v>
      </c>
      <c r="K55" s="1830" t="s">
        <v>1886</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1887</v>
      </c>
      <c r="B56" s="609" t="e">
        <f>C48</f>
        <v>#DIV/0!</v>
      </c>
      <c r="C56" s="610">
        <v>1</v>
      </c>
      <c r="D56" s="890">
        <v>1</v>
      </c>
      <c r="E56" s="610">
        <f>'数据-汇总表'!E8+'数据-汇总表'!E9</f>
        <v>204.54</v>
      </c>
      <c r="F56" s="833" t="e">
        <f t="shared" ref="F56:F64" si="15">ROUND(B56*E56/10000,0)</f>
        <v>#DIV/0!</v>
      </c>
      <c r="G56" s="3840"/>
      <c r="H56" s="3858"/>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1888</v>
      </c>
      <c r="B57" s="210" t="e">
        <f>ROUND($C$48*C57*D57,0)</f>
        <v>#DIV/0!</v>
      </c>
      <c r="C57" s="163">
        <f t="shared" ref="C57:C64" si="16">IF($C$55="北京市系数",I57,J57)</f>
        <v>0</v>
      </c>
      <c r="D57" s="891">
        <v>0.25</v>
      </c>
      <c r="E57" s="614"/>
      <c r="F57" s="833" t="e">
        <f t="shared" si="15"/>
        <v>#DIV/0!</v>
      </c>
      <c r="G57" s="2746" t="s">
        <v>1889</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1890</v>
      </c>
      <c r="B58" s="210" t="e">
        <f t="shared" ref="B58:B64" si="17">ROUND($C$48*C58*D58,0)</f>
        <v>#DIV/0!</v>
      </c>
      <c r="C58" s="163">
        <f t="shared" si="16"/>
        <v>0</v>
      </c>
      <c r="D58" s="891">
        <v>0.25</v>
      </c>
      <c r="E58" s="614"/>
      <c r="F58" s="833" t="e">
        <f t="shared" si="15"/>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1891</v>
      </c>
      <c r="B59" s="210" t="e">
        <f t="shared" si="17"/>
        <v>#DIV/0!</v>
      </c>
      <c r="C59" s="163">
        <f t="shared" si="16"/>
        <v>0</v>
      </c>
      <c r="D59" s="891">
        <v>0.25</v>
      </c>
      <c r="E59" s="614"/>
      <c r="F59" s="833" t="e">
        <f t="shared" si="15"/>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1892</v>
      </c>
      <c r="B60" s="210" t="e">
        <f t="shared" si="17"/>
        <v>#DIV/0!</v>
      </c>
      <c r="C60" s="163">
        <f t="shared" si="16"/>
        <v>0</v>
      </c>
      <c r="D60" s="891">
        <v>0.25</v>
      </c>
      <c r="E60" s="209">
        <f>'数据-汇总表'!E11</f>
        <v>0</v>
      </c>
      <c r="F60" s="833" t="e">
        <f t="shared" si="15"/>
        <v>#DIV/0!</v>
      </c>
      <c r="G60" s="1831" t="s">
        <v>1893</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1894</v>
      </c>
      <c r="B61" s="210" t="e">
        <f t="shared" si="17"/>
        <v>#DIV/0!</v>
      </c>
      <c r="C61" s="163">
        <f t="shared" si="16"/>
        <v>0</v>
      </c>
      <c r="D61" s="891">
        <v>0.25</v>
      </c>
      <c r="E61" s="209">
        <f>'数据-汇总表'!E12</f>
        <v>0</v>
      </c>
      <c r="F61" s="833" t="e">
        <f t="shared" si="15"/>
        <v>#DIV/0!</v>
      </c>
      <c r="G61" s="839" t="s">
        <v>1895</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1896</v>
      </c>
      <c r="B62" s="210" t="e">
        <f t="shared" si="17"/>
        <v>#DIV/0!</v>
      </c>
      <c r="C62" s="163">
        <f t="shared" si="16"/>
        <v>0.2</v>
      </c>
      <c r="D62" s="891">
        <v>0.25</v>
      </c>
      <c r="E62" s="209">
        <f>'数据-汇总表'!E13</f>
        <v>0</v>
      </c>
      <c r="F62" s="833" t="e">
        <f t="shared" si="15"/>
        <v>#DIV/0!</v>
      </c>
      <c r="G62" s="839" t="s">
        <v>1897</v>
      </c>
      <c r="H62" s="834" t="str">
        <f>IF(G62="商业",项目基本情况!B37,IF(G62="办公",项目基本情况!C37,IF(G62="住宅",项目基本情况!D37,项目基本情况!E37)))</f>
        <v>二级</v>
      </c>
      <c r="I62" s="838">
        <f>SUMIF(修正!A57:A68,H62,修正!G57:G68)</f>
        <v>0.2</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1898</v>
      </c>
      <c r="B63" s="210" t="e">
        <f t="shared" si="17"/>
        <v>#DIV/0!</v>
      </c>
      <c r="C63" s="163">
        <f t="shared" si="16"/>
        <v>0</v>
      </c>
      <c r="D63" s="891">
        <v>0.25</v>
      </c>
      <c r="E63" s="209">
        <f>'数据-汇总表'!E14</f>
        <v>0</v>
      </c>
      <c r="F63" s="833" t="e">
        <f t="shared" si="15"/>
        <v>#DIV/0!</v>
      </c>
      <c r="G63" s="1831" t="s">
        <v>1889</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1899</v>
      </c>
      <c r="B64" s="210" t="e">
        <f t="shared" si="17"/>
        <v>#DIV/0!</v>
      </c>
      <c r="C64" s="163">
        <f t="shared" si="16"/>
        <v>0</v>
      </c>
      <c r="D64" s="891">
        <v>0.25</v>
      </c>
      <c r="E64" s="209">
        <f>'数据-汇总表'!E15</f>
        <v>0</v>
      </c>
      <c r="F64" s="833" t="e">
        <f t="shared" si="15"/>
        <v>#DIV/0!</v>
      </c>
      <c r="G64" s="1832" t="s">
        <v>1893</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1900</v>
      </c>
      <c r="B65" s="616" t="s">
        <v>22</v>
      </c>
      <c r="C65" s="616" t="s">
        <v>23</v>
      </c>
      <c r="D65" s="616" t="s">
        <v>392</v>
      </c>
      <c r="E65" s="616">
        <f>IF(B46="楼面地价",SUM(E56:E64),'数据-汇总表'!D3)</f>
        <v>204.54</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2006-5-1</v>
      </c>
      <c r="D67" s="656">
        <f>EDATE(C67,-3)</f>
        <v>38749</v>
      </c>
      <c r="E67" s="656">
        <f>EDATE(D67,-3)</f>
        <v>38657</v>
      </c>
      <c r="F67" s="656">
        <f t="shared" ref="F67:O67" si="18">EDATE(E67,-3)</f>
        <v>38565</v>
      </c>
      <c r="G67" s="656">
        <f t="shared" si="18"/>
        <v>38473</v>
      </c>
      <c r="H67" s="656">
        <f t="shared" si="18"/>
        <v>38384</v>
      </c>
      <c r="I67" s="656">
        <f t="shared" si="18"/>
        <v>38292</v>
      </c>
      <c r="J67" s="656">
        <f t="shared" si="18"/>
        <v>38200</v>
      </c>
      <c r="K67" s="656">
        <f t="shared" si="18"/>
        <v>38108</v>
      </c>
      <c r="L67" s="656">
        <f t="shared" si="18"/>
        <v>38018</v>
      </c>
      <c r="M67" s="656">
        <f t="shared" si="18"/>
        <v>37926</v>
      </c>
      <c r="N67" s="656">
        <f t="shared" si="18"/>
        <v>37834</v>
      </c>
      <c r="O67" s="656">
        <f t="shared" si="18"/>
        <v>37742</v>
      </c>
      <c r="P67" s="2483"/>
      <c r="Q67" s="2483"/>
      <c r="R67" s="2483"/>
      <c r="S67" s="2483"/>
      <c r="T67" s="2483"/>
      <c r="U67" s="2483"/>
      <c r="V67" s="2483"/>
      <c r="W67" s="2483"/>
      <c r="X67" s="2483"/>
      <c r="Y67" s="2483"/>
      <c r="Z67" s="2483"/>
      <c r="AA67" s="2483"/>
      <c r="AB67" s="2483"/>
      <c r="AC67" s="2483"/>
    </row>
    <row r="68" spans="1:29" ht="21.75" thickBot="1">
      <c r="A68" s="658" t="s">
        <v>1795</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5">
      <c r="A69" s="1629" t="s">
        <v>1901</v>
      </c>
      <c r="B69" s="1046"/>
      <c r="C69" s="1100" t="str">
        <f>YEAR(C67)&amp;"-"&amp;ROUNDUP(MONTH(C67)/3,0)</f>
        <v>2006-2</v>
      </c>
      <c r="D69" s="1100" t="str">
        <f>YEAR(D67)&amp;"-"&amp;ROUNDUP(MONTH(D67)/3,0)</f>
        <v>2006-1</v>
      </c>
      <c r="E69" s="1100" t="str">
        <f t="shared" ref="E69:O69" si="19">YEAR(E67)&amp;"-"&amp;ROUNDUP(MONTH(E67)/3,0)</f>
        <v>2005-4</v>
      </c>
      <c r="F69" s="1100" t="str">
        <f t="shared" si="19"/>
        <v>2005-3</v>
      </c>
      <c r="G69" s="1100" t="str">
        <f t="shared" si="19"/>
        <v>2005-2</v>
      </c>
      <c r="H69" s="1100" t="str">
        <f t="shared" si="19"/>
        <v>2005-1</v>
      </c>
      <c r="I69" s="1100" t="str">
        <f t="shared" si="19"/>
        <v>2004-4</v>
      </c>
      <c r="J69" s="1100" t="str">
        <f t="shared" si="19"/>
        <v>2004-3</v>
      </c>
      <c r="K69" s="1100" t="str">
        <f t="shared" si="19"/>
        <v>2004-2</v>
      </c>
      <c r="L69" s="1100" t="str">
        <f t="shared" si="19"/>
        <v>2004-1</v>
      </c>
      <c r="M69" s="1100" t="str">
        <f t="shared" si="19"/>
        <v>2003-4</v>
      </c>
      <c r="N69" s="1100" t="str">
        <f t="shared" si="19"/>
        <v>2003-3</v>
      </c>
      <c r="O69" s="1100" t="str">
        <f t="shared" si="19"/>
        <v>2003-2</v>
      </c>
      <c r="P69" s="2506"/>
      <c r="Q69" s="2506"/>
      <c r="R69" s="2506"/>
      <c r="S69" s="2506"/>
      <c r="T69" s="2506"/>
      <c r="U69" s="2506"/>
      <c r="V69" s="2506"/>
      <c r="W69" s="2506"/>
      <c r="X69" s="2506"/>
      <c r="Y69" s="2506"/>
      <c r="Z69" s="2506"/>
      <c r="AA69" s="2506"/>
      <c r="AB69" s="2506"/>
      <c r="AC69" s="2506"/>
    </row>
    <row r="70" spans="1:29" s="102" customFormat="1" ht="30" customHeight="1">
      <c r="A70" s="1833" t="s">
        <v>1902</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4"/>
      <c r="Q70" s="2435"/>
      <c r="R70" s="2435"/>
      <c r="S70" s="2435"/>
      <c r="T70" s="2435"/>
      <c r="U70" s="2435"/>
      <c r="V70" s="2435"/>
      <c r="W70" s="2435"/>
      <c r="X70" s="2435"/>
      <c r="Y70" s="2435"/>
      <c r="Z70" s="2435"/>
      <c r="AA70" s="2435"/>
      <c r="AB70" s="2435"/>
      <c r="AC70" s="2435"/>
    </row>
    <row r="71" spans="1:29" s="102" customFormat="1" ht="15.75" thickBot="1">
      <c r="A71" s="449" t="s">
        <v>1714</v>
      </c>
      <c r="B71" s="450"/>
      <c r="C71" s="451"/>
      <c r="D71" s="452"/>
      <c r="E71" s="452"/>
      <c r="F71" s="452"/>
      <c r="G71" s="452"/>
      <c r="H71" s="452"/>
      <c r="I71" s="452"/>
      <c r="J71" s="452"/>
      <c r="K71" s="452"/>
      <c r="L71" s="452"/>
      <c r="M71" s="453"/>
      <c r="N71" s="452"/>
      <c r="O71" s="889"/>
      <c r="P71" s="2504"/>
      <c r="Q71" s="2504"/>
      <c r="R71" s="2435"/>
      <c r="S71" s="2435"/>
      <c r="T71" s="2435"/>
      <c r="U71" s="2435"/>
      <c r="V71" s="2435"/>
      <c r="W71" s="2435"/>
      <c r="X71" s="2435"/>
      <c r="Y71" s="2435"/>
      <c r="Z71" s="2435"/>
      <c r="AA71" s="2435"/>
      <c r="AB71" s="2435"/>
      <c r="AC71" s="2435"/>
    </row>
    <row r="72" spans="1:29" s="102" customFormat="1" ht="15">
      <c r="A72" s="455" t="s">
        <v>1681</v>
      </c>
      <c r="B72" s="444"/>
      <c r="C72" s="456" t="s">
        <v>1773</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c r="A74" s="379" t="s">
        <v>1717</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1718</v>
      </c>
      <c r="C87" s="504" t="s">
        <v>1719</v>
      </c>
      <c r="D87" s="504" t="s">
        <v>1720</v>
      </c>
      <c r="E87" s="504" t="s">
        <v>1721</v>
      </c>
      <c r="F87" s="504" t="s">
        <v>1722</v>
      </c>
      <c r="G87" s="504" t="s">
        <v>1723</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1903</v>
      </c>
      <c r="C89" s="509" t="s">
        <v>1719</v>
      </c>
      <c r="D89" s="509" t="s">
        <v>1720</v>
      </c>
      <c r="E89" s="509" t="s">
        <v>1721</v>
      </c>
      <c r="F89" s="509" t="s">
        <v>1722</v>
      </c>
      <c r="G89" s="509" t="s">
        <v>1723</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1818</v>
      </c>
      <c r="C91" s="509" t="s">
        <v>1719</v>
      </c>
      <c r="D91" s="509" t="s">
        <v>1720</v>
      </c>
      <c r="E91" s="509" t="s">
        <v>1721</v>
      </c>
      <c r="F91" s="509" t="s">
        <v>1722</v>
      </c>
      <c r="G91" s="509" t="s">
        <v>1723</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1724</v>
      </c>
      <c r="C93" s="509" t="s">
        <v>1719</v>
      </c>
      <c r="D93" s="509" t="s">
        <v>1720</v>
      </c>
      <c r="E93" s="509" t="s">
        <v>1721</v>
      </c>
      <c r="F93" s="509" t="s">
        <v>1722</v>
      </c>
      <c r="G93" s="509" t="s">
        <v>1723</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1904</v>
      </c>
      <c r="C95" s="509" t="s">
        <v>1719</v>
      </c>
      <c r="D95" s="509" t="s">
        <v>1720</v>
      </c>
      <c r="E95" s="509" t="s">
        <v>1721</v>
      </c>
      <c r="F95" s="509" t="s">
        <v>1722</v>
      </c>
      <c r="G95" s="509" t="s">
        <v>1723</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9" t="s">
        <v>1905</v>
      </c>
      <c r="C97" s="504" t="s">
        <v>1719</v>
      </c>
      <c r="D97" s="504" t="s">
        <v>1720</v>
      </c>
      <c r="E97" s="504" t="s">
        <v>1721</v>
      </c>
      <c r="F97" s="504" t="s">
        <v>1722</v>
      </c>
      <c r="G97" s="504" t="s">
        <v>1723</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75" thickTop="1">
      <c r="A99" s="484"/>
      <c r="B99" s="469" t="s">
        <v>1775</v>
      </c>
      <c r="C99" s="504" t="s">
        <v>1719</v>
      </c>
      <c r="D99" s="504" t="s">
        <v>1720</v>
      </c>
      <c r="E99" s="504" t="s">
        <v>1721</v>
      </c>
      <c r="F99" s="504" t="s">
        <v>1722</v>
      </c>
      <c r="G99" s="504" t="s">
        <v>1723</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1776</v>
      </c>
      <c r="C101" s="581" t="s">
        <v>1796</v>
      </c>
      <c r="D101" s="581" t="s">
        <v>1797</v>
      </c>
      <c r="E101" s="581" t="s">
        <v>1798</v>
      </c>
      <c r="F101" s="581" t="s">
        <v>1799</v>
      </c>
      <c r="G101" s="581" t="s">
        <v>1800</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1906</v>
      </c>
      <c r="D103" s="470" t="s">
        <v>1907</v>
      </c>
      <c r="E103" s="470" t="s">
        <v>1908</v>
      </c>
      <c r="F103" s="470" t="s">
        <v>1909</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1812</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1870</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1694</v>
      </c>
      <c r="B115" s="460" t="s">
        <v>1910</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1911</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1912</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1913</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1914</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2.xml><?xml version="1.0" encoding="utf-8"?>
<worksheet xmlns="http://schemas.openxmlformats.org/spreadsheetml/2006/main" xmlns:r="http://schemas.openxmlformats.org/officeDocument/2006/relationships">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1915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1866</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841" t="s">
        <v>1767</v>
      </c>
      <c r="D4" s="3842"/>
      <c r="E4" s="3843" t="s">
        <v>1768</v>
      </c>
      <c r="F4" s="3844"/>
      <c r="G4" s="3841" t="s">
        <v>1769</v>
      </c>
      <c r="H4" s="3842"/>
      <c r="I4" s="3841" t="s">
        <v>1770</v>
      </c>
      <c r="J4" s="3842"/>
      <c r="K4" s="537" t="s">
        <v>1771</v>
      </c>
      <c r="L4" s="2482"/>
      <c r="M4" s="2483"/>
      <c r="N4" s="2483"/>
      <c r="O4" s="2483"/>
      <c r="P4" s="3845" t="s">
        <v>1772</v>
      </c>
      <c r="Q4" s="3846"/>
      <c r="R4" s="3827" t="s">
        <v>1768</v>
      </c>
      <c r="S4" s="3828"/>
      <c r="T4" s="3827" t="s">
        <v>1769</v>
      </c>
      <c r="U4" s="3828"/>
      <c r="V4" s="3853" t="s">
        <v>1770</v>
      </c>
      <c r="W4" s="3853"/>
      <c r="X4" s="1264"/>
      <c r="Y4" s="3827" t="s">
        <v>1772</v>
      </c>
      <c r="Z4" s="3828"/>
      <c r="AA4" s="3822" t="s">
        <v>1768</v>
      </c>
      <c r="AB4" s="3823" t="s">
        <v>1769</v>
      </c>
      <c r="AC4" s="3822" t="s">
        <v>1770</v>
      </c>
    </row>
    <row r="5" spans="1:29" ht="15">
      <c r="A5" s="348"/>
      <c r="B5" s="349"/>
      <c r="C5" s="3869" t="s">
        <v>1673</v>
      </c>
      <c r="D5" s="3834"/>
      <c r="E5" s="3868" t="s">
        <v>1674</v>
      </c>
      <c r="F5" s="3832"/>
      <c r="G5" s="3869" t="s">
        <v>1675</v>
      </c>
      <c r="H5" s="3834"/>
      <c r="I5" s="3869" t="s">
        <v>1676</v>
      </c>
      <c r="J5" s="3834"/>
      <c r="K5" s="537"/>
      <c r="L5" s="2482"/>
      <c r="M5" s="2483"/>
      <c r="N5" s="2483"/>
      <c r="O5" s="2483"/>
      <c r="P5" s="3847"/>
      <c r="Q5" s="3848"/>
      <c r="R5" s="3829"/>
      <c r="S5" s="3830"/>
      <c r="T5" s="3829"/>
      <c r="U5" s="3830"/>
      <c r="V5" s="3853"/>
      <c r="W5" s="3853"/>
      <c r="X5" s="1264"/>
      <c r="Y5" s="3829"/>
      <c r="Z5" s="3830"/>
      <c r="AA5" s="3823"/>
      <c r="AB5" s="3823"/>
      <c r="AC5" s="3823"/>
    </row>
    <row r="6" spans="1:29" ht="15.75" thickBot="1">
      <c r="A6" s="350"/>
      <c r="B6" s="351"/>
      <c r="C6" s="3890" t="s">
        <v>1916</v>
      </c>
      <c r="D6" s="3891"/>
      <c r="E6" s="3892" t="s">
        <v>1916</v>
      </c>
      <c r="F6" s="3893"/>
      <c r="G6" s="3890" t="s">
        <v>1916</v>
      </c>
      <c r="H6" s="3891"/>
      <c r="I6" s="3890" t="s">
        <v>1916</v>
      </c>
      <c r="J6" s="3891"/>
      <c r="K6" s="537" t="s">
        <v>1678</v>
      </c>
      <c r="L6" s="2482"/>
      <c r="M6" s="2483"/>
      <c r="N6" s="2483"/>
      <c r="O6" s="2483"/>
      <c r="P6" s="3849"/>
      <c r="Q6" s="3850"/>
      <c r="R6" s="3829"/>
      <c r="S6" s="3830"/>
      <c r="T6" s="3851"/>
      <c r="U6" s="3852"/>
      <c r="V6" s="3853"/>
      <c r="W6" s="3853"/>
      <c r="X6" s="1264"/>
      <c r="Y6" s="3851"/>
      <c r="Z6" s="3852"/>
      <c r="AA6" s="3824"/>
      <c r="AB6" s="3824"/>
      <c r="AC6" s="3824"/>
    </row>
    <row r="7" spans="1:29" s="102" customFormat="1" ht="15.75" thickBot="1">
      <c r="A7" s="352" t="s">
        <v>1679</v>
      </c>
      <c r="B7" s="353"/>
      <c r="C7" s="354">
        <f>'数据-取费表'!B2</f>
        <v>38867</v>
      </c>
      <c r="D7" s="355">
        <v>100</v>
      </c>
      <c r="E7" s="356"/>
      <c r="F7" s="357">
        <f>SUMIF(65:65,YEAR(E7)&amp;"-"&amp;INT((MONTH(E7)+2)/3),66:66)</f>
        <v>0</v>
      </c>
      <c r="G7" s="1818"/>
      <c r="H7" s="355">
        <f>SUMIF(65:65,YEAR(G7)&amp;"-"&amp;INT((MONTH(G7)+2)/3),66:66)</f>
        <v>0</v>
      </c>
      <c r="I7" s="1818"/>
      <c r="J7" s="355">
        <f>SUMIF(65:65,YEAR(I7)&amp;"-"&amp;INT((MONTH(I7)+2)/3),66:66)</f>
        <v>0</v>
      </c>
      <c r="K7" s="38"/>
      <c r="L7" s="2484"/>
      <c r="M7" s="2435"/>
      <c r="N7" s="2435"/>
      <c r="O7" s="2435"/>
      <c r="P7" s="3825" t="s">
        <v>1680</v>
      </c>
      <c r="Q7" s="3854"/>
      <c r="R7" s="664" t="s">
        <v>14</v>
      </c>
      <c r="S7" s="665">
        <f t="shared" ref="S7:S15" si="0">F7</f>
        <v>0</v>
      </c>
      <c r="T7" s="664" t="s">
        <v>14</v>
      </c>
      <c r="U7" s="665">
        <f t="shared" ref="U7:U15" si="1">H7</f>
        <v>0</v>
      </c>
      <c r="V7" s="664" t="s">
        <v>14</v>
      </c>
      <c r="W7" s="665">
        <f t="shared" ref="W7:W15" si="2">J7</f>
        <v>0</v>
      </c>
      <c r="X7" s="666"/>
      <c r="Y7" s="3825" t="s">
        <v>1680</v>
      </c>
      <c r="Z7" s="382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825" t="s">
        <v>1683</v>
      </c>
      <c r="Q8" s="3826"/>
      <c r="R8" s="664" t="s">
        <v>14</v>
      </c>
      <c r="S8" s="665">
        <f t="shared" si="0"/>
        <v>0</v>
      </c>
      <c r="T8" s="664" t="s">
        <v>14</v>
      </c>
      <c r="U8" s="665">
        <f t="shared" si="1"/>
        <v>0</v>
      </c>
      <c r="V8" s="664" t="s">
        <v>14</v>
      </c>
      <c r="W8" s="665">
        <f t="shared" si="2"/>
        <v>0</v>
      </c>
      <c r="X8" s="666"/>
      <c r="Y8" s="3825" t="s">
        <v>1683</v>
      </c>
      <c r="Z8" s="3826"/>
      <c r="AA8" s="50" t="e">
        <f t="shared" ref="AA8:AA40" si="3">D8/F8</f>
        <v>#DIV/0!</v>
      </c>
      <c r="AB8" s="50" t="e">
        <f t="shared" ref="AB8:AB40" si="4">D8/H8</f>
        <v>#DIV/0!</v>
      </c>
      <c r="AC8" s="50" t="e">
        <f t="shared" ref="AC8:AC40" si="5">D8/J8</f>
        <v>#DIV/0!</v>
      </c>
    </row>
    <row r="9" spans="1:29" s="102" customFormat="1">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4"/>
      <c r="M9" s="2435"/>
      <c r="N9" s="2435"/>
      <c r="O9" s="2536"/>
      <c r="P9" s="3858" t="s">
        <v>1686</v>
      </c>
      <c r="Q9" s="530" t="str">
        <f t="shared" ref="Q9:Q15" si="6">B9</f>
        <v>用途</v>
      </c>
      <c r="R9" s="664" t="s">
        <v>14</v>
      </c>
      <c r="S9" s="665">
        <f t="shared" si="0"/>
        <v>100</v>
      </c>
      <c r="T9" s="664" t="s">
        <v>14</v>
      </c>
      <c r="U9" s="665">
        <f t="shared" si="1"/>
        <v>100</v>
      </c>
      <c r="V9" s="664" t="s">
        <v>14</v>
      </c>
      <c r="W9" s="665">
        <f t="shared" si="2"/>
        <v>100</v>
      </c>
      <c r="X9" s="666"/>
      <c r="Y9" s="376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5"/>
      <c r="M10" s="2486"/>
      <c r="N10" s="2486"/>
      <c r="O10" s="2537"/>
      <c r="P10" s="3858"/>
      <c r="Q10" s="530" t="str">
        <f t="shared" si="6"/>
        <v>土地使用年限（年）</v>
      </c>
      <c r="R10" s="664" t="s">
        <v>14</v>
      </c>
      <c r="S10" s="665">
        <f t="shared" si="0"/>
        <v>100</v>
      </c>
      <c r="T10" s="664" t="s">
        <v>14</v>
      </c>
      <c r="U10" s="665">
        <f t="shared" si="1"/>
        <v>100</v>
      </c>
      <c r="V10" s="664" t="s">
        <v>14</v>
      </c>
      <c r="W10" s="665">
        <f t="shared" si="2"/>
        <v>100</v>
      </c>
      <c r="X10" s="666"/>
      <c r="Y10" s="3769"/>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858"/>
      <c r="Q11" s="530" t="str">
        <f t="shared" si="6"/>
        <v>容积率</v>
      </c>
      <c r="R11" s="664" t="s">
        <v>14</v>
      </c>
      <c r="S11" s="665" t="e">
        <f t="shared" si="0"/>
        <v>#N/A</v>
      </c>
      <c r="T11" s="664" t="s">
        <v>14</v>
      </c>
      <c r="U11" s="665" t="e">
        <f t="shared" si="1"/>
        <v>#N/A</v>
      </c>
      <c r="V11" s="664" t="s">
        <v>14</v>
      </c>
      <c r="W11" s="665" t="e">
        <f t="shared" si="2"/>
        <v>#N/A</v>
      </c>
      <c r="X11" s="666"/>
      <c r="Y11" s="376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858"/>
      <c r="Q12" s="530">
        <f t="shared" si="6"/>
        <v>111</v>
      </c>
      <c r="R12" s="664" t="s">
        <v>14</v>
      </c>
      <c r="S12" s="665">
        <f t="shared" si="0"/>
        <v>100</v>
      </c>
      <c r="T12" s="664" t="s">
        <v>14</v>
      </c>
      <c r="U12" s="665">
        <f t="shared" si="1"/>
        <v>100</v>
      </c>
      <c r="V12" s="664" t="s">
        <v>14</v>
      </c>
      <c r="W12" s="665">
        <f t="shared" si="2"/>
        <v>100</v>
      </c>
      <c r="X12" s="666"/>
      <c r="Y12" s="376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858"/>
      <c r="Q13" s="530">
        <f t="shared" si="6"/>
        <v>111</v>
      </c>
      <c r="R13" s="664" t="s">
        <v>14</v>
      </c>
      <c r="S13" s="665">
        <f t="shared" si="0"/>
        <v>100</v>
      </c>
      <c r="T13" s="664" t="s">
        <v>14</v>
      </c>
      <c r="U13" s="665">
        <f t="shared" si="1"/>
        <v>100</v>
      </c>
      <c r="V13" s="664" t="s">
        <v>14</v>
      </c>
      <c r="W13" s="665">
        <f t="shared" si="2"/>
        <v>100</v>
      </c>
      <c r="X13" s="666"/>
      <c r="Y13" s="3769"/>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858"/>
      <c r="Q14" s="530">
        <f t="shared" si="6"/>
        <v>111</v>
      </c>
      <c r="R14" s="664" t="s">
        <v>14</v>
      </c>
      <c r="S14" s="665">
        <f t="shared" si="0"/>
        <v>100</v>
      </c>
      <c r="T14" s="664" t="s">
        <v>14</v>
      </c>
      <c r="U14" s="665">
        <f t="shared" si="1"/>
        <v>100</v>
      </c>
      <c r="V14" s="664" t="s">
        <v>14</v>
      </c>
      <c r="W14" s="665">
        <f t="shared" si="2"/>
        <v>100</v>
      </c>
      <c r="X14" s="666"/>
      <c r="Y14" s="3769"/>
      <c r="Z14" s="50">
        <f t="shared" si="7"/>
        <v>111</v>
      </c>
      <c r="AA14" s="50">
        <f t="shared" si="3"/>
        <v>1</v>
      </c>
      <c r="AB14" s="50">
        <f t="shared" si="4"/>
        <v>1</v>
      </c>
      <c r="AC14" s="50">
        <f t="shared" si="5"/>
        <v>1</v>
      </c>
    </row>
    <row r="15" spans="1:29" ht="57">
      <c r="A15" s="379" t="s">
        <v>1690</v>
      </c>
      <c r="B15" s="554" t="s">
        <v>1917</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859" t="s">
        <v>1691</v>
      </c>
      <c r="Q15" s="1262" t="str">
        <f t="shared" si="6"/>
        <v>产业集聚程度</v>
      </c>
      <c r="R15" s="667" t="s">
        <v>14</v>
      </c>
      <c r="S15" s="668">
        <f t="shared" si="0"/>
        <v>100</v>
      </c>
      <c r="T15" s="667" t="s">
        <v>14</v>
      </c>
      <c r="U15" s="668">
        <f t="shared" si="1"/>
        <v>100</v>
      </c>
      <c r="V15" s="667" t="s">
        <v>14</v>
      </c>
      <c r="W15" s="668">
        <f t="shared" si="2"/>
        <v>100</v>
      </c>
      <c r="X15" s="1264"/>
      <c r="Y15" s="3859" t="s">
        <v>1691</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88"/>
      <c r="M16" s="2483"/>
      <c r="N16" s="2483"/>
      <c r="O16" s="2538"/>
      <c r="P16" s="3860"/>
      <c r="Q16" s="1262"/>
      <c r="R16" s="667"/>
      <c r="S16" s="668"/>
      <c r="T16" s="667"/>
      <c r="U16" s="668"/>
      <c r="V16" s="667"/>
      <c r="W16" s="668"/>
      <c r="X16" s="1264"/>
      <c r="Y16" s="3860"/>
      <c r="Z16" s="1263"/>
      <c r="AA16" s="1263">
        <v>1</v>
      </c>
      <c r="AB16" s="1263">
        <v>1</v>
      </c>
      <c r="AC16" s="1263">
        <v>1</v>
      </c>
    </row>
    <row r="17" spans="1:29" ht="85.5">
      <c r="A17" s="367"/>
      <c r="B17" s="556" t="s">
        <v>1830</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860"/>
      <c r="Q17" s="1262" t="str">
        <f>B17</f>
        <v>交通便捷度</v>
      </c>
      <c r="R17" s="667" t="s">
        <v>14</v>
      </c>
      <c r="S17" s="668">
        <f>F17</f>
        <v>100</v>
      </c>
      <c r="T17" s="667" t="s">
        <v>14</v>
      </c>
      <c r="U17" s="668">
        <f>H17</f>
        <v>100</v>
      </c>
      <c r="V17" s="667" t="s">
        <v>14</v>
      </c>
      <c r="W17" s="668">
        <f>J17</f>
        <v>100</v>
      </c>
      <c r="X17" s="1264"/>
      <c r="Y17" s="3860"/>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88"/>
      <c r="M18" s="2483"/>
      <c r="N18" s="2483"/>
      <c r="O18" s="2538"/>
      <c r="P18" s="3860"/>
      <c r="Q18" s="1262"/>
      <c r="R18" s="667"/>
      <c r="S18" s="668"/>
      <c r="T18" s="667"/>
      <c r="U18" s="668"/>
      <c r="V18" s="667"/>
      <c r="W18" s="668"/>
      <c r="X18" s="1264"/>
      <c r="Y18" s="3860"/>
      <c r="Z18" s="1263"/>
      <c r="AA18" s="1263">
        <v>1</v>
      </c>
      <c r="AB18" s="1263">
        <v>1</v>
      </c>
      <c r="AC18" s="1263">
        <v>1</v>
      </c>
    </row>
    <row r="19" spans="1:29" ht="15">
      <c r="A19" s="367"/>
      <c r="B19" s="556" t="s">
        <v>1868</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860"/>
      <c r="Q19" s="1262" t="str">
        <f t="shared" ref="Q19:Q33" si="8">B19</f>
        <v>区域土地利用方向</v>
      </c>
      <c r="R19" s="667" t="s">
        <v>14</v>
      </c>
      <c r="S19" s="668">
        <f>F19</f>
        <v>100</v>
      </c>
      <c r="T19" s="667" t="s">
        <v>14</v>
      </c>
      <c r="U19" s="668">
        <f>H19</f>
        <v>100</v>
      </c>
      <c r="V19" s="667" t="s">
        <v>14</v>
      </c>
      <c r="W19" s="668">
        <f>J19</f>
        <v>100</v>
      </c>
      <c r="X19" s="1264"/>
      <c r="Y19" s="3860"/>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88"/>
      <c r="M20" s="2483"/>
      <c r="N20" s="2483"/>
      <c r="O20" s="2538"/>
      <c r="P20" s="3860"/>
      <c r="Q20" s="1262"/>
      <c r="R20" s="667"/>
      <c r="S20" s="668"/>
      <c r="T20" s="667"/>
      <c r="U20" s="668"/>
      <c r="V20" s="667"/>
      <c r="W20" s="668"/>
      <c r="X20" s="1264"/>
      <c r="Y20" s="3860"/>
      <c r="Z20" s="1263"/>
      <c r="AA20" s="1263"/>
      <c r="AB20" s="1263"/>
      <c r="AC20" s="1263"/>
    </row>
    <row r="21" spans="1:29" ht="71.25">
      <c r="A21" s="348"/>
      <c r="B21" s="556" t="s">
        <v>1918</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860"/>
      <c r="Q21" s="1262" t="str">
        <f t="shared" si="8"/>
        <v>环境状况</v>
      </c>
      <c r="R21" s="667" t="s">
        <v>14</v>
      </c>
      <c r="S21" s="668">
        <f>F21</f>
        <v>100</v>
      </c>
      <c r="T21" s="667" t="s">
        <v>14</v>
      </c>
      <c r="U21" s="668">
        <f>H21</f>
        <v>100</v>
      </c>
      <c r="V21" s="667" t="s">
        <v>14</v>
      </c>
      <c r="W21" s="668">
        <f>J21</f>
        <v>100</v>
      </c>
      <c r="X21" s="1264"/>
      <c r="Y21" s="3860"/>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88"/>
      <c r="M22" s="2483"/>
      <c r="N22" s="2483"/>
      <c r="O22" s="2538"/>
      <c r="P22" s="3860"/>
      <c r="Q22" s="1262"/>
      <c r="R22" s="667"/>
      <c r="S22" s="668"/>
      <c r="T22" s="667"/>
      <c r="U22" s="668"/>
      <c r="V22" s="667"/>
      <c r="W22" s="668"/>
      <c r="X22" s="1264"/>
      <c r="Y22" s="3860"/>
      <c r="Z22" s="1263"/>
      <c r="AA22" s="1263">
        <v>1</v>
      </c>
      <c r="AB22" s="1263">
        <v>1</v>
      </c>
      <c r="AC22" s="1263">
        <v>1</v>
      </c>
    </row>
    <row r="23" spans="1:29" s="102" customFormat="1" ht="42.75">
      <c r="A23" s="443"/>
      <c r="B23" s="557" t="s">
        <v>1775</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860"/>
      <c r="Q23" s="530" t="str">
        <f t="shared" si="8"/>
        <v>公共配套设施</v>
      </c>
      <c r="R23" s="664" t="s">
        <v>14</v>
      </c>
      <c r="S23" s="665">
        <f>F23</f>
        <v>100</v>
      </c>
      <c r="T23" s="664" t="s">
        <v>14</v>
      </c>
      <c r="U23" s="665">
        <f>H23</f>
        <v>100</v>
      </c>
      <c r="V23" s="664" t="s">
        <v>14</v>
      </c>
      <c r="W23" s="665">
        <f>J23</f>
        <v>100</v>
      </c>
      <c r="X23" s="666"/>
      <c r="Y23" s="3860"/>
      <c r="Z23" s="50" t="str">
        <f>Q23</f>
        <v>公共配套设施</v>
      </c>
      <c r="AA23" s="1263">
        <f>D23/F23</f>
        <v>1</v>
      </c>
      <c r="AB23" s="1263">
        <f>D23/H23</f>
        <v>1</v>
      </c>
      <c r="AC23" s="1263">
        <f>D23/J23</f>
        <v>1</v>
      </c>
    </row>
    <row r="24" spans="1:29" s="102" customFormat="1" ht="15">
      <c r="A24" s="443"/>
      <c r="B24" s="401"/>
      <c r="C24" s="1822"/>
      <c r="D24" s="387"/>
      <c r="E24" s="1756"/>
      <c r="F24" s="387"/>
      <c r="G24" s="1756"/>
      <c r="H24" s="387"/>
      <c r="I24" s="386"/>
      <c r="J24" s="387"/>
      <c r="K24" s="592"/>
      <c r="L24" s="2484"/>
      <c r="M24" s="2435"/>
      <c r="N24" s="2435"/>
      <c r="O24" s="2536"/>
      <c r="P24" s="3860"/>
      <c r="Q24" s="530"/>
      <c r="R24" s="664"/>
      <c r="S24" s="665"/>
      <c r="T24" s="664"/>
      <c r="U24" s="665"/>
      <c r="V24" s="664"/>
      <c r="W24" s="665"/>
      <c r="X24" s="666"/>
      <c r="Y24" s="3860"/>
      <c r="Z24" s="50"/>
      <c r="AA24" s="50">
        <v>1</v>
      </c>
      <c r="AB24" s="50">
        <v>1</v>
      </c>
      <c r="AC24" s="50">
        <v>1</v>
      </c>
    </row>
    <row r="25" spans="1:29" s="102" customFormat="1" ht="28.5">
      <c r="A25" s="443"/>
      <c r="B25" s="557" t="s">
        <v>1776</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860"/>
      <c r="Q25" s="530" t="str">
        <f t="shared" ref="Q25" si="9">B25</f>
        <v>基础设施水平</v>
      </c>
      <c r="R25" s="664" t="s">
        <v>14</v>
      </c>
      <c r="S25" s="665">
        <f>F25</f>
        <v>100</v>
      </c>
      <c r="T25" s="664" t="s">
        <v>14</v>
      </c>
      <c r="U25" s="665">
        <f>H25</f>
        <v>100</v>
      </c>
      <c r="V25" s="664" t="s">
        <v>14</v>
      </c>
      <c r="W25" s="665">
        <f>J25</f>
        <v>100</v>
      </c>
      <c r="X25" s="666"/>
      <c r="Y25" s="3860"/>
      <c r="Z25" s="50" t="str">
        <f>Q25</f>
        <v>基础设施水平</v>
      </c>
      <c r="AA25" s="1263">
        <f>D25/F25</f>
        <v>1</v>
      </c>
      <c r="AB25" s="1263">
        <f>D25/H25</f>
        <v>1</v>
      </c>
      <c r="AC25" s="1263">
        <f>D25/J25</f>
        <v>1</v>
      </c>
    </row>
    <row r="26" spans="1:29" s="102" customFormat="1" ht="15">
      <c r="A26" s="443"/>
      <c r="B26" s="401"/>
      <c r="C26" s="1822"/>
      <c r="D26" s="387"/>
      <c r="E26" s="1823"/>
      <c r="F26" s="387"/>
      <c r="G26" s="1823"/>
      <c r="H26" s="387"/>
      <c r="I26" s="1823"/>
      <c r="J26" s="387"/>
      <c r="K26" s="592"/>
      <c r="L26" s="2484"/>
      <c r="M26" s="2435"/>
      <c r="N26" s="2435"/>
      <c r="O26" s="2536"/>
      <c r="P26" s="3860"/>
      <c r="Q26" s="530"/>
      <c r="R26" s="664"/>
      <c r="S26" s="665"/>
      <c r="T26" s="664"/>
      <c r="U26" s="665"/>
      <c r="V26" s="664"/>
      <c r="W26" s="665"/>
      <c r="X26" s="666"/>
      <c r="Y26" s="3860"/>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860"/>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860"/>
      <c r="Z27" s="1263" t="str">
        <f t="shared" ref="Z27:Z40" si="13">Q27</f>
        <v>临街状况</v>
      </c>
      <c r="AA27" s="1263">
        <f t="shared" si="3"/>
        <v>1</v>
      </c>
      <c r="AB27" s="1263">
        <f t="shared" si="4"/>
        <v>1</v>
      </c>
      <c r="AC27" s="1263">
        <f t="shared" si="5"/>
        <v>1</v>
      </c>
    </row>
    <row r="28" spans="1:29" ht="27">
      <c r="A28" s="367"/>
      <c r="B28" s="557" t="s">
        <v>1812</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860"/>
      <c r="Q28" s="1262" t="str">
        <f t="shared" si="8"/>
        <v>毗邻道路的类型与等级</v>
      </c>
      <c r="R28" s="667" t="s">
        <v>14</v>
      </c>
      <c r="S28" s="668">
        <f t="shared" si="10"/>
        <v>100</v>
      </c>
      <c r="T28" s="667" t="s">
        <v>14</v>
      </c>
      <c r="U28" s="668">
        <f t="shared" si="11"/>
        <v>100</v>
      </c>
      <c r="V28" s="667" t="s">
        <v>14</v>
      </c>
      <c r="W28" s="668">
        <f t="shared" si="12"/>
        <v>100</v>
      </c>
      <c r="X28" s="1264"/>
      <c r="Y28" s="3860"/>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88"/>
      <c r="M29" s="2483"/>
      <c r="N29" s="2483"/>
      <c r="O29" s="2538"/>
      <c r="P29" s="3860"/>
      <c r="Q29" s="1262"/>
      <c r="R29" s="667"/>
      <c r="S29" s="668"/>
      <c r="T29" s="667"/>
      <c r="U29" s="668"/>
      <c r="V29" s="667"/>
      <c r="W29" s="668"/>
      <c r="X29" s="1264"/>
      <c r="Y29" s="3860"/>
      <c r="Z29" s="1263"/>
      <c r="AA29" s="1263">
        <v>1</v>
      </c>
      <c r="AB29" s="1263">
        <v>1</v>
      </c>
      <c r="AC29" s="1263">
        <v>1</v>
      </c>
    </row>
    <row r="30" spans="1:29" ht="15">
      <c r="A30" s="367"/>
      <c r="B30" s="119" t="s">
        <v>1870</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860"/>
      <c r="Q30" s="1262" t="str">
        <f t="shared" si="8"/>
        <v>土地级别</v>
      </c>
      <c r="R30" s="667" t="s">
        <v>14</v>
      </c>
      <c r="S30" s="668">
        <f t="shared" si="10"/>
        <v>100</v>
      </c>
      <c r="T30" s="667" t="s">
        <v>14</v>
      </c>
      <c r="U30" s="668">
        <f t="shared" si="11"/>
        <v>100</v>
      </c>
      <c r="V30" s="667" t="s">
        <v>14</v>
      </c>
      <c r="W30" s="668">
        <f t="shared" si="12"/>
        <v>100</v>
      </c>
      <c r="X30" s="1264"/>
      <c r="Y30" s="3860"/>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860"/>
      <c r="Q31" s="1262">
        <f t="shared" si="8"/>
        <v>111</v>
      </c>
      <c r="R31" s="667" t="s">
        <v>14</v>
      </c>
      <c r="S31" s="668">
        <f t="shared" si="10"/>
        <v>100</v>
      </c>
      <c r="T31" s="667" t="s">
        <v>14</v>
      </c>
      <c r="U31" s="668">
        <f t="shared" si="11"/>
        <v>100</v>
      </c>
      <c r="V31" s="667" t="s">
        <v>14</v>
      </c>
      <c r="W31" s="668">
        <f t="shared" si="12"/>
        <v>100</v>
      </c>
      <c r="X31" s="1264"/>
      <c r="Y31" s="3860"/>
      <c r="Z31" s="1263">
        <f t="shared" si="13"/>
        <v>111</v>
      </c>
      <c r="AA31" s="1263">
        <f t="shared" si="3"/>
        <v>1</v>
      </c>
      <c r="AB31" s="1263">
        <f t="shared" si="4"/>
        <v>1</v>
      </c>
      <c r="AC31" s="1263">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885" t="s">
        <v>1696</v>
      </c>
      <c r="Q32" s="1262">
        <f t="shared" si="8"/>
        <v>111</v>
      </c>
      <c r="R32" s="667" t="s">
        <v>14</v>
      </c>
      <c r="S32" s="668">
        <f t="shared" si="10"/>
        <v>100</v>
      </c>
      <c r="T32" s="667" t="s">
        <v>14</v>
      </c>
      <c r="U32" s="668">
        <f t="shared" si="11"/>
        <v>100</v>
      </c>
      <c r="V32" s="667" t="s">
        <v>14</v>
      </c>
      <c r="W32" s="668">
        <f t="shared" si="12"/>
        <v>100</v>
      </c>
      <c r="X32" s="1264"/>
      <c r="Y32" s="3864" t="s">
        <v>1696</v>
      </c>
      <c r="Z32" s="1263">
        <f t="shared" si="13"/>
        <v>111</v>
      </c>
      <c r="AA32" s="1263">
        <f t="shared" si="3"/>
        <v>1</v>
      </c>
      <c r="AB32" s="1263">
        <f t="shared" si="4"/>
        <v>1</v>
      </c>
      <c r="AC32" s="1263">
        <f t="shared" si="5"/>
        <v>1</v>
      </c>
    </row>
    <row r="33" spans="1:31" s="408" customFormat="1" ht="15.75"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864"/>
      <c r="Q33" s="1262">
        <f t="shared" si="8"/>
        <v>111</v>
      </c>
      <c r="R33" s="669" t="s">
        <v>14</v>
      </c>
      <c r="S33" s="670">
        <f t="shared" si="10"/>
        <v>100</v>
      </c>
      <c r="T33" s="669" t="s">
        <v>14</v>
      </c>
      <c r="U33" s="670">
        <f t="shared" si="11"/>
        <v>100</v>
      </c>
      <c r="V33" s="669" t="s">
        <v>14</v>
      </c>
      <c r="W33" s="670">
        <f t="shared" si="12"/>
        <v>100</v>
      </c>
      <c r="X33" s="671"/>
      <c r="Y33" s="3864"/>
      <c r="Z33" s="672">
        <f t="shared" si="13"/>
        <v>111</v>
      </c>
      <c r="AA33" s="1263">
        <f t="shared" si="3"/>
        <v>1</v>
      </c>
      <c r="AB33" s="1263">
        <f t="shared" si="4"/>
        <v>1</v>
      </c>
      <c r="AC33" s="1263">
        <f t="shared" si="5"/>
        <v>1</v>
      </c>
    </row>
    <row r="34" spans="1:31" ht="15">
      <c r="A34" s="379" t="s">
        <v>1694</v>
      </c>
      <c r="B34" s="395" t="s">
        <v>1871</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864"/>
      <c r="Q34" s="1262" t="str">
        <f>B34</f>
        <v>宗地面积</v>
      </c>
      <c r="R34" s="667" t="s">
        <v>14</v>
      </c>
      <c r="S34" s="668" t="e">
        <f t="shared" si="10"/>
        <v>#N/A</v>
      </c>
      <c r="T34" s="667" t="s">
        <v>14</v>
      </c>
      <c r="U34" s="668" t="e">
        <f t="shared" si="11"/>
        <v>#N/A</v>
      </c>
      <c r="V34" s="667" t="s">
        <v>14</v>
      </c>
      <c r="W34" s="668" t="e">
        <f t="shared" si="12"/>
        <v>#N/A</v>
      </c>
      <c r="X34" s="1264"/>
      <c r="Y34" s="3864"/>
      <c r="Z34" s="1263" t="str">
        <f t="shared" si="13"/>
        <v>宗地面积</v>
      </c>
      <c r="AA34" s="1263" t="e">
        <f t="shared" si="3"/>
        <v>#N/A</v>
      </c>
      <c r="AB34" s="1263" t="e">
        <f t="shared" si="4"/>
        <v>#N/A</v>
      </c>
      <c r="AC34" s="1263" t="e">
        <f t="shared" si="5"/>
        <v>#N/A</v>
      </c>
    </row>
    <row r="35" spans="1:31" ht="15">
      <c r="A35" s="409"/>
      <c r="B35" s="364" t="s">
        <v>1872</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8"/>
      <c r="M35" s="2483"/>
      <c r="N35" s="2483"/>
      <c r="O35" s="2538"/>
      <c r="P35" s="3864"/>
      <c r="Q35" s="1262" t="str">
        <f t="shared" ref="Q35:Q40" si="14">B35</f>
        <v>宗地形状</v>
      </c>
      <c r="R35" s="667" t="s">
        <v>14</v>
      </c>
      <c r="S35" s="668">
        <f t="shared" si="10"/>
        <v>100</v>
      </c>
      <c r="T35" s="667" t="s">
        <v>14</v>
      </c>
      <c r="U35" s="668">
        <f t="shared" si="11"/>
        <v>100</v>
      </c>
      <c r="V35" s="667" t="s">
        <v>14</v>
      </c>
      <c r="W35" s="668">
        <f t="shared" si="12"/>
        <v>100</v>
      </c>
      <c r="X35" s="1264"/>
      <c r="Y35" s="3864"/>
      <c r="Z35" s="1263" t="str">
        <f t="shared" si="13"/>
        <v>宗地形状</v>
      </c>
      <c r="AA35" s="1263">
        <f t="shared" si="3"/>
        <v>1</v>
      </c>
      <c r="AB35" s="1263">
        <f t="shared" si="4"/>
        <v>1</v>
      </c>
      <c r="AC35" s="1263">
        <f t="shared" si="5"/>
        <v>1</v>
      </c>
    </row>
    <row r="36" spans="1:31" s="102" customFormat="1" ht="15">
      <c r="A36" s="410"/>
      <c r="B36" s="364" t="s">
        <v>1874</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4"/>
      <c r="M36" s="2435"/>
      <c r="N36" s="2435"/>
      <c r="O36" s="2536"/>
      <c r="P36" s="3864"/>
      <c r="Q36" s="1262" t="str">
        <f t="shared" si="14"/>
        <v>宗地开发程度</v>
      </c>
      <c r="R36" s="664" t="s">
        <v>14</v>
      </c>
      <c r="S36" s="665">
        <f t="shared" si="10"/>
        <v>100</v>
      </c>
      <c r="T36" s="664" t="s">
        <v>14</v>
      </c>
      <c r="U36" s="665">
        <f t="shared" si="11"/>
        <v>100</v>
      </c>
      <c r="V36" s="664" t="s">
        <v>14</v>
      </c>
      <c r="W36" s="665">
        <f t="shared" si="12"/>
        <v>100</v>
      </c>
      <c r="X36" s="666"/>
      <c r="Y36" s="3864"/>
      <c r="Z36" s="50" t="str">
        <f t="shared" si="13"/>
        <v>宗地开发程度</v>
      </c>
      <c r="AA36" s="50">
        <f t="shared" si="3"/>
        <v>1</v>
      </c>
      <c r="AB36" s="50">
        <f t="shared" si="4"/>
        <v>1</v>
      </c>
      <c r="AC36" s="50">
        <f t="shared" si="5"/>
        <v>1</v>
      </c>
    </row>
    <row r="37" spans="1:31" ht="15">
      <c r="A37" s="409"/>
      <c r="B37" s="364" t="s">
        <v>1875</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8"/>
      <c r="M37" s="2483"/>
      <c r="N37" s="2483"/>
      <c r="O37" s="2538"/>
      <c r="P37" s="3864" t="s">
        <v>1696</v>
      </c>
      <c r="Q37" s="1262" t="str">
        <f t="shared" si="14"/>
        <v>工程地质条件</v>
      </c>
      <c r="R37" s="667" t="s">
        <v>14</v>
      </c>
      <c r="S37" s="668">
        <f t="shared" si="10"/>
        <v>100</v>
      </c>
      <c r="T37" s="667" t="s">
        <v>14</v>
      </c>
      <c r="U37" s="668">
        <f t="shared" si="11"/>
        <v>100</v>
      </c>
      <c r="V37" s="667" t="s">
        <v>14</v>
      </c>
      <c r="W37" s="668">
        <f t="shared" si="12"/>
        <v>100</v>
      </c>
      <c r="X37" s="1264"/>
      <c r="Y37" s="3864"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864"/>
      <c r="Q38" s="1262">
        <f t="shared" si="14"/>
        <v>111</v>
      </c>
      <c r="R38" s="667" t="s">
        <v>14</v>
      </c>
      <c r="S38" s="668">
        <f t="shared" si="10"/>
        <v>100</v>
      </c>
      <c r="T38" s="667" t="s">
        <v>14</v>
      </c>
      <c r="U38" s="668">
        <f t="shared" si="11"/>
        <v>100</v>
      </c>
      <c r="V38" s="667" t="s">
        <v>14</v>
      </c>
      <c r="W38" s="668">
        <f t="shared" si="12"/>
        <v>100</v>
      </c>
      <c r="X38" s="1264"/>
      <c r="Y38" s="3864"/>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864"/>
      <c r="Q39" s="1262">
        <f t="shared" si="14"/>
        <v>111</v>
      </c>
      <c r="R39" s="667" t="s">
        <v>14</v>
      </c>
      <c r="S39" s="668">
        <f t="shared" si="10"/>
        <v>100</v>
      </c>
      <c r="T39" s="667" t="s">
        <v>14</v>
      </c>
      <c r="U39" s="668">
        <f t="shared" si="11"/>
        <v>100</v>
      </c>
      <c r="V39" s="667" t="s">
        <v>14</v>
      </c>
      <c r="W39" s="668">
        <f t="shared" si="12"/>
        <v>100</v>
      </c>
      <c r="X39" s="1264"/>
      <c r="Y39" s="3864"/>
      <c r="Z39" s="1263">
        <f t="shared" si="13"/>
        <v>111</v>
      </c>
      <c r="AA39" s="1263">
        <f t="shared" si="3"/>
        <v>1</v>
      </c>
      <c r="AB39" s="1263">
        <f t="shared" si="4"/>
        <v>1</v>
      </c>
      <c r="AC39" s="1263">
        <f t="shared" si="5"/>
        <v>1</v>
      </c>
    </row>
    <row r="40" spans="1:31" s="408" customFormat="1" ht="15.75" thickBot="1">
      <c r="A40" s="406"/>
      <c r="B40" s="1067">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864"/>
      <c r="Q40" s="1262">
        <f t="shared" si="14"/>
        <v>111</v>
      </c>
      <c r="R40" s="669" t="s">
        <v>14</v>
      </c>
      <c r="S40" s="670">
        <f t="shared" si="10"/>
        <v>100</v>
      </c>
      <c r="T40" s="669" t="s">
        <v>14</v>
      </c>
      <c r="U40" s="670">
        <f t="shared" si="11"/>
        <v>100</v>
      </c>
      <c r="V40" s="669" t="s">
        <v>14</v>
      </c>
      <c r="W40" s="670">
        <f t="shared" si="12"/>
        <v>100</v>
      </c>
      <c r="X40" s="671"/>
      <c r="Y40" s="3864"/>
      <c r="Z40" s="672">
        <f t="shared" si="13"/>
        <v>111</v>
      </c>
      <c r="AA40" s="1263">
        <f t="shared" si="3"/>
        <v>1</v>
      </c>
      <c r="AB40" s="1263">
        <f t="shared" si="4"/>
        <v>1</v>
      </c>
      <c r="AC40" s="1263">
        <f t="shared" si="5"/>
        <v>1</v>
      </c>
    </row>
    <row r="41" spans="1:31" ht="15">
      <c r="A41" s="416" t="s">
        <v>1841</v>
      </c>
      <c r="B41" s="1826" t="s">
        <v>1919</v>
      </c>
      <c r="C41" s="602" t="s">
        <v>0</v>
      </c>
      <c r="D41" s="418"/>
      <c r="E41" s="419"/>
      <c r="F41" s="420"/>
      <c r="G41" s="421"/>
      <c r="H41" s="422"/>
      <c r="I41" s="419"/>
      <c r="J41" s="422"/>
      <c r="K41" s="674"/>
      <c r="L41" s="2490"/>
      <c r="M41" s="2483"/>
      <c r="N41" s="2483"/>
      <c r="O41" s="2483"/>
      <c r="P41" s="3858" t="str">
        <f>A41</f>
        <v>成交单价</v>
      </c>
      <c r="Q41" s="3858"/>
      <c r="R41" s="3853">
        <f>E41</f>
        <v>0</v>
      </c>
      <c r="S41" s="3853"/>
      <c r="T41" s="3853">
        <f>G41</f>
        <v>0</v>
      </c>
      <c r="U41" s="3853"/>
      <c r="V41" s="3853">
        <f>I41</f>
        <v>0</v>
      </c>
      <c r="W41" s="3853"/>
      <c r="X41" s="385"/>
      <c r="Y41" s="673"/>
      <c r="Z41" s="385"/>
      <c r="AA41" s="385"/>
      <c r="AB41" s="385"/>
      <c r="AC41" s="385"/>
    </row>
    <row r="42" spans="1:31" ht="15.75" thickBot="1">
      <c r="A42" s="423" t="s">
        <v>1790</v>
      </c>
      <c r="B42" s="603"/>
      <c r="C42" s="426" t="e">
        <f>R43</f>
        <v>#DIV/0!</v>
      </c>
      <c r="D42" s="2137" t="s">
        <v>2135</v>
      </c>
      <c r="E42" s="426" t="e">
        <f>R42</f>
        <v>#DIV/0!</v>
      </c>
      <c r="F42" s="2138"/>
      <c r="G42" s="425" t="e">
        <f>T42</f>
        <v>#DIV/0!</v>
      </c>
      <c r="H42" s="2138"/>
      <c r="I42" s="426" t="e">
        <f>V42</f>
        <v>#DIV/0!</v>
      </c>
      <c r="J42" s="2138"/>
      <c r="K42" s="2140">
        <f>F42+H42+J42</f>
        <v>0</v>
      </c>
      <c r="L42" s="2490"/>
      <c r="M42" s="2483"/>
      <c r="N42" s="2483"/>
      <c r="O42" s="2483"/>
      <c r="P42" s="3858" t="str">
        <f>A42</f>
        <v>比较价值（元/平方米）</v>
      </c>
      <c r="Q42" s="3858"/>
      <c r="R42" s="3887" t="e">
        <f>ROUND(PRODUCT(R41,AA7:AA40),0)</f>
        <v>#DIV/0!</v>
      </c>
      <c r="S42" s="3887"/>
      <c r="T42" s="3887" t="e">
        <f>ROUND(PRODUCT(T41,AB7:AB40),0)</f>
        <v>#DIV/0!</v>
      </c>
      <c r="U42" s="3887"/>
      <c r="V42" s="3887" t="e">
        <f>ROUND(PRODUCT(V41,AC7:AC40),0)</f>
        <v>#DIV/0!</v>
      </c>
      <c r="W42" s="3887"/>
      <c r="X42" s="385"/>
      <c r="Y42" s="385"/>
      <c r="Z42" s="385"/>
      <c r="AA42" s="385"/>
      <c r="AB42" s="385"/>
      <c r="AC42" s="385"/>
    </row>
    <row r="43" spans="1:31" ht="15.75" thickBot="1">
      <c r="A43" s="427" t="s">
        <v>1791</v>
      </c>
      <c r="B43" s="428"/>
      <c r="C43" s="429" t="e">
        <f>R43</f>
        <v>#DIV/0!</v>
      </c>
      <c r="D43" s="429"/>
      <c r="E43" s="429"/>
      <c r="F43" s="429"/>
      <c r="G43" s="429"/>
      <c r="H43" s="429"/>
      <c r="I43" s="429"/>
      <c r="J43" s="429"/>
      <c r="K43" s="675"/>
      <c r="L43" s="2490"/>
      <c r="M43" s="2483"/>
      <c r="N43" s="2483"/>
      <c r="O43" s="2483"/>
      <c r="P43" s="3855" t="str">
        <f>A43</f>
        <v>估价对象XX用房的比较价值（楼面单价，元/平方米）</v>
      </c>
      <c r="Q43" s="3856"/>
      <c r="R43" s="3888" t="e">
        <f>ROUND(IF(D42="简单平均",AVERAGE(R42:W42),R42*F42+T42*H42+V42*J42),0)</f>
        <v>#DIV/0!</v>
      </c>
      <c r="S43" s="3888"/>
      <c r="T43" s="3888"/>
      <c r="U43" s="3888"/>
      <c r="V43" s="3888"/>
      <c r="W43" s="3888"/>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1878</v>
      </c>
      <c r="B50" s="605" t="s">
        <v>1879</v>
      </c>
      <c r="C50" s="1827" t="s">
        <v>1880</v>
      </c>
      <c r="D50" s="1828" t="s">
        <v>1881</v>
      </c>
      <c r="E50" s="606" t="s">
        <v>1882</v>
      </c>
      <c r="F50" s="607" t="s">
        <v>1883</v>
      </c>
      <c r="G50" s="3841" t="s">
        <v>1884</v>
      </c>
      <c r="H50" s="3889"/>
      <c r="I50" s="1263" t="s">
        <v>1920</v>
      </c>
      <c r="J50" s="1263">
        <f>项目基本情况!F35</f>
        <v>0</v>
      </c>
      <c r="K50" s="1830" t="s">
        <v>1886</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1887</v>
      </c>
      <c r="B51" s="609" t="e">
        <f>C43</f>
        <v>#DIV/0!</v>
      </c>
      <c r="C51" s="610">
        <v>1</v>
      </c>
      <c r="D51" s="890">
        <v>1</v>
      </c>
      <c r="E51" s="610">
        <f>'数据-汇总表'!E8+'数据-汇总表'!E9</f>
        <v>204.54</v>
      </c>
      <c r="F51" s="611" t="e">
        <f t="shared" ref="F51:F60" si="15">ROUND(B51*E51/10000,0)</f>
        <v>#DIV/0!</v>
      </c>
      <c r="G51" s="3840"/>
      <c r="H51" s="3858"/>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1888</v>
      </c>
      <c r="B52" s="210" t="e">
        <f>ROUND($C$43*C52*D52,0)</f>
        <v>#DIV/0!</v>
      </c>
      <c r="C52" s="163">
        <f t="shared" ref="C52:C60" si="16">IF($C$50="北京市系数",I52,J52)</f>
        <v>0</v>
      </c>
      <c r="D52" s="891">
        <v>0.25</v>
      </c>
      <c r="E52" s="614"/>
      <c r="F52" s="611" t="e">
        <f t="shared" si="15"/>
        <v>#DIV/0!</v>
      </c>
      <c r="G52" s="2746" t="s">
        <v>1889</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1890</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1891</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1892</v>
      </c>
      <c r="B56" s="210" t="e">
        <f t="shared" si="17"/>
        <v>#DIV/0!</v>
      </c>
      <c r="C56" s="163">
        <f t="shared" si="16"/>
        <v>0</v>
      </c>
      <c r="D56" s="891">
        <v>0.25</v>
      </c>
      <c r="E56" s="209">
        <f>'数据-汇总表'!E11</f>
        <v>0</v>
      </c>
      <c r="F56" s="611" t="e">
        <f t="shared" si="15"/>
        <v>#DIV/0!</v>
      </c>
      <c r="G56" s="1831" t="s">
        <v>1893</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1894</v>
      </c>
      <c r="B57" s="210" t="e">
        <f t="shared" si="17"/>
        <v>#DIV/0!</v>
      </c>
      <c r="C57" s="163">
        <f t="shared" si="16"/>
        <v>0</v>
      </c>
      <c r="D57" s="891">
        <v>0.25</v>
      </c>
      <c r="E57" s="209">
        <f>'数据-汇总表'!E12</f>
        <v>0</v>
      </c>
      <c r="F57" s="611" t="e">
        <f t="shared" si="15"/>
        <v>#DIV/0!</v>
      </c>
      <c r="G57" s="839" t="s">
        <v>1895</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1896</v>
      </c>
      <c r="B58" s="210" t="e">
        <f t="shared" si="17"/>
        <v>#DIV/0!</v>
      </c>
      <c r="C58" s="163">
        <f t="shared" si="16"/>
        <v>0.2</v>
      </c>
      <c r="D58" s="891">
        <v>0.25</v>
      </c>
      <c r="E58" s="209">
        <f>'数据-汇总表'!E13</f>
        <v>0</v>
      </c>
      <c r="F58" s="611" t="e">
        <f t="shared" si="15"/>
        <v>#DIV/0!</v>
      </c>
      <c r="G58" s="839" t="s">
        <v>1897</v>
      </c>
      <c r="H58" s="834" t="str">
        <f>IF(G58="商业",项目基本情况!B37,IF(G58="办公",项目基本情况!C37,IF(G58="住宅",项目基本情况!D37,项目基本情况!E37)))</f>
        <v>二级</v>
      </c>
      <c r="I58" s="727">
        <f>SUMIF(修正!A57:A68,H58,修正!G57:G68)</f>
        <v>0.2</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1898</v>
      </c>
      <c r="B59" s="210" t="e">
        <f t="shared" si="17"/>
        <v>#DIV/0!</v>
      </c>
      <c r="C59" s="163">
        <f t="shared" si="16"/>
        <v>0</v>
      </c>
      <c r="D59" s="891">
        <v>0.25</v>
      </c>
      <c r="E59" s="209">
        <f>'数据-汇总表'!E14</f>
        <v>0</v>
      </c>
      <c r="F59" s="611" t="e">
        <f t="shared" si="15"/>
        <v>#DIV/0!</v>
      </c>
      <c r="G59" s="1831" t="s">
        <v>1889</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1899</v>
      </c>
      <c r="B60" s="210" t="e">
        <f t="shared" si="17"/>
        <v>#DIV/0!</v>
      </c>
      <c r="C60" s="163">
        <f t="shared" si="16"/>
        <v>0</v>
      </c>
      <c r="D60" s="891">
        <v>0.25</v>
      </c>
      <c r="E60" s="209">
        <f>'数据-汇总表'!E15</f>
        <v>0</v>
      </c>
      <c r="F60" s="611" t="e">
        <f t="shared" si="15"/>
        <v>#DIV/0!</v>
      </c>
      <c r="G60" s="1832" t="s">
        <v>1893</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1900</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2006-5-1</v>
      </c>
      <c r="D63" s="656">
        <f>EDATE(C63,-3)</f>
        <v>38749</v>
      </c>
      <c r="E63" s="656">
        <f>EDATE(D63,-3)</f>
        <v>38657</v>
      </c>
      <c r="F63" s="656">
        <f t="shared" ref="F63:O63" si="18">EDATE(E63,-3)</f>
        <v>38565</v>
      </c>
      <c r="G63" s="656">
        <f t="shared" si="18"/>
        <v>38473</v>
      </c>
      <c r="H63" s="656">
        <f t="shared" si="18"/>
        <v>38384</v>
      </c>
      <c r="I63" s="656">
        <f t="shared" si="18"/>
        <v>38292</v>
      </c>
      <c r="J63" s="656">
        <f t="shared" si="18"/>
        <v>38200</v>
      </c>
      <c r="K63" s="656">
        <f t="shared" si="18"/>
        <v>38108</v>
      </c>
      <c r="L63" s="656">
        <f t="shared" si="18"/>
        <v>38018</v>
      </c>
      <c r="M63" s="656">
        <f t="shared" si="18"/>
        <v>37926</v>
      </c>
      <c r="N63" s="656">
        <f t="shared" si="18"/>
        <v>37834</v>
      </c>
      <c r="O63" s="656">
        <f t="shared" si="18"/>
        <v>37742</v>
      </c>
      <c r="P63" s="2483"/>
      <c r="Q63" s="2483"/>
      <c r="R63" s="2483"/>
      <c r="S63" s="2483"/>
      <c r="T63" s="2483"/>
      <c r="U63" s="2483"/>
      <c r="V63" s="2483"/>
      <c r="W63" s="2483"/>
      <c r="X63" s="2483"/>
      <c r="Y63" s="2483"/>
      <c r="Z63" s="2483"/>
      <c r="AA63" s="2483"/>
      <c r="AB63" s="2483"/>
      <c r="AC63" s="2483"/>
      <c r="AD63" s="2483"/>
      <c r="AE63" s="2483"/>
    </row>
    <row r="64" spans="1:31" ht="21.75" thickBot="1">
      <c r="A64" s="658" t="s">
        <v>1795</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5">
      <c r="A65" s="1629" t="s">
        <v>1901</v>
      </c>
      <c r="B65" s="1046"/>
      <c r="C65" s="1100" t="str">
        <f>YEAR(C63)&amp;"-"&amp;ROUNDUP(MONTH(C63)/3,0)</f>
        <v>2006-2</v>
      </c>
      <c r="D65" s="1100" t="str">
        <f t="shared" ref="D65:O65" si="19">YEAR(D63)&amp;"-"&amp;ROUNDUP(MONTH(D63)/3,0)</f>
        <v>2006-1</v>
      </c>
      <c r="E65" s="1100" t="str">
        <f t="shared" si="19"/>
        <v>2005-4</v>
      </c>
      <c r="F65" s="1100" t="str">
        <f t="shared" si="19"/>
        <v>2005-3</v>
      </c>
      <c r="G65" s="1100" t="str">
        <f t="shared" si="19"/>
        <v>2005-2</v>
      </c>
      <c r="H65" s="1100" t="str">
        <f t="shared" si="19"/>
        <v>2005-1</v>
      </c>
      <c r="I65" s="1100" t="str">
        <f t="shared" si="19"/>
        <v>2004-4</v>
      </c>
      <c r="J65" s="1100" t="str">
        <f t="shared" si="19"/>
        <v>2004-3</v>
      </c>
      <c r="K65" s="1100" t="str">
        <f t="shared" si="19"/>
        <v>2004-2</v>
      </c>
      <c r="L65" s="1100" t="str">
        <f t="shared" si="19"/>
        <v>2004-1</v>
      </c>
      <c r="M65" s="1100" t="str">
        <f t="shared" si="19"/>
        <v>2003-4</v>
      </c>
      <c r="N65" s="1100" t="str">
        <f t="shared" si="19"/>
        <v>2003-3</v>
      </c>
      <c r="O65" s="1100" t="str">
        <f t="shared" si="19"/>
        <v>2003-2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7" t="s">
        <v>1921</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9" t="s">
        <v>1714</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5">
      <c r="A68" s="455" t="s">
        <v>1681</v>
      </c>
      <c r="B68" s="444"/>
      <c r="C68" s="456" t="s">
        <v>1773</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1717</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1826</v>
      </c>
      <c r="C83" s="504" t="s">
        <v>1719</v>
      </c>
      <c r="D83" s="504" t="s">
        <v>1720</v>
      </c>
      <c r="E83" s="504" t="s">
        <v>1721</v>
      </c>
      <c r="F83" s="504" t="s">
        <v>1722</v>
      </c>
      <c r="G83" s="504" t="s">
        <v>1723</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1724</v>
      </c>
      <c r="C85" s="509" t="s">
        <v>1719</v>
      </c>
      <c r="D85" s="509" t="s">
        <v>1720</v>
      </c>
      <c r="E85" s="509" t="s">
        <v>1721</v>
      </c>
      <c r="F85" s="509" t="s">
        <v>1722</v>
      </c>
      <c r="G85" s="509" t="s">
        <v>1723</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1904</v>
      </c>
      <c r="C87" s="504" t="s">
        <v>1719</v>
      </c>
      <c r="D87" s="504" t="s">
        <v>1720</v>
      </c>
      <c r="E87" s="504" t="s">
        <v>1721</v>
      </c>
      <c r="F87" s="504" t="s">
        <v>1722</v>
      </c>
      <c r="G87" s="504" t="s">
        <v>1723</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9" t="s">
        <v>1905</v>
      </c>
      <c r="C89" s="504" t="s">
        <v>1719</v>
      </c>
      <c r="D89" s="504" t="s">
        <v>1720</v>
      </c>
      <c r="E89" s="504" t="s">
        <v>1721</v>
      </c>
      <c r="F89" s="504" t="s">
        <v>1722</v>
      </c>
      <c r="G89" s="504" t="s">
        <v>1723</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4"/>
      <c r="B91" s="469" t="s">
        <v>1775</v>
      </c>
      <c r="C91" s="504" t="s">
        <v>1719</v>
      </c>
      <c r="D91" s="504" t="s">
        <v>1720</v>
      </c>
      <c r="E91" s="504" t="s">
        <v>1721</v>
      </c>
      <c r="F91" s="504" t="s">
        <v>1722</v>
      </c>
      <c r="G91" s="504" t="s">
        <v>1723</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1922</v>
      </c>
      <c r="C93" s="581" t="s">
        <v>1796</v>
      </c>
      <c r="D93" s="581" t="s">
        <v>1797</v>
      </c>
      <c r="E93" s="581" t="s">
        <v>1798</v>
      </c>
      <c r="F93" s="581" t="s">
        <v>1799</v>
      </c>
      <c r="G93" s="581" t="s">
        <v>1800</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1906</v>
      </c>
      <c r="D95" s="470" t="s">
        <v>1907</v>
      </c>
      <c r="E95" s="470" t="s">
        <v>1908</v>
      </c>
      <c r="F95" s="470" t="s">
        <v>1909</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1812</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1870</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60" t="s">
        <v>1910</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1911</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1913</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1914</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2080</v>
      </c>
      <c r="C1" s="3897" t="s">
        <v>2081</v>
      </c>
      <c r="D1" s="3898"/>
      <c r="E1" s="3898"/>
      <c r="F1" s="3898"/>
      <c r="G1" s="3898"/>
      <c r="H1" s="3898"/>
      <c r="I1" s="3898"/>
      <c r="J1" s="3898"/>
      <c r="K1" s="3898"/>
      <c r="L1" s="3898"/>
      <c r="M1" s="3898"/>
      <c r="N1" s="3898"/>
      <c r="O1" s="3898"/>
      <c r="P1" s="3898"/>
      <c r="Q1" s="3898"/>
      <c r="R1" s="3898"/>
      <c r="S1" s="3899"/>
      <c r="T1" s="929" t="s">
        <v>2082</v>
      </c>
    </row>
    <row r="2" spans="1:45" s="625" customFormat="1">
      <c r="A2" s="930"/>
      <c r="B2" s="622" t="s">
        <v>2083</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2084</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2085</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2086</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2087</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2088</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2089</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2090</v>
      </c>
      <c r="B17" s="1983" t="s">
        <v>2091</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4" t="s">
        <v>2092</v>
      </c>
      <c r="E19" s="1252"/>
      <c r="F19" s="1252"/>
      <c r="G19" s="1252"/>
      <c r="H19" s="996"/>
      <c r="I19" s="151"/>
      <c r="J19" s="151"/>
      <c r="K19" s="151"/>
      <c r="L19" s="151"/>
      <c r="M19" s="151"/>
      <c r="N19" s="151"/>
      <c r="O19" s="151"/>
      <c r="P19" s="151"/>
      <c r="Q19" s="151"/>
      <c r="R19" s="151"/>
      <c r="S19" s="121"/>
    </row>
    <row r="20" spans="1:45" ht="16.5" thickBot="1">
      <c r="A20" s="632" t="s">
        <v>2093</v>
      </c>
      <c r="B20" s="286" t="e">
        <f ca="1">IF(D20="——",S22,S22-F20)</f>
        <v>#REF!</v>
      </c>
      <c r="C20" s="151"/>
      <c r="D20" s="1985"/>
      <c r="E20" s="1253"/>
      <c r="F20" s="929" t="e">
        <f ca="1">SUMIF(INDIRECT("'"&amp;H20&amp;"'"&amp;"!A:A"),"承租人权益价值",INDIRECT("'"&amp;H20&amp;"'"&amp;"!c:c"))</f>
        <v>#REF!</v>
      </c>
      <c r="G20" s="929" t="s">
        <v>2094</v>
      </c>
      <c r="H20" s="1986"/>
      <c r="I20" s="151"/>
      <c r="J20" s="151"/>
      <c r="K20" s="151"/>
      <c r="L20" s="151"/>
      <c r="M20" s="151"/>
      <c r="N20" s="151"/>
      <c r="O20" s="151"/>
      <c r="P20" s="151"/>
      <c r="Q20" s="151"/>
      <c r="R20" s="151"/>
      <c r="S20" s="121"/>
    </row>
    <row r="21" spans="1:45" ht="15.75">
      <c r="A21" s="632" t="s">
        <v>2095</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2096</v>
      </c>
      <c r="B22" s="21">
        <f>SUM(B24:B10000)</f>
        <v>0</v>
      </c>
      <c r="C22" s="3894" t="s">
        <v>27</v>
      </c>
      <c r="D22" s="3895"/>
      <c r="E22" s="3895"/>
      <c r="F22" s="3895"/>
      <c r="G22" s="3895"/>
      <c r="H22" s="3895"/>
      <c r="I22" s="3895"/>
      <c r="J22" s="3895"/>
      <c r="K22" s="3895"/>
      <c r="L22" s="3895"/>
      <c r="M22" s="3895"/>
      <c r="N22" s="3895"/>
      <c r="O22" s="3895"/>
      <c r="P22" s="3895"/>
      <c r="Q22" s="3896"/>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2102</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2078</v>
      </c>
      <c r="B1" s="4"/>
      <c r="C1" s="4"/>
      <c r="D1" s="4"/>
      <c r="E1" s="4"/>
      <c r="F1" s="2540"/>
      <c r="G1" s="2540"/>
      <c r="H1" s="2540"/>
      <c r="I1" s="2540"/>
      <c r="J1" s="2540"/>
      <c r="K1" s="2540"/>
      <c r="L1" s="2540"/>
      <c r="M1" s="2540"/>
      <c r="N1" s="2540"/>
      <c r="O1" s="2540"/>
      <c r="P1" s="2540"/>
    </row>
    <row r="2" spans="1:16" ht="15.75">
      <c r="A2" s="1980" t="s">
        <v>2070</v>
      </c>
      <c r="B2" s="2383">
        <f ca="1">SUMIF(B6:B13,"&lt;&gt;#ref!",B6:B13)</f>
        <v>0</v>
      </c>
      <c r="C2" s="1980" t="s">
        <v>2071</v>
      </c>
      <c r="D2" s="1980" t="s">
        <v>2072</v>
      </c>
      <c r="E2" s="2393">
        <f ca="1">SUMIF(E6:E13,"&lt;&gt;#ref!",E6:E13)</f>
        <v>204.54</v>
      </c>
      <c r="F2" s="2540"/>
      <c r="G2" s="2540"/>
      <c r="H2" s="2540"/>
      <c r="I2" s="2540"/>
      <c r="J2" s="2540"/>
      <c r="K2" s="2540"/>
      <c r="L2" s="2540"/>
      <c r="M2" s="2540"/>
      <c r="N2" s="2540"/>
      <c r="O2" s="2540"/>
      <c r="P2" s="2540"/>
    </row>
    <row r="3" spans="1:16" ht="15.75">
      <c r="A3" s="1980" t="s">
        <v>2073</v>
      </c>
      <c r="B3" s="2383">
        <f ca="1">ROUND(B2*10000/E2,0)</f>
        <v>0</v>
      </c>
      <c r="C3" s="1980" t="s">
        <v>2079</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2074</v>
      </c>
      <c r="B5" s="2391" t="s">
        <v>2075</v>
      </c>
      <c r="C5" s="1981"/>
      <c r="D5" s="2540"/>
      <c r="E5" s="2392" t="s">
        <v>2076</v>
      </c>
      <c r="F5" s="2540"/>
      <c r="G5" s="2540"/>
      <c r="H5" s="2540"/>
      <c r="I5" s="2540"/>
      <c r="J5" s="2540"/>
      <c r="K5" s="2540"/>
      <c r="L5" s="2540"/>
      <c r="M5" s="2540"/>
      <c r="N5" s="2540"/>
      <c r="O5" s="2540"/>
      <c r="P5" s="2540"/>
    </row>
    <row r="6" spans="1:16" ht="15.75">
      <c r="A6" s="2390" t="s">
        <v>2077</v>
      </c>
      <c r="B6" s="2383">
        <f ca="1">SUMIF(INDIRECT("'"&amp;A6&amp;"'"&amp;"!A:A"),"总价",INDIRECT("'"&amp;A6&amp;"'"&amp;"!B:B"))</f>
        <v>0</v>
      </c>
      <c r="C6" s="1980" t="s">
        <v>2071</v>
      </c>
      <c r="D6" s="2540"/>
      <c r="E6" s="2393">
        <f ca="1">SUMIF(INDIRECT("'"&amp;A6&amp;"'"&amp;"!C:C"),"建筑面积",INDIRECT("'"&amp;A6&amp;"'"&amp;"!D:D"))</f>
        <v>204.54</v>
      </c>
      <c r="F6" s="2540"/>
      <c r="G6" s="2540"/>
      <c r="H6" s="2540"/>
      <c r="I6" s="2540"/>
      <c r="J6" s="2540"/>
      <c r="K6" s="2540"/>
      <c r="L6" s="2540"/>
      <c r="M6" s="2540"/>
      <c r="N6" s="2540"/>
      <c r="O6" s="2540"/>
      <c r="P6" s="2540"/>
    </row>
    <row r="7" spans="1:16" ht="15.75">
      <c r="A7" s="2390"/>
      <c r="B7" s="2383" t="e">
        <f ca="1">SUMIF(INDIRECT("'"&amp;A7&amp;"'"&amp;"!A:A"),"总价",INDIRECT("'"&amp;A7&amp;"'"&amp;"!B:B"))</f>
        <v>#REF!</v>
      </c>
      <c r="C7" s="1980" t="s">
        <v>2071</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80" t="s">
        <v>2071</v>
      </c>
      <c r="D8" s="2540"/>
      <c r="E8" s="2393" t="e">
        <f t="shared" ca="1" si="0"/>
        <v>#REF!</v>
      </c>
      <c r="F8" s="2540"/>
      <c r="G8" s="2540"/>
      <c r="H8" s="2540"/>
      <c r="I8" s="2540"/>
      <c r="J8" s="2540"/>
      <c r="K8" s="2540"/>
      <c r="L8" s="2540"/>
      <c r="M8" s="2540"/>
      <c r="N8" s="2540"/>
      <c r="O8" s="2540"/>
      <c r="P8" s="2540"/>
    </row>
    <row r="9" spans="1:16" ht="15.75">
      <c r="A9" s="2390"/>
      <c r="B9" s="2383" t="e">
        <f t="shared" ca="1" si="1"/>
        <v>#REF!</v>
      </c>
      <c r="C9" s="1980" t="s">
        <v>2071</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80" t="s">
        <v>2071</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80" t="s">
        <v>2071</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80" t="s">
        <v>2071</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80" t="s">
        <v>2071</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BV32"/>
  <sheetViews>
    <sheetView topLeftCell="O1" workbookViewId="0">
      <selection activeCell="AC10" sqref="AC10"/>
    </sheetView>
  </sheetViews>
  <sheetFormatPr defaultRowHeight="13.5"/>
  <cols>
    <col min="1" max="1" width="17" style="3145" customWidth="1"/>
    <col min="2" max="2" width="10.375" style="3145" customWidth="1"/>
    <col min="3" max="3" width="14.375" style="3145" customWidth="1"/>
    <col min="4" max="5" width="9" style="3145"/>
    <col min="6" max="6" width="13.625" style="3145" customWidth="1"/>
    <col min="7" max="10" width="9" style="3145"/>
    <col min="11" max="11" width="11" style="3145" customWidth="1"/>
    <col min="12" max="12" width="11.625" style="3145" bestFit="1" customWidth="1"/>
    <col min="13" max="13" width="6.875" style="3145" customWidth="1"/>
    <col min="14" max="16" width="9" style="3145"/>
    <col min="17" max="17" width="15.5" style="3145" customWidth="1"/>
    <col min="18" max="18" width="11.625" style="3145" customWidth="1"/>
    <col min="19" max="19" width="10.5" style="3145" bestFit="1" customWidth="1"/>
    <col min="20" max="20" width="9.5" style="3145" bestFit="1" customWidth="1"/>
    <col min="21" max="21" width="10.5" style="3145" bestFit="1" customWidth="1"/>
    <col min="22" max="58" width="9" style="3145"/>
    <col min="59" max="59" width="13.375" style="3145" customWidth="1"/>
    <col min="60" max="16384" width="9" style="3145"/>
  </cols>
  <sheetData>
    <row r="1" spans="1:74" s="3195" customFormat="1" ht="15.75">
      <c r="A1" s="3180" t="s">
        <v>2642</v>
      </c>
      <c r="B1" s="3181" t="s">
        <v>3443</v>
      </c>
      <c r="C1" s="3180" t="s">
        <v>3444</v>
      </c>
      <c r="D1" s="3180" t="s">
        <v>3445</v>
      </c>
      <c r="E1" s="3180" t="s">
        <v>3446</v>
      </c>
      <c r="F1" s="3180" t="s">
        <v>3447</v>
      </c>
      <c r="G1" s="3180" t="s">
        <v>3448</v>
      </c>
      <c r="H1" s="3180" t="s">
        <v>3449</v>
      </c>
      <c r="I1" s="3180" t="s">
        <v>3450</v>
      </c>
      <c r="J1" s="3180" t="s">
        <v>3451</v>
      </c>
      <c r="K1" s="3181" t="s">
        <v>3452</v>
      </c>
      <c r="L1" s="3182" t="s">
        <v>3453</v>
      </c>
      <c r="M1" s="3181" t="s">
        <v>3454</v>
      </c>
      <c r="N1" s="3181" t="s">
        <v>3455</v>
      </c>
      <c r="O1" s="3181" t="s">
        <v>3456</v>
      </c>
      <c r="P1" s="3181" t="s">
        <v>3457</v>
      </c>
      <c r="Q1" s="3183" t="s">
        <v>3458</v>
      </c>
      <c r="R1" s="3182" t="s">
        <v>3459</v>
      </c>
      <c r="S1" s="3182" t="s">
        <v>3460</v>
      </c>
      <c r="T1" s="3184" t="s">
        <v>3461</v>
      </c>
      <c r="U1" s="3183" t="s">
        <v>3462</v>
      </c>
      <c r="V1" s="3181" t="s">
        <v>3463</v>
      </c>
      <c r="W1" s="3181" t="s">
        <v>3464</v>
      </c>
      <c r="X1" s="3184" t="s">
        <v>3465</v>
      </c>
      <c r="Y1" s="3181" t="s">
        <v>3466</v>
      </c>
      <c r="Z1" s="3181" t="s">
        <v>3467</v>
      </c>
      <c r="AA1" s="3181" t="s">
        <v>3468</v>
      </c>
      <c r="AB1" s="3181" t="s">
        <v>3469</v>
      </c>
      <c r="AC1" s="3181" t="s">
        <v>3470</v>
      </c>
      <c r="AD1" s="3181" t="s">
        <v>3471</v>
      </c>
      <c r="AE1" s="3181" t="s">
        <v>3472</v>
      </c>
      <c r="AF1" s="3181" t="s">
        <v>3473</v>
      </c>
      <c r="AG1" s="3181" t="s">
        <v>3474</v>
      </c>
      <c r="AH1" s="3181" t="s">
        <v>3475</v>
      </c>
      <c r="AI1" s="3181" t="s">
        <v>3476</v>
      </c>
      <c r="AJ1" s="3185" t="s">
        <v>3477</v>
      </c>
      <c r="AK1" s="3181" t="s">
        <v>3478</v>
      </c>
      <c r="AL1" s="3181" t="s">
        <v>3479</v>
      </c>
      <c r="AM1" s="3181" t="s">
        <v>3480</v>
      </c>
      <c r="AN1" s="3181" t="s">
        <v>3481</v>
      </c>
      <c r="AO1" s="3181" t="s">
        <v>3482</v>
      </c>
      <c r="AP1" s="3181" t="s">
        <v>3483</v>
      </c>
      <c r="AQ1" s="3181" t="s">
        <v>3484</v>
      </c>
      <c r="AR1" s="3186" t="s">
        <v>3485</v>
      </c>
      <c r="AS1" s="3186" t="s">
        <v>3467</v>
      </c>
      <c r="AT1" s="3186" t="s">
        <v>3468</v>
      </c>
      <c r="AU1" s="3186" t="s">
        <v>3486</v>
      </c>
      <c r="AV1" s="3181" t="s">
        <v>3487</v>
      </c>
      <c r="AW1" s="3187" t="s">
        <v>3488</v>
      </c>
      <c r="AX1" s="3188" t="s">
        <v>3489</v>
      </c>
      <c r="AY1" s="3189" t="s">
        <v>3490</v>
      </c>
      <c r="AZ1" s="3187" t="s">
        <v>3491</v>
      </c>
      <c r="BA1" s="3187" t="s">
        <v>3492</v>
      </c>
      <c r="BB1" s="3189" t="s">
        <v>3493</v>
      </c>
      <c r="BC1" s="3187" t="s">
        <v>3494</v>
      </c>
      <c r="BD1" s="3190" t="s">
        <v>3495</v>
      </c>
      <c r="BE1" s="3187" t="s">
        <v>3496</v>
      </c>
      <c r="BF1" s="3191" t="s">
        <v>3497</v>
      </c>
      <c r="BG1" s="3192" t="s">
        <v>3498</v>
      </c>
      <c r="BH1" s="3192" t="s">
        <v>3499</v>
      </c>
      <c r="BI1" s="3192" t="s">
        <v>3500</v>
      </c>
      <c r="BJ1" s="3193" t="s">
        <v>3501</v>
      </c>
      <c r="BK1" s="3193" t="s">
        <v>3502</v>
      </c>
      <c r="BL1" s="3186" t="s">
        <v>3503</v>
      </c>
      <c r="BM1" s="3194" t="s">
        <v>3504</v>
      </c>
      <c r="BN1" s="3194" t="s">
        <v>3505</v>
      </c>
      <c r="BO1" s="3194" t="s">
        <v>3506</v>
      </c>
      <c r="BP1" s="3194"/>
      <c r="BQ1" s="3186" t="s">
        <v>3507</v>
      </c>
      <c r="BR1" s="3186" t="s">
        <v>3508</v>
      </c>
    </row>
    <row r="2" spans="1:74" s="3207" customFormat="1" ht="12">
      <c r="A2" s="3196" t="s">
        <v>3509</v>
      </c>
      <c r="B2" s="3196" t="s">
        <v>3510</v>
      </c>
      <c r="C2" s="3197" t="s">
        <v>3511</v>
      </c>
      <c r="D2" s="3196">
        <v>63927087</v>
      </c>
      <c r="E2" s="3196" t="s">
        <v>2732</v>
      </c>
      <c r="F2" s="3196" t="s">
        <v>3512</v>
      </c>
      <c r="G2" s="3196"/>
      <c r="H2" s="3196" t="s">
        <v>3513</v>
      </c>
      <c r="I2" s="3196"/>
      <c r="J2" s="3196" t="s">
        <v>3514</v>
      </c>
      <c r="K2" s="3196" t="s">
        <v>3510</v>
      </c>
      <c r="L2" s="3196">
        <v>102</v>
      </c>
      <c r="M2" s="3196">
        <v>8</v>
      </c>
      <c r="N2" s="3196" t="s">
        <v>3515</v>
      </c>
      <c r="O2" s="3196"/>
      <c r="P2" s="3196" t="s">
        <v>3516</v>
      </c>
      <c r="Q2" s="3196">
        <v>750000</v>
      </c>
      <c r="R2" s="3196">
        <v>7353</v>
      </c>
      <c r="S2" s="3198">
        <v>67.319999999999993</v>
      </c>
      <c r="T2" s="3199">
        <v>673199.99999999988</v>
      </c>
      <c r="U2" s="3196">
        <v>6600</v>
      </c>
      <c r="V2" s="3200">
        <v>0.2</v>
      </c>
      <c r="W2" s="3198">
        <v>53.85</v>
      </c>
      <c r="X2" s="3201">
        <v>538500</v>
      </c>
      <c r="Y2" s="3196">
        <v>2006</v>
      </c>
      <c r="Z2" s="3196">
        <v>6</v>
      </c>
      <c r="AA2" s="3202">
        <v>7</v>
      </c>
      <c r="AB2" s="3196">
        <v>1500</v>
      </c>
      <c r="AC2" s="3196" t="s">
        <v>3517</v>
      </c>
      <c r="AD2" s="3196"/>
      <c r="AE2" s="3202" t="s">
        <v>3518</v>
      </c>
      <c r="AF2" s="3196" t="s">
        <v>3519</v>
      </c>
      <c r="AG2" s="3196" t="s">
        <v>3520</v>
      </c>
      <c r="AH2" s="3196"/>
      <c r="AI2" s="3196" t="s">
        <v>3521</v>
      </c>
      <c r="AJ2" s="3203"/>
      <c r="AK2" s="3196" t="s">
        <v>3522</v>
      </c>
      <c r="AL2" s="3196">
        <v>82253558</v>
      </c>
      <c r="AM2" s="3196"/>
      <c r="AN2" s="3196" t="s">
        <v>3523</v>
      </c>
      <c r="AO2" s="3196"/>
      <c r="AP2" s="3196" t="s">
        <v>3524</v>
      </c>
      <c r="AQ2" s="3196" t="s">
        <v>3525</v>
      </c>
      <c r="AR2" s="3196">
        <v>2006</v>
      </c>
      <c r="AS2" s="3196">
        <v>6</v>
      </c>
      <c r="AT2" s="3196">
        <v>9</v>
      </c>
      <c r="AU2" s="3196" t="s">
        <v>3526</v>
      </c>
      <c r="AV2" s="3196"/>
      <c r="AW2" s="3196" t="s">
        <v>3527</v>
      </c>
      <c r="AX2" s="3196"/>
      <c r="AY2" s="3197"/>
      <c r="AZ2" s="3196" t="s">
        <v>3528</v>
      </c>
      <c r="BA2" s="3196"/>
      <c r="BB2" s="3196"/>
      <c r="BC2" s="3196"/>
      <c r="BD2" s="3196"/>
      <c r="BE2" s="3196"/>
      <c r="BF2" s="3196"/>
      <c r="BG2" s="3204">
        <v>38865</v>
      </c>
      <c r="BH2" s="3196"/>
      <c r="BI2" s="3196" t="s">
        <v>3529</v>
      </c>
      <c r="BJ2" s="3204"/>
      <c r="BK2" s="3205"/>
      <c r="BL2" s="3196" t="s">
        <v>3530</v>
      </c>
      <c r="BM2" s="3196" t="s">
        <v>3531</v>
      </c>
      <c r="BN2" s="3196" t="s">
        <v>3532</v>
      </c>
      <c r="BO2" s="3196" t="s">
        <v>3533</v>
      </c>
      <c r="BP2" s="3196"/>
      <c r="BQ2" s="3202" t="e">
        <v>#DIV/0!</v>
      </c>
      <c r="BR2" s="3202" t="e">
        <v>#DIV/0!</v>
      </c>
      <c r="BS2" s="3206"/>
      <c r="BT2" s="3206"/>
      <c r="BU2" s="3206"/>
    </row>
    <row r="3" spans="1:74" s="3207" customFormat="1" ht="12">
      <c r="A3" s="3196" t="s">
        <v>3534</v>
      </c>
      <c r="B3" s="3196" t="s">
        <v>3535</v>
      </c>
      <c r="C3" s="3197" t="s">
        <v>3536</v>
      </c>
      <c r="D3" s="3197" t="s">
        <v>3537</v>
      </c>
      <c r="E3" s="3208" t="s">
        <v>2732</v>
      </c>
      <c r="F3" s="3208" t="s">
        <v>3512</v>
      </c>
      <c r="G3" s="3196"/>
      <c r="H3" s="3208" t="s">
        <v>3538</v>
      </c>
      <c r="I3" s="3208" t="s">
        <v>3539</v>
      </c>
      <c r="J3" s="3196" t="s">
        <v>3540</v>
      </c>
      <c r="K3" s="3196" t="s">
        <v>3541</v>
      </c>
      <c r="L3" s="3196">
        <v>53.6</v>
      </c>
      <c r="M3" s="3196">
        <v>10</v>
      </c>
      <c r="N3" s="3196" t="s">
        <v>3542</v>
      </c>
      <c r="O3" s="3196"/>
      <c r="P3" s="3196" t="s">
        <v>3516</v>
      </c>
      <c r="Q3" s="3209">
        <v>430000</v>
      </c>
      <c r="R3" s="3196">
        <v>8022</v>
      </c>
      <c r="S3" s="3198">
        <v>35.090000000000003</v>
      </c>
      <c r="T3" s="3199">
        <v>350900</v>
      </c>
      <c r="U3" s="3196">
        <v>6548</v>
      </c>
      <c r="V3" s="3210">
        <v>0.2</v>
      </c>
      <c r="W3" s="3198">
        <v>28.07</v>
      </c>
      <c r="X3" s="3201">
        <v>280700</v>
      </c>
      <c r="Y3" s="3202">
        <v>2006</v>
      </c>
      <c r="Z3" s="3202">
        <v>6</v>
      </c>
      <c r="AA3" s="3202">
        <v>9</v>
      </c>
      <c r="AB3" s="3196">
        <v>1050</v>
      </c>
      <c r="AC3" s="3196" t="s">
        <v>3543</v>
      </c>
      <c r="AD3" s="3196"/>
      <c r="AE3" s="3211" t="s">
        <v>3518</v>
      </c>
      <c r="AF3" s="3208" t="s">
        <v>3519</v>
      </c>
      <c r="AG3" s="3211" t="s">
        <v>3520</v>
      </c>
      <c r="AH3" s="3196" t="s">
        <v>2416</v>
      </c>
      <c r="AI3" s="3211" t="s">
        <v>3544</v>
      </c>
      <c r="AJ3" s="3203"/>
      <c r="AK3" s="3212">
        <v>6</v>
      </c>
      <c r="AL3" s="3202">
        <v>67641700</v>
      </c>
      <c r="AM3" s="3202"/>
      <c r="AN3" s="3211" t="s">
        <v>3545</v>
      </c>
      <c r="AO3" s="3196" t="s">
        <v>3546</v>
      </c>
      <c r="AP3" s="3211" t="s">
        <v>3547</v>
      </c>
      <c r="AQ3" s="3196" t="s">
        <v>3548</v>
      </c>
      <c r="AR3" s="3202"/>
      <c r="AS3" s="3202"/>
      <c r="AT3" s="3202"/>
      <c r="AU3" s="3202"/>
      <c r="AV3" s="3202"/>
      <c r="AW3" s="3202" t="s">
        <v>3527</v>
      </c>
      <c r="AX3" s="3202"/>
      <c r="AY3" s="3213"/>
      <c r="AZ3" s="3196" t="s">
        <v>3541</v>
      </c>
      <c r="BA3" s="3214"/>
      <c r="BB3" s="3215"/>
      <c r="BC3" s="3214"/>
      <c r="BD3" s="3216"/>
      <c r="BE3" s="3202"/>
      <c r="BF3" s="3217"/>
      <c r="BG3" s="3218">
        <v>38798</v>
      </c>
      <c r="BH3" s="3196" t="s">
        <v>3530</v>
      </c>
      <c r="BI3" s="3219" t="s">
        <v>3549</v>
      </c>
      <c r="BJ3" s="3205">
        <v>38862</v>
      </c>
      <c r="BK3" s="3205"/>
      <c r="BL3" s="3196" t="s">
        <v>3550</v>
      </c>
      <c r="BM3" s="3202" t="s">
        <v>3531</v>
      </c>
      <c r="BN3" s="3202" t="s">
        <v>3551</v>
      </c>
      <c r="BO3" s="3202"/>
      <c r="BP3" s="3202"/>
      <c r="BQ3" s="3202" t="e">
        <v>#DIV/0!</v>
      </c>
      <c r="BR3" s="3202" t="e">
        <v>#DIV/0!</v>
      </c>
      <c r="BS3" s="3206"/>
      <c r="BT3" s="3206"/>
      <c r="BU3" s="3206"/>
    </row>
    <row r="4" spans="1:74" s="3237" customFormat="1" ht="12">
      <c r="A4" s="3220" t="s">
        <v>3552</v>
      </c>
      <c r="B4" s="3220" t="s">
        <v>3553</v>
      </c>
      <c r="C4" s="3221" t="s">
        <v>3554</v>
      </c>
      <c r="D4" s="3221" t="s">
        <v>3555</v>
      </c>
      <c r="E4" s="3220" t="s">
        <v>2732</v>
      </c>
      <c r="F4" s="3222" t="s">
        <v>3556</v>
      </c>
      <c r="G4" s="3220"/>
      <c r="H4" s="3220" t="s">
        <v>3557</v>
      </c>
      <c r="I4" s="3220" t="s">
        <v>3558</v>
      </c>
      <c r="J4" s="3221" t="s">
        <v>3559</v>
      </c>
      <c r="K4" s="3220" t="s">
        <v>3553</v>
      </c>
      <c r="L4" s="3223">
        <v>128.13999999999999</v>
      </c>
      <c r="M4" s="3220">
        <v>6</v>
      </c>
      <c r="N4" s="3220" t="s">
        <v>3560</v>
      </c>
      <c r="O4" s="3220"/>
      <c r="P4" s="3220" t="s">
        <v>3516</v>
      </c>
      <c r="Q4" s="3224">
        <v>1090000</v>
      </c>
      <c r="R4" s="3220">
        <v>8506</v>
      </c>
      <c r="S4" s="3225">
        <v>97.25</v>
      </c>
      <c r="T4" s="3226">
        <v>972500</v>
      </c>
      <c r="U4" s="3220">
        <v>7590</v>
      </c>
      <c r="V4" s="3227">
        <v>0.05</v>
      </c>
      <c r="W4" s="3225">
        <v>92.38</v>
      </c>
      <c r="X4" s="3228">
        <v>923800</v>
      </c>
      <c r="Y4" s="3229">
        <v>2005</v>
      </c>
      <c r="Z4" s="3229">
        <v>6</v>
      </c>
      <c r="AA4" s="3229">
        <v>2</v>
      </c>
      <c r="AB4" s="3220">
        <v>1500</v>
      </c>
      <c r="AC4" s="3220" t="s">
        <v>3561</v>
      </c>
      <c r="AD4" s="3220"/>
      <c r="AE4" s="3229" t="s">
        <v>3562</v>
      </c>
      <c r="AF4" s="3220" t="s">
        <v>3519</v>
      </c>
      <c r="AG4" s="3220" t="s">
        <v>3520</v>
      </c>
      <c r="AH4" s="3220"/>
      <c r="AI4" s="3220" t="s">
        <v>3563</v>
      </c>
      <c r="AJ4" s="3230"/>
      <c r="AK4" s="3231" t="s">
        <v>3522</v>
      </c>
      <c r="AL4" s="3229">
        <v>82253558</v>
      </c>
      <c r="AM4" s="3229"/>
      <c r="AN4" s="3229"/>
      <c r="AO4" s="3229"/>
      <c r="AP4" s="3229" t="s">
        <v>3549</v>
      </c>
      <c r="AQ4" s="3220" t="s">
        <v>3564</v>
      </c>
      <c r="AR4" s="3229"/>
      <c r="AS4" s="3229"/>
      <c r="AT4" s="3229"/>
      <c r="AU4" s="3229"/>
      <c r="AV4" s="3229"/>
      <c r="AW4" s="3229"/>
      <c r="AX4" s="3229"/>
      <c r="AY4" s="3232"/>
      <c r="AZ4" s="3229"/>
      <c r="BA4" s="3229"/>
      <c r="BB4" s="3232"/>
      <c r="BC4" s="3229"/>
      <c r="BD4" s="3233"/>
      <c r="BE4" s="3229"/>
      <c r="BF4" s="3234"/>
      <c r="BG4" s="3235"/>
      <c r="BH4" s="3229"/>
      <c r="BI4" s="3229" t="s">
        <v>3518</v>
      </c>
      <c r="BJ4" s="3236">
        <v>38499</v>
      </c>
      <c r="BK4" s="3236"/>
      <c r="BL4" s="3220"/>
      <c r="BM4" s="3229" t="s">
        <v>3531</v>
      </c>
      <c r="BN4" s="3229" t="s">
        <v>3532</v>
      </c>
      <c r="BO4" s="3229" t="s">
        <v>3565</v>
      </c>
      <c r="BP4" s="3229"/>
      <c r="BQ4" s="3229" t="e">
        <v>#DIV/0!</v>
      </c>
      <c r="BR4" s="3229" t="e">
        <v>#DIV/0!</v>
      </c>
      <c r="BS4" s="3207"/>
      <c r="BT4" s="3207"/>
      <c r="BU4" s="3207"/>
    </row>
    <row r="5" spans="1:74" s="3207" customFormat="1" ht="12">
      <c r="A5" s="3196" t="s">
        <v>3566</v>
      </c>
      <c r="B5" s="3196" t="s">
        <v>3567</v>
      </c>
      <c r="C5" s="3197" t="s">
        <v>3568</v>
      </c>
      <c r="D5" s="3197" t="s">
        <v>3569</v>
      </c>
      <c r="E5" s="3208" t="s">
        <v>2732</v>
      </c>
      <c r="F5" s="3208" t="s">
        <v>3512</v>
      </c>
      <c r="G5" s="3196"/>
      <c r="H5" s="3208" t="s">
        <v>3538</v>
      </c>
      <c r="I5" s="3208" t="s">
        <v>3570</v>
      </c>
      <c r="J5" s="3196" t="s">
        <v>3571</v>
      </c>
      <c r="K5" s="3196" t="s">
        <v>3567</v>
      </c>
      <c r="L5" s="3196">
        <v>53.6</v>
      </c>
      <c r="M5" s="3196">
        <v>14</v>
      </c>
      <c r="N5" s="3196" t="s">
        <v>3542</v>
      </c>
      <c r="O5" s="3196"/>
      <c r="P5" s="3196" t="s">
        <v>3516</v>
      </c>
      <c r="Q5" s="3209">
        <v>380000</v>
      </c>
      <c r="R5" s="3196">
        <v>7090</v>
      </c>
      <c r="S5" s="3198">
        <v>31.94</v>
      </c>
      <c r="T5" s="3199">
        <v>319400</v>
      </c>
      <c r="U5" s="3196">
        <v>5960</v>
      </c>
      <c r="V5" s="3210">
        <v>0.05</v>
      </c>
      <c r="W5" s="3198">
        <v>30.34</v>
      </c>
      <c r="X5" s="3201">
        <v>303400</v>
      </c>
      <c r="Y5" s="3202">
        <v>2005</v>
      </c>
      <c r="Z5" s="3202">
        <v>11</v>
      </c>
      <c r="AA5" s="3202">
        <v>30</v>
      </c>
      <c r="AB5" s="3196">
        <v>955</v>
      </c>
      <c r="AC5" s="3196" t="s">
        <v>3561</v>
      </c>
      <c r="AD5" s="3196"/>
      <c r="AE5" s="3219" t="s">
        <v>3521</v>
      </c>
      <c r="AF5" s="3208" t="s">
        <v>3519</v>
      </c>
      <c r="AG5" s="3211" t="s">
        <v>3520</v>
      </c>
      <c r="AH5" s="3196"/>
      <c r="AI5" s="3211" t="s">
        <v>3572</v>
      </c>
      <c r="AJ5" s="3203"/>
      <c r="AK5" s="3212" t="s">
        <v>3573</v>
      </c>
      <c r="AL5" s="3202">
        <v>67641700</v>
      </c>
      <c r="AM5" s="3202"/>
      <c r="AN5" s="3211" t="s">
        <v>3574</v>
      </c>
      <c r="AO5" s="3202"/>
      <c r="AP5" s="3211" t="s">
        <v>3547</v>
      </c>
      <c r="AQ5" s="3202" t="s">
        <v>3575</v>
      </c>
      <c r="AR5" s="3202"/>
      <c r="AS5" s="3202"/>
      <c r="AT5" s="3202"/>
      <c r="AU5" s="3202"/>
      <c r="AV5" s="3202"/>
      <c r="AW5" s="3202" t="s">
        <v>3527</v>
      </c>
      <c r="AX5" s="3202"/>
      <c r="AY5" s="3213"/>
      <c r="AZ5" s="3196" t="s">
        <v>3576</v>
      </c>
      <c r="BA5" s="3214"/>
      <c r="BB5" s="3215"/>
      <c r="BC5" s="3214"/>
      <c r="BD5" s="3216"/>
      <c r="BE5" s="3202"/>
      <c r="BF5" s="3217"/>
      <c r="BG5" s="3218">
        <v>38672</v>
      </c>
      <c r="BH5" s="3218" t="s">
        <v>3530</v>
      </c>
      <c r="BI5" s="3196" t="s">
        <v>3577</v>
      </c>
      <c r="BJ5" s="3205">
        <v>38672</v>
      </c>
      <c r="BK5" s="3205"/>
      <c r="BL5" s="3196" t="s">
        <v>3550</v>
      </c>
      <c r="BM5" s="3202" t="s">
        <v>3531</v>
      </c>
      <c r="BN5" s="3202" t="s">
        <v>3532</v>
      </c>
      <c r="BO5" s="3202" t="s">
        <v>3578</v>
      </c>
      <c r="BP5" s="3202"/>
      <c r="BQ5" s="3202" t="e">
        <v>#DIV/0!</v>
      </c>
      <c r="BR5" s="3202" t="e">
        <v>#DIV/0!</v>
      </c>
      <c r="BV5" s="3238"/>
    </row>
    <row r="6" spans="1:74" customFormat="1"/>
    <row r="7" spans="1:74" customFormat="1"/>
    <row r="8" spans="1:74" s="3590" customFormat="1" ht="12">
      <c r="A8" s="3186"/>
      <c r="B8" s="3588"/>
      <c r="C8" s="3186"/>
      <c r="D8" s="3186"/>
      <c r="E8" s="3186"/>
      <c r="F8" s="3186"/>
      <c r="G8" s="3186"/>
      <c r="H8" s="3186"/>
      <c r="I8" s="3186" t="s">
        <v>3789</v>
      </c>
      <c r="J8" s="3186" t="s">
        <v>3790</v>
      </c>
      <c r="K8" s="3186" t="s">
        <v>3791</v>
      </c>
      <c r="L8" s="3186" t="s">
        <v>3789</v>
      </c>
      <c r="M8" s="3186" t="s">
        <v>3790</v>
      </c>
      <c r="N8" s="3186" t="s">
        <v>3791</v>
      </c>
      <c r="O8" s="3186" t="s">
        <v>3789</v>
      </c>
      <c r="P8" s="3186" t="s">
        <v>3790</v>
      </c>
      <c r="Q8" s="3186" t="s">
        <v>3791</v>
      </c>
      <c r="R8" s="3186"/>
      <c r="S8" s="3186" t="s">
        <v>3789</v>
      </c>
      <c r="T8" s="3186" t="s">
        <v>3790</v>
      </c>
      <c r="U8" s="3186" t="s">
        <v>3791</v>
      </c>
      <c r="V8" s="3186"/>
      <c r="W8" s="3186" t="s">
        <v>3792</v>
      </c>
      <c r="X8" s="3186"/>
      <c r="Y8" s="3186"/>
      <c r="Z8" s="3186"/>
      <c r="AA8" s="3186"/>
      <c r="AB8" s="3186"/>
      <c r="AC8" s="3186"/>
      <c r="AD8" s="3186"/>
      <c r="AE8" s="3186"/>
      <c r="AF8" s="3186"/>
      <c r="AG8" s="3186"/>
      <c r="AH8" s="3186"/>
      <c r="AI8" s="3186"/>
      <c r="AJ8" s="3186"/>
      <c r="AK8" s="3186"/>
      <c r="AL8" s="3186"/>
      <c r="AM8" s="3186"/>
      <c r="AN8" s="3186"/>
      <c r="AO8" s="3186"/>
      <c r="AP8" s="3186"/>
      <c r="AQ8" s="3186"/>
      <c r="AR8" s="3186"/>
      <c r="AS8" s="3589"/>
      <c r="AT8" s="3186"/>
      <c r="AU8" s="3186"/>
      <c r="AV8" s="3186"/>
      <c r="AW8" s="3186"/>
      <c r="AX8" s="3186"/>
      <c r="AY8" s="3186"/>
      <c r="AZ8" s="3186"/>
      <c r="BA8" s="3186"/>
      <c r="BB8" s="3186"/>
      <c r="BC8" s="3186" t="s">
        <v>3793</v>
      </c>
      <c r="BD8" s="3186"/>
      <c r="BE8" s="3186"/>
      <c r="BF8" s="3186"/>
      <c r="BG8" s="3186"/>
      <c r="BH8" s="3186"/>
      <c r="BI8" s="3186"/>
      <c r="BJ8" s="3186"/>
      <c r="BK8" s="3186"/>
    </row>
    <row r="9" spans="1:74" s="3590" customFormat="1" ht="12">
      <c r="A9" s="3591" t="s">
        <v>3679</v>
      </c>
      <c r="B9" s="3592" t="s">
        <v>3794</v>
      </c>
      <c r="C9" s="3591" t="s">
        <v>3446</v>
      </c>
      <c r="D9" s="3591" t="s">
        <v>3795</v>
      </c>
      <c r="E9" s="3591" t="s">
        <v>3796</v>
      </c>
      <c r="F9" s="3591" t="s">
        <v>3797</v>
      </c>
      <c r="G9" s="3591" t="s">
        <v>3798</v>
      </c>
      <c r="H9" s="3591" t="s">
        <v>3799</v>
      </c>
      <c r="I9" s="3591" t="s">
        <v>3800</v>
      </c>
      <c r="J9" s="3591" t="s">
        <v>3800</v>
      </c>
      <c r="K9" s="3591" t="s">
        <v>3800</v>
      </c>
      <c r="L9" s="3591" t="s">
        <v>3801</v>
      </c>
      <c r="M9" s="3591" t="s">
        <v>3801</v>
      </c>
      <c r="N9" s="3591" t="s">
        <v>3801</v>
      </c>
      <c r="O9" s="3591" t="s">
        <v>3802</v>
      </c>
      <c r="P9" s="3591" t="s">
        <v>3802</v>
      </c>
      <c r="Q9" s="3591" t="s">
        <v>3802</v>
      </c>
      <c r="R9" s="3591" t="s">
        <v>3803</v>
      </c>
      <c r="S9" s="3591" t="s">
        <v>3804</v>
      </c>
      <c r="T9" s="3591" t="s">
        <v>3804</v>
      </c>
      <c r="U9" s="3591" t="s">
        <v>3804</v>
      </c>
      <c r="V9" s="3591" t="s">
        <v>3805</v>
      </c>
      <c r="W9" s="3591" t="s">
        <v>3806</v>
      </c>
      <c r="X9" s="3591" t="s">
        <v>3807</v>
      </c>
      <c r="Y9" s="3591" t="s">
        <v>3808</v>
      </c>
      <c r="Z9" s="3591" t="s">
        <v>3809</v>
      </c>
      <c r="AA9" s="3591" t="s">
        <v>3810</v>
      </c>
      <c r="AB9" s="3591" t="s">
        <v>3811</v>
      </c>
      <c r="AC9" s="3591" t="s">
        <v>3812</v>
      </c>
      <c r="AD9" s="3591" t="s">
        <v>3813</v>
      </c>
      <c r="AE9" s="3591" t="s">
        <v>3814</v>
      </c>
      <c r="AF9" s="3591" t="s">
        <v>3815</v>
      </c>
      <c r="AG9" s="3591" t="s">
        <v>3816</v>
      </c>
      <c r="AH9" s="3591" t="s">
        <v>3817</v>
      </c>
      <c r="AI9" s="3591" t="s">
        <v>3818</v>
      </c>
      <c r="AJ9" s="3591" t="s">
        <v>3819</v>
      </c>
      <c r="AK9" s="3591" t="s">
        <v>3820</v>
      </c>
      <c r="AL9" s="3591" t="s">
        <v>3821</v>
      </c>
      <c r="AM9" s="3591" t="s">
        <v>3822</v>
      </c>
      <c r="AN9" s="3591" t="s">
        <v>3823</v>
      </c>
      <c r="AO9" s="3591" t="s">
        <v>3824</v>
      </c>
      <c r="AP9" s="3591" t="s">
        <v>3825</v>
      </c>
      <c r="AQ9" s="3591" t="s">
        <v>3826</v>
      </c>
      <c r="AR9" s="3591" t="s">
        <v>3827</v>
      </c>
      <c r="AS9" s="3593" t="s">
        <v>3828</v>
      </c>
      <c r="AT9" s="3591" t="s">
        <v>3829</v>
      </c>
      <c r="AU9" s="3591" t="s">
        <v>3830</v>
      </c>
      <c r="AV9" s="3591" t="s">
        <v>3831</v>
      </c>
      <c r="AW9" s="3591" t="s">
        <v>3832</v>
      </c>
      <c r="AX9" s="3591" t="s">
        <v>3833</v>
      </c>
      <c r="AY9" s="3591" t="s">
        <v>3834</v>
      </c>
      <c r="AZ9" s="3591" t="s">
        <v>3835</v>
      </c>
      <c r="BA9" s="3591" t="s">
        <v>3836</v>
      </c>
      <c r="BB9" s="3591" t="s">
        <v>3837</v>
      </c>
      <c r="BC9" s="3591" t="s">
        <v>3838</v>
      </c>
      <c r="BD9" s="3591" t="s">
        <v>3839</v>
      </c>
      <c r="BE9" s="3591" t="s">
        <v>3840</v>
      </c>
      <c r="BF9" s="3591" t="s">
        <v>3841</v>
      </c>
      <c r="BG9" s="3591" t="s">
        <v>3842</v>
      </c>
      <c r="BH9" s="3591" t="s">
        <v>3843</v>
      </c>
      <c r="BI9" s="3591" t="s">
        <v>3844</v>
      </c>
      <c r="BJ9" s="3591" t="s">
        <v>3845</v>
      </c>
      <c r="BK9" s="3591" t="s">
        <v>3846</v>
      </c>
    </row>
    <row r="10" spans="1:74" s="3590" customFormat="1" ht="12" customHeight="1">
      <c r="A10" s="3594" t="s">
        <v>3509</v>
      </c>
      <c r="B10" s="3595" t="s">
        <v>3512</v>
      </c>
      <c r="C10" s="3596" t="s">
        <v>2732</v>
      </c>
      <c r="D10" s="3596" t="s">
        <v>3847</v>
      </c>
      <c r="E10" s="3596"/>
      <c r="F10" s="3594" t="s">
        <v>3848</v>
      </c>
      <c r="G10" s="3596" t="s">
        <v>3849</v>
      </c>
      <c r="H10" s="3596" t="s">
        <v>3850</v>
      </c>
      <c r="I10" s="3596" t="s">
        <v>3851</v>
      </c>
      <c r="J10" s="3596" t="s">
        <v>3851</v>
      </c>
      <c r="K10" s="3596" t="s">
        <v>3851</v>
      </c>
      <c r="L10" s="3596" t="s">
        <v>3851</v>
      </c>
      <c r="M10" s="3594" t="s">
        <v>3852</v>
      </c>
      <c r="N10" s="3594" t="s">
        <v>3852</v>
      </c>
      <c r="O10" s="3596" t="s">
        <v>3853</v>
      </c>
      <c r="P10" s="3596" t="s">
        <v>3853</v>
      </c>
      <c r="Q10" s="3596" t="s">
        <v>3853</v>
      </c>
      <c r="R10" s="3596" t="s">
        <v>3854</v>
      </c>
      <c r="S10" s="3596"/>
      <c r="T10" s="3596" t="s">
        <v>3855</v>
      </c>
      <c r="U10" s="3596" t="s">
        <v>3856</v>
      </c>
      <c r="V10" s="3596"/>
      <c r="W10" s="3596"/>
      <c r="X10" s="3596" t="s">
        <v>3857</v>
      </c>
      <c r="Y10" s="3596"/>
      <c r="Z10" s="3596" t="s">
        <v>3858</v>
      </c>
      <c r="AA10" s="3596" t="s">
        <v>3859</v>
      </c>
      <c r="AB10" s="3596" t="s">
        <v>3860</v>
      </c>
      <c r="AC10" s="3596" t="s">
        <v>3861</v>
      </c>
      <c r="AD10" s="3596" t="s">
        <v>3862</v>
      </c>
      <c r="AE10" s="3596" t="s">
        <v>3863</v>
      </c>
      <c r="AF10" s="3596"/>
      <c r="AG10" s="3596" t="s">
        <v>3864</v>
      </c>
      <c r="AH10" s="3596" t="s">
        <v>3865</v>
      </c>
      <c r="AI10" s="3596" t="s">
        <v>3866</v>
      </c>
      <c r="AJ10" s="3596" t="s">
        <v>3867</v>
      </c>
      <c r="AK10" s="3596" t="s">
        <v>3868</v>
      </c>
      <c r="AL10" s="3596" t="s">
        <v>3869</v>
      </c>
      <c r="AM10" s="3596" t="s">
        <v>3870</v>
      </c>
      <c r="AN10" s="3596" t="s">
        <v>3871</v>
      </c>
      <c r="AO10" s="3596" t="s">
        <v>3872</v>
      </c>
      <c r="AP10" s="3596" t="s">
        <v>3873</v>
      </c>
      <c r="AQ10" s="3596" t="s">
        <v>3874</v>
      </c>
      <c r="AR10" s="3596" t="s">
        <v>3875</v>
      </c>
      <c r="AS10" s="3597"/>
      <c r="AT10" s="3596"/>
      <c r="AU10" s="3594" t="s">
        <v>3876</v>
      </c>
      <c r="AV10" s="3596" t="s">
        <v>3877</v>
      </c>
      <c r="AW10" s="3596" t="s">
        <v>3878</v>
      </c>
      <c r="AX10" s="3596" t="s">
        <v>3879</v>
      </c>
      <c r="AY10" s="3596" t="s">
        <v>3878</v>
      </c>
      <c r="AZ10" s="3596" t="s">
        <v>3878</v>
      </c>
      <c r="BA10" s="3596" t="s">
        <v>3577</v>
      </c>
      <c r="BB10" s="3596"/>
      <c r="BC10" s="3596">
        <v>2006</v>
      </c>
      <c r="BD10" s="3596">
        <v>6</v>
      </c>
      <c r="BE10" s="3596">
        <v>7</v>
      </c>
      <c r="BF10" s="3594" t="s">
        <v>3545</v>
      </c>
      <c r="BG10" s="3596" t="s">
        <v>3525</v>
      </c>
      <c r="BH10" s="3596">
        <v>1998</v>
      </c>
      <c r="BI10" s="3596" t="s">
        <v>3880</v>
      </c>
      <c r="BJ10" s="3596">
        <v>35</v>
      </c>
      <c r="BK10" s="3596">
        <v>20</v>
      </c>
      <c r="BL10" s="3207"/>
      <c r="BM10" s="3207"/>
      <c r="BN10" s="3207"/>
    </row>
    <row r="11" spans="1:74" s="3207" customFormat="1" ht="12" customHeight="1">
      <c r="A11" s="3594" t="s">
        <v>3881</v>
      </c>
      <c r="B11" s="3598" t="s">
        <v>3512</v>
      </c>
      <c r="C11" s="3599" t="s">
        <v>2732</v>
      </c>
      <c r="D11" s="3599" t="s">
        <v>3882</v>
      </c>
      <c r="E11" s="3599"/>
      <c r="F11" s="3600" t="s">
        <v>3883</v>
      </c>
      <c r="G11" s="3600" t="s">
        <v>3884</v>
      </c>
      <c r="H11" s="3599" t="s">
        <v>3885</v>
      </c>
      <c r="I11" s="3599" t="s">
        <v>3884</v>
      </c>
      <c r="J11" s="3599" t="s">
        <v>3886</v>
      </c>
      <c r="K11" s="3599" t="s">
        <v>3886</v>
      </c>
      <c r="L11" s="3599" t="s">
        <v>3884</v>
      </c>
      <c r="M11" s="3599" t="s">
        <v>3852</v>
      </c>
      <c r="N11" s="3599" t="s">
        <v>3852</v>
      </c>
      <c r="O11" s="3600" t="s">
        <v>3887</v>
      </c>
      <c r="P11" s="3600" t="s">
        <v>3888</v>
      </c>
      <c r="Q11" s="3600" t="s">
        <v>3888</v>
      </c>
      <c r="R11" s="3596" t="s">
        <v>3889</v>
      </c>
      <c r="S11" s="3599" t="s">
        <v>3890</v>
      </c>
      <c r="T11" s="3600" t="s">
        <v>3891</v>
      </c>
      <c r="U11" s="3600" t="s">
        <v>3856</v>
      </c>
      <c r="V11" s="3599"/>
      <c r="W11" s="3600"/>
      <c r="X11" s="3600" t="s">
        <v>3892</v>
      </c>
      <c r="Y11" s="3599"/>
      <c r="Z11" s="3600" t="s">
        <v>3893</v>
      </c>
      <c r="AA11" s="3600" t="s">
        <v>3894</v>
      </c>
      <c r="AB11" s="3600" t="s">
        <v>3895</v>
      </c>
      <c r="AC11" s="3599" t="s">
        <v>3896</v>
      </c>
      <c r="AD11" s="3596" t="s">
        <v>3862</v>
      </c>
      <c r="AE11" s="3596" t="s">
        <v>3863</v>
      </c>
      <c r="AF11" s="3599"/>
      <c r="AG11" s="3599" t="s">
        <v>3864</v>
      </c>
      <c r="AH11" s="3600" t="s">
        <v>3897</v>
      </c>
      <c r="AI11" s="3600" t="s">
        <v>3898</v>
      </c>
      <c r="AJ11" s="3599" t="s">
        <v>3867</v>
      </c>
      <c r="AK11" s="3600" t="s">
        <v>3899</v>
      </c>
      <c r="AL11" s="3594" t="s">
        <v>3900</v>
      </c>
      <c r="AM11" s="3596" t="s">
        <v>3901</v>
      </c>
      <c r="AN11" s="3600" t="s">
        <v>3871</v>
      </c>
      <c r="AO11" s="3600" t="s">
        <v>3902</v>
      </c>
      <c r="AP11" s="3599" t="s">
        <v>3903</v>
      </c>
      <c r="AQ11" s="3600" t="s">
        <v>3904</v>
      </c>
      <c r="AR11" s="3596" t="s">
        <v>3905</v>
      </c>
      <c r="AS11" s="3599"/>
      <c r="AT11" s="3599"/>
      <c r="AU11" s="3600" t="s">
        <v>3876</v>
      </c>
      <c r="AV11" s="3600" t="s">
        <v>3906</v>
      </c>
      <c r="AW11" s="3600" t="s">
        <v>3906</v>
      </c>
      <c r="AX11" s="3600" t="s">
        <v>3907</v>
      </c>
      <c r="AY11" s="3600" t="s">
        <v>3906</v>
      </c>
      <c r="AZ11" s="3600" t="s">
        <v>3906</v>
      </c>
      <c r="BA11" s="3596" t="s">
        <v>3562</v>
      </c>
      <c r="BB11" s="3600"/>
      <c r="BC11" s="3600">
        <v>2006</v>
      </c>
      <c r="BD11" s="3600">
        <v>5</v>
      </c>
      <c r="BE11" s="3600">
        <v>26</v>
      </c>
      <c r="BF11" s="3600" t="s">
        <v>3908</v>
      </c>
      <c r="BG11" s="3600" t="s">
        <v>3525</v>
      </c>
      <c r="BH11" s="3600">
        <v>1987</v>
      </c>
      <c r="BI11" s="3599" t="s">
        <v>3909</v>
      </c>
      <c r="BJ11" s="3594" t="s">
        <v>3910</v>
      </c>
      <c r="BK11" s="3594" t="s">
        <v>3911</v>
      </c>
    </row>
    <row r="12" spans="1:74" s="3207" customFormat="1" ht="12" customHeight="1">
      <c r="A12" s="3596" t="s">
        <v>3552</v>
      </c>
      <c r="B12" s="3601" t="s">
        <v>3912</v>
      </c>
      <c r="C12" s="3594" t="s">
        <v>2732</v>
      </c>
      <c r="D12" s="3594" t="s">
        <v>3913</v>
      </c>
      <c r="E12" s="3594"/>
      <c r="F12" s="3596" t="s">
        <v>3883</v>
      </c>
      <c r="G12" s="3596" t="s">
        <v>3884</v>
      </c>
      <c r="H12" s="3594" t="s">
        <v>3914</v>
      </c>
      <c r="I12" s="3594" t="s">
        <v>3884</v>
      </c>
      <c r="J12" s="3596" t="s">
        <v>3915</v>
      </c>
      <c r="K12" s="3596" t="s">
        <v>3915</v>
      </c>
      <c r="L12" s="3594" t="s">
        <v>3884</v>
      </c>
      <c r="M12" s="3594" t="s">
        <v>3852</v>
      </c>
      <c r="N12" s="3594" t="s">
        <v>3852</v>
      </c>
      <c r="O12" s="3596" t="s">
        <v>3916</v>
      </c>
      <c r="P12" s="3594" t="s">
        <v>3888</v>
      </c>
      <c r="Q12" s="3596" t="s">
        <v>3888</v>
      </c>
      <c r="R12" s="3596" t="s">
        <v>3889</v>
      </c>
      <c r="S12" s="3594"/>
      <c r="T12" s="3596" t="s">
        <v>3917</v>
      </c>
      <c r="U12" s="3596" t="s">
        <v>3918</v>
      </c>
      <c r="V12" s="3594" t="s">
        <v>3919</v>
      </c>
      <c r="W12" s="3594" t="s">
        <v>3919</v>
      </c>
      <c r="X12" s="3596" t="s">
        <v>3892</v>
      </c>
      <c r="Y12" s="3594"/>
      <c r="Z12" s="3596" t="s">
        <v>3893</v>
      </c>
      <c r="AA12" s="3596" t="s">
        <v>3894</v>
      </c>
      <c r="AB12" s="3596" t="s">
        <v>3895</v>
      </c>
      <c r="AC12" s="3594" t="s">
        <v>3896</v>
      </c>
      <c r="AD12" s="3596" t="s">
        <v>3920</v>
      </c>
      <c r="AE12" s="3596" t="s">
        <v>3863</v>
      </c>
      <c r="AF12" s="3594"/>
      <c r="AG12" s="3594" t="s">
        <v>3864</v>
      </c>
      <c r="AH12" s="3596" t="s">
        <v>3921</v>
      </c>
      <c r="AI12" s="3596" t="s">
        <v>3922</v>
      </c>
      <c r="AJ12" s="3594" t="s">
        <v>3923</v>
      </c>
      <c r="AK12" s="3596" t="s">
        <v>3924</v>
      </c>
      <c r="AL12" s="3594" t="s">
        <v>3925</v>
      </c>
      <c r="AM12" s="3596" t="s">
        <v>3901</v>
      </c>
      <c r="AN12" s="3596" t="s">
        <v>3926</v>
      </c>
      <c r="AO12" s="3596" t="s">
        <v>3902</v>
      </c>
      <c r="AP12" s="3594" t="s">
        <v>3927</v>
      </c>
      <c r="AQ12" s="3596" t="s">
        <v>3904</v>
      </c>
      <c r="AR12" s="3596" t="s">
        <v>3905</v>
      </c>
      <c r="AS12" s="3594"/>
      <c r="AT12" s="3594"/>
      <c r="AU12" s="3596" t="s">
        <v>3928</v>
      </c>
      <c r="AV12" s="3596" t="s">
        <v>3929</v>
      </c>
      <c r="AW12" s="3596" t="s">
        <v>3930</v>
      </c>
      <c r="AX12" s="3596" t="s">
        <v>3907</v>
      </c>
      <c r="AY12" s="3596" t="s">
        <v>3931</v>
      </c>
      <c r="AZ12" s="3596" t="s">
        <v>3929</v>
      </c>
      <c r="BA12" s="3596" t="s">
        <v>3562</v>
      </c>
      <c r="BB12" s="3596"/>
      <c r="BC12" s="3596">
        <v>2005</v>
      </c>
      <c r="BD12" s="3596">
        <v>6</v>
      </c>
      <c r="BE12" s="3596">
        <v>2</v>
      </c>
      <c r="BF12" s="3596" t="s">
        <v>3932</v>
      </c>
      <c r="BG12" s="3596" t="s">
        <v>3525</v>
      </c>
      <c r="BH12" s="3596"/>
      <c r="BI12" s="3594"/>
      <c r="BJ12" s="3594"/>
      <c r="BK12" s="3594"/>
    </row>
    <row r="13" spans="1:74" s="3207" customFormat="1" ht="12" customHeight="1">
      <c r="A13" s="3596" t="s">
        <v>3566</v>
      </c>
      <c r="B13" s="3601" t="s">
        <v>3933</v>
      </c>
      <c r="C13" s="3594" t="s">
        <v>2732</v>
      </c>
      <c r="D13" s="3594" t="s">
        <v>3934</v>
      </c>
      <c r="E13" s="3594"/>
      <c r="F13" s="3596"/>
      <c r="G13" s="3596" t="s">
        <v>3884</v>
      </c>
      <c r="H13" s="3594" t="s">
        <v>3935</v>
      </c>
      <c r="I13" s="3594" t="s">
        <v>3884</v>
      </c>
      <c r="J13" s="3596" t="s">
        <v>3915</v>
      </c>
      <c r="K13" s="3596" t="s">
        <v>3915</v>
      </c>
      <c r="L13" s="3594" t="s">
        <v>3884</v>
      </c>
      <c r="M13" s="3594" t="s">
        <v>3852</v>
      </c>
      <c r="N13" s="3594" t="s">
        <v>3852</v>
      </c>
      <c r="O13" s="3596" t="s">
        <v>3916</v>
      </c>
      <c r="P13" s="3594" t="s">
        <v>3888</v>
      </c>
      <c r="Q13" s="3596" t="s">
        <v>3888</v>
      </c>
      <c r="R13" s="3596" t="s">
        <v>3889</v>
      </c>
      <c r="S13" s="3594" t="s">
        <v>3936</v>
      </c>
      <c r="T13" s="3596" t="s">
        <v>3937</v>
      </c>
      <c r="U13" s="3596" t="s">
        <v>3938</v>
      </c>
      <c r="V13" s="3594"/>
      <c r="W13" s="3594"/>
      <c r="X13" s="3596" t="s">
        <v>3892</v>
      </c>
      <c r="Y13" s="3594"/>
      <c r="Z13" s="3596" t="s">
        <v>3893</v>
      </c>
      <c r="AA13" s="3596" t="s">
        <v>3894</v>
      </c>
      <c r="AB13" s="3596" t="s">
        <v>3895</v>
      </c>
      <c r="AC13" s="3594" t="s">
        <v>3896</v>
      </c>
      <c r="AD13" s="3596" t="s">
        <v>3920</v>
      </c>
      <c r="AE13" s="3596" t="s">
        <v>3863</v>
      </c>
      <c r="AF13" s="3594"/>
      <c r="AG13" s="3594" t="s">
        <v>3864</v>
      </c>
      <c r="AH13" s="3596" t="s">
        <v>3939</v>
      </c>
      <c r="AI13" s="3596" t="s">
        <v>3940</v>
      </c>
      <c r="AJ13" s="3594" t="s">
        <v>3941</v>
      </c>
      <c r="AK13" s="3596" t="s">
        <v>3899</v>
      </c>
      <c r="AL13" s="3594" t="s">
        <v>3900</v>
      </c>
      <c r="AM13" s="3596" t="s">
        <v>3901</v>
      </c>
      <c r="AN13" s="3596" t="s">
        <v>3871</v>
      </c>
      <c r="AO13" s="3596" t="s">
        <v>3902</v>
      </c>
      <c r="AP13" s="3594" t="s">
        <v>3942</v>
      </c>
      <c r="AQ13" s="3596" t="s">
        <v>3904</v>
      </c>
      <c r="AR13" s="3596" t="s">
        <v>3905</v>
      </c>
      <c r="AS13" s="3594"/>
      <c r="AT13" s="3594"/>
      <c r="AU13" s="3596" t="s">
        <v>3943</v>
      </c>
      <c r="AV13" s="3596" t="s">
        <v>3944</v>
      </c>
      <c r="AW13" s="3596" t="s">
        <v>3906</v>
      </c>
      <c r="AX13" s="3596" t="s">
        <v>3879</v>
      </c>
      <c r="AY13" s="3596" t="s">
        <v>3906</v>
      </c>
      <c r="AZ13" s="3596" t="s">
        <v>3945</v>
      </c>
      <c r="BA13" s="3596" t="s">
        <v>3521</v>
      </c>
      <c r="BB13" s="3596"/>
      <c r="BC13" s="3596">
        <v>2005</v>
      </c>
      <c r="BD13" s="3596">
        <v>11</v>
      </c>
      <c r="BE13" s="3596">
        <v>21</v>
      </c>
      <c r="BF13" s="3596"/>
      <c r="BG13" s="3596" t="s">
        <v>3525</v>
      </c>
      <c r="BH13" s="3596">
        <v>1987</v>
      </c>
      <c r="BI13" s="3594" t="s">
        <v>3909</v>
      </c>
      <c r="BJ13" s="3594"/>
      <c r="BK13" s="3594"/>
    </row>
    <row r="14" spans="1:74" customFormat="1"/>
    <row r="15" spans="1:74" customFormat="1"/>
    <row r="16" spans="1:74" s="3604" customFormat="1" ht="12">
      <c r="A16" s="3186"/>
      <c r="B16" s="3186"/>
      <c r="C16" s="3588"/>
      <c r="D16" s="3186"/>
      <c r="E16" s="3186"/>
      <c r="F16" s="3186" t="s">
        <v>3946</v>
      </c>
      <c r="G16" s="3186"/>
      <c r="H16" s="3186"/>
      <c r="I16" s="3186"/>
      <c r="J16" s="3186"/>
      <c r="K16" s="3186"/>
      <c r="L16" s="3186"/>
      <c r="M16" s="3186"/>
      <c r="N16" s="3602"/>
      <c r="O16" s="3900" t="s">
        <v>3947</v>
      </c>
      <c r="P16" s="3901"/>
      <c r="Q16" s="3901"/>
      <c r="R16" s="3902"/>
      <c r="S16" s="3186"/>
      <c r="T16" s="3186"/>
      <c r="U16" s="3186"/>
      <c r="V16" s="3186"/>
      <c r="W16" s="3186" t="s">
        <v>3948</v>
      </c>
      <c r="X16" s="3186"/>
      <c r="Y16" s="3186"/>
      <c r="Z16" s="3186"/>
      <c r="AA16" s="3186"/>
      <c r="AB16" s="3186"/>
      <c r="AC16" s="3186"/>
      <c r="AD16" s="3186"/>
      <c r="AE16" s="3186"/>
      <c r="AF16" s="3186" t="s">
        <v>3793</v>
      </c>
      <c r="AG16" s="3186"/>
      <c r="AH16" s="3186"/>
      <c r="AI16" s="3186"/>
      <c r="AJ16" s="3603"/>
      <c r="AK16" s="3603"/>
    </row>
    <row r="17" spans="1:38" s="3604" customFormat="1" ht="12">
      <c r="A17" s="3591" t="s">
        <v>3949</v>
      </c>
      <c r="B17" s="3591" t="s">
        <v>3950</v>
      </c>
      <c r="C17" s="3592" t="s">
        <v>3951</v>
      </c>
      <c r="D17" s="3591" t="s">
        <v>3952</v>
      </c>
      <c r="E17" s="3591" t="s">
        <v>3953</v>
      </c>
      <c r="F17" s="3591" t="s">
        <v>3954</v>
      </c>
      <c r="G17" s="3591" t="s">
        <v>3955</v>
      </c>
      <c r="H17" s="3591" t="s">
        <v>3956</v>
      </c>
      <c r="I17" s="3591" t="s">
        <v>3957</v>
      </c>
      <c r="J17" s="3591" t="s">
        <v>3958</v>
      </c>
      <c r="K17" s="3591" t="s">
        <v>3741</v>
      </c>
      <c r="L17" s="3591" t="s">
        <v>3959</v>
      </c>
      <c r="M17" s="3591" t="s">
        <v>3475</v>
      </c>
      <c r="N17" s="3602" t="s">
        <v>3960</v>
      </c>
      <c r="O17" s="3602" t="s">
        <v>3961</v>
      </c>
      <c r="P17" s="3602" t="s">
        <v>3962</v>
      </c>
      <c r="Q17" s="3605" t="s">
        <v>3963</v>
      </c>
      <c r="R17" s="3181" t="s">
        <v>3964</v>
      </c>
      <c r="S17" s="3591" t="s">
        <v>3840</v>
      </c>
      <c r="T17" s="3591" t="s">
        <v>3965</v>
      </c>
      <c r="U17" s="3591" t="s">
        <v>3839</v>
      </c>
      <c r="V17" s="3591" t="s">
        <v>3840</v>
      </c>
      <c r="W17" s="3591" t="s">
        <v>3966</v>
      </c>
      <c r="X17" s="3591" t="s">
        <v>3967</v>
      </c>
      <c r="Y17" s="3591" t="s">
        <v>3968</v>
      </c>
      <c r="Z17" s="3591" t="s">
        <v>3969</v>
      </c>
      <c r="AA17" s="3591" t="s">
        <v>3970</v>
      </c>
      <c r="AB17" s="3591" t="s">
        <v>3971</v>
      </c>
      <c r="AC17" s="3591" t="s">
        <v>3972</v>
      </c>
      <c r="AD17" s="3591" t="s">
        <v>3973</v>
      </c>
      <c r="AE17" s="3591" t="s">
        <v>3974</v>
      </c>
      <c r="AF17" s="3591" t="s">
        <v>3838</v>
      </c>
      <c r="AG17" s="3591" t="s">
        <v>3839</v>
      </c>
      <c r="AH17" s="3591" t="s">
        <v>3840</v>
      </c>
      <c r="AI17" s="3591" t="s">
        <v>3841</v>
      </c>
      <c r="AJ17" s="3606" t="s">
        <v>3975</v>
      </c>
      <c r="AK17" s="3606" t="s">
        <v>3976</v>
      </c>
    </row>
    <row r="18" spans="1:38" s="3206" customFormat="1" ht="12" customHeight="1">
      <c r="A18" s="3594" t="s">
        <v>3977</v>
      </c>
      <c r="B18" s="3594" t="s">
        <v>3978</v>
      </c>
      <c r="C18" s="3601" t="s">
        <v>3979</v>
      </c>
      <c r="D18" s="3594" t="s">
        <v>3980</v>
      </c>
      <c r="E18" s="3594" t="s">
        <v>3981</v>
      </c>
      <c r="F18" s="3594">
        <v>11</v>
      </c>
      <c r="G18" s="3594" t="s">
        <v>3982</v>
      </c>
      <c r="H18" s="3594" t="s">
        <v>3983</v>
      </c>
      <c r="I18" s="3594">
        <v>18</v>
      </c>
      <c r="J18" s="3594" t="s">
        <v>3984</v>
      </c>
      <c r="K18" s="3594">
        <v>1998</v>
      </c>
      <c r="L18" s="3594" t="s">
        <v>3985</v>
      </c>
      <c r="M18" s="3594"/>
      <c r="N18" s="3594"/>
      <c r="O18" s="3594"/>
      <c r="P18" s="3594"/>
      <c r="Q18" s="3594"/>
      <c r="R18" s="3594"/>
      <c r="S18" s="3594"/>
      <c r="T18" s="3594"/>
      <c r="U18" s="3594"/>
      <c r="V18" s="3594"/>
      <c r="W18" s="3594"/>
      <c r="X18" s="3594"/>
      <c r="Y18" s="3594"/>
      <c r="Z18" s="3594"/>
      <c r="AA18" s="3594"/>
      <c r="AB18" s="3594"/>
      <c r="AC18" s="3594"/>
      <c r="AD18" s="3594"/>
      <c r="AE18" s="3594" t="s">
        <v>3986</v>
      </c>
      <c r="AF18" s="3594">
        <v>2006</v>
      </c>
      <c r="AG18" s="3594">
        <v>6</v>
      </c>
      <c r="AH18" s="3594">
        <v>7</v>
      </c>
      <c r="AI18" s="3594" t="s">
        <v>3987</v>
      </c>
      <c r="AJ18" s="3594">
        <v>60</v>
      </c>
      <c r="AK18" s="3594">
        <f ca="1">AJ18-YEAR(TODAY())+K18</f>
        <v>35</v>
      </c>
    </row>
    <row r="19" spans="1:38" s="3207" customFormat="1" ht="12" customHeight="1">
      <c r="A19" s="3594" t="s">
        <v>3988</v>
      </c>
      <c r="B19" s="3594" t="s">
        <v>3989</v>
      </c>
      <c r="C19" s="3601" t="s">
        <v>3990</v>
      </c>
      <c r="D19" s="3594" t="s">
        <v>3991</v>
      </c>
      <c r="E19" s="3594" t="s">
        <v>3992</v>
      </c>
      <c r="F19" s="3594">
        <v>7</v>
      </c>
      <c r="G19" s="3594" t="s">
        <v>3993</v>
      </c>
      <c r="H19" s="3594" t="s">
        <v>3994</v>
      </c>
      <c r="I19" s="3594" t="s">
        <v>3995</v>
      </c>
      <c r="J19" s="3594" t="s">
        <v>3375</v>
      </c>
      <c r="K19" s="3594">
        <v>1987</v>
      </c>
      <c r="L19" s="3594" t="s">
        <v>3996</v>
      </c>
      <c r="M19" s="3594"/>
      <c r="N19" s="3594"/>
      <c r="O19" s="3594"/>
      <c r="P19" s="3594" t="s">
        <v>3997</v>
      </c>
      <c r="Q19" s="3594" t="s">
        <v>3997</v>
      </c>
      <c r="R19" s="3594" t="s">
        <v>3997</v>
      </c>
      <c r="S19" s="3594" t="s">
        <v>3997</v>
      </c>
      <c r="T19" s="3594" t="s">
        <v>3997</v>
      </c>
      <c r="U19" s="3594" t="s">
        <v>3997</v>
      </c>
      <c r="V19" s="3594" t="s">
        <v>3997</v>
      </c>
      <c r="W19" s="3594"/>
      <c r="X19" s="3594"/>
      <c r="Y19" s="3594"/>
      <c r="Z19" s="3594"/>
      <c r="AA19" s="3594"/>
      <c r="AB19" s="3594"/>
      <c r="AC19" s="3594"/>
      <c r="AD19" s="3594"/>
      <c r="AE19" s="3594" t="s">
        <v>3549</v>
      </c>
      <c r="AF19" s="3594">
        <v>2006</v>
      </c>
      <c r="AG19" s="3594">
        <v>6</v>
      </c>
      <c r="AH19" s="3594">
        <v>9</v>
      </c>
      <c r="AI19" s="3594" t="s">
        <v>3545</v>
      </c>
      <c r="AJ19" s="3594">
        <v>60</v>
      </c>
      <c r="AK19" s="3594">
        <f ca="1">AJ19-YEAR(TODAY())+K19</f>
        <v>24</v>
      </c>
      <c r="AL19" s="3207" t="s">
        <v>3998</v>
      </c>
    </row>
    <row r="20" spans="1:38" s="3207" customFormat="1" ht="12" customHeight="1">
      <c r="A20" s="3594" t="s">
        <v>3552</v>
      </c>
      <c r="B20" s="3594" t="s">
        <v>3999</v>
      </c>
      <c r="C20" s="3601" t="s">
        <v>4000</v>
      </c>
      <c r="D20" s="3594" t="s">
        <v>4001</v>
      </c>
      <c r="E20" s="3594" t="s">
        <v>3992</v>
      </c>
      <c r="F20" s="3594" t="s">
        <v>4002</v>
      </c>
      <c r="G20" s="3594" t="s">
        <v>4003</v>
      </c>
      <c r="H20" s="3594" t="s">
        <v>3994</v>
      </c>
      <c r="I20" s="3594">
        <v>11</v>
      </c>
      <c r="J20" s="3594" t="s">
        <v>3984</v>
      </c>
      <c r="K20" s="3594"/>
      <c r="L20" s="3594"/>
      <c r="M20" s="3594"/>
      <c r="N20" s="3594"/>
      <c r="O20" s="3594"/>
      <c r="P20" s="3594"/>
      <c r="Q20" s="3594"/>
      <c r="R20" s="3594"/>
      <c r="S20" s="3594"/>
      <c r="T20" s="3594"/>
      <c r="U20" s="3594"/>
      <c r="V20" s="3594"/>
      <c r="W20" s="3594"/>
      <c r="X20" s="3594"/>
      <c r="Y20" s="3594"/>
      <c r="Z20" s="3594"/>
      <c r="AA20" s="3594"/>
      <c r="AB20" s="3594"/>
      <c r="AC20" s="3594"/>
      <c r="AD20" s="3594"/>
      <c r="AE20" s="3594" t="s">
        <v>4004</v>
      </c>
      <c r="AF20" s="3594">
        <v>2005</v>
      </c>
      <c r="AG20" s="3594">
        <v>6</v>
      </c>
      <c r="AH20" s="3594">
        <v>2</v>
      </c>
      <c r="AI20" s="3594" t="s">
        <v>4005</v>
      </c>
      <c r="AJ20" s="3594">
        <v>60</v>
      </c>
      <c r="AK20" s="3594">
        <f ca="1">AJ20-YEAR(TODAY())+K20</f>
        <v>-1963</v>
      </c>
    </row>
    <row r="21" spans="1:38" s="3207" customFormat="1" ht="12" customHeight="1">
      <c r="A21" s="3594" t="s">
        <v>4006</v>
      </c>
      <c r="B21" s="3594" t="s">
        <v>4007</v>
      </c>
      <c r="C21" s="3601" t="s">
        <v>3933</v>
      </c>
      <c r="D21" s="3594" t="s">
        <v>4008</v>
      </c>
      <c r="E21" s="3594" t="s">
        <v>4009</v>
      </c>
      <c r="F21" s="3594">
        <v>7</v>
      </c>
      <c r="G21" s="3594" t="s">
        <v>4010</v>
      </c>
      <c r="H21" s="3594" t="s">
        <v>3983</v>
      </c>
      <c r="I21" s="3594">
        <v>17</v>
      </c>
      <c r="J21" s="3594" t="s">
        <v>3984</v>
      </c>
      <c r="K21" s="3594">
        <v>1987</v>
      </c>
      <c r="L21" s="3594" t="s">
        <v>3996</v>
      </c>
      <c r="M21" s="3594"/>
      <c r="N21" s="3594"/>
      <c r="O21" s="3594"/>
      <c r="P21" s="3594"/>
      <c r="Q21" s="3594"/>
      <c r="R21" s="3594"/>
      <c r="S21" s="3594"/>
      <c r="T21" s="3594"/>
      <c r="U21" s="3594"/>
      <c r="V21" s="3594"/>
      <c r="W21" s="3594"/>
      <c r="X21" s="3594"/>
      <c r="Y21" s="3594"/>
      <c r="Z21" s="3594"/>
      <c r="AA21" s="3594"/>
      <c r="AB21" s="3594"/>
      <c r="AC21" s="3594"/>
      <c r="AD21" s="3594"/>
      <c r="AE21" s="3594" t="s">
        <v>3986</v>
      </c>
      <c r="AF21" s="3594">
        <v>2005</v>
      </c>
      <c r="AG21" s="3594">
        <v>11</v>
      </c>
      <c r="AH21" s="3594">
        <v>30</v>
      </c>
      <c r="AI21" s="3594" t="s">
        <v>4011</v>
      </c>
      <c r="AJ21" s="3594">
        <v>60</v>
      </c>
      <c r="AK21" s="3594">
        <f ca="1">AJ21-YEAR(TODAY())+K21</f>
        <v>24</v>
      </c>
    </row>
    <row r="22" spans="1:38" ht="24.75" customHeight="1"/>
    <row r="23" spans="1:38" ht="24.75" customHeight="1"/>
    <row r="24" spans="1:38" ht="24.75" customHeight="1"/>
    <row r="25" spans="1:38" ht="24.75" customHeight="1"/>
    <row r="26" spans="1:38" ht="24.75" customHeight="1"/>
    <row r="27" spans="1:38" ht="24.75" customHeight="1">
      <c r="I27" s="3145">
        <v>100.5</v>
      </c>
      <c r="J27" s="3145">
        <v>101</v>
      </c>
      <c r="K27" s="3145">
        <v>100.5</v>
      </c>
      <c r="L27" s="3145">
        <v>102</v>
      </c>
    </row>
    <row r="28" spans="1:38" ht="24.75" customHeight="1"/>
    <row r="29" spans="1:38" ht="24.75" customHeight="1"/>
    <row r="30" spans="1:38" ht="24.75" customHeight="1"/>
    <row r="31" spans="1:38" ht="24.75" customHeight="1"/>
    <row r="32" spans="1:38" ht="24.75" customHeight="1"/>
  </sheetData>
  <mergeCells count="1">
    <mergeCell ref="O16:R16"/>
  </mergeCells>
  <phoneticPr fontId="134"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sheetPr>
    <pageSetUpPr fitToPage="1"/>
  </sheetPr>
  <dimension ref="A1:R57"/>
  <sheetViews>
    <sheetView zoomScale="90" zoomScaleNormal="90" workbookViewId="0">
      <selection activeCell="B3" sqref="B3"/>
    </sheetView>
  </sheetViews>
  <sheetFormatPr defaultColWidth="9" defaultRowHeight="15.75" customHeight="1"/>
  <cols>
    <col min="1" max="1" width="25.625" style="3578" customWidth="1"/>
    <col min="2" max="2" width="15.625" style="3460" customWidth="1"/>
    <col min="3" max="3" width="6" style="3460" customWidth="1"/>
    <col min="4" max="4" width="7.75" style="3460" customWidth="1"/>
    <col min="5" max="5" width="22.25" style="3460" customWidth="1"/>
    <col min="6" max="6" width="12.375" style="3460" customWidth="1"/>
    <col min="7" max="7" width="9" style="3460"/>
    <col min="8" max="8" width="29" style="3460" customWidth="1"/>
    <col min="9" max="9" width="27.875" style="3460" customWidth="1"/>
    <col min="10" max="10" width="14.375" style="3460" customWidth="1"/>
    <col min="11" max="12" width="9" style="3460"/>
    <col min="13" max="13" width="2.125" style="3460" customWidth="1"/>
    <col min="14" max="14" width="18.125" style="3460" customWidth="1"/>
    <col min="15" max="15" width="10.875" style="3460" customWidth="1"/>
    <col min="16" max="16" width="17.25" style="3460" customWidth="1"/>
    <col min="17" max="17" width="14" style="3460" customWidth="1"/>
    <col min="18" max="16384" width="9" style="3460"/>
  </cols>
  <sheetData>
    <row r="1" spans="1:18" ht="26.25" customHeight="1" thickBot="1">
      <c r="A1" s="3454" t="s">
        <v>3675</v>
      </c>
      <c r="B1" s="3455"/>
      <c r="C1" s="3456"/>
      <c r="D1" s="3456"/>
      <c r="E1" s="3457"/>
      <c r="F1" s="3456"/>
      <c r="G1" s="3456"/>
      <c r="H1" s="3458"/>
      <c r="I1" s="3459"/>
      <c r="J1" s="3459"/>
      <c r="K1" s="3459"/>
      <c r="L1" s="3459"/>
    </row>
    <row r="2" spans="1:18" ht="15.75" customHeight="1" thickTop="1" thickBot="1">
      <c r="A2" s="3461" t="s">
        <v>3676</v>
      </c>
      <c r="B2" s="3462"/>
      <c r="C2" s="3463"/>
      <c r="D2" s="3905" t="s">
        <v>3677</v>
      </c>
      <c r="E2" s="3906"/>
      <c r="F2" s="3906"/>
      <c r="G2" s="3906"/>
      <c r="H2" s="3907"/>
      <c r="I2" s="3464"/>
      <c r="J2" s="3464"/>
      <c r="K2" s="3459"/>
      <c r="L2" s="3459"/>
      <c r="N2" s="3465" t="s">
        <v>3678</v>
      </c>
      <c r="O2" s="3466">
        <f>SUMPRODUCT((N6:N12=B20)*(O5:Q5=B21)*(O6:Q12))</f>
        <v>50</v>
      </c>
    </row>
    <row r="3" spans="1:18" ht="15.75" customHeight="1">
      <c r="A3" s="3467" t="s">
        <v>2499</v>
      </c>
      <c r="B3" s="3468">
        <v>38867</v>
      </c>
      <c r="C3" s="3463"/>
      <c r="D3" s="3469" t="s">
        <v>3679</v>
      </c>
      <c r="E3" s="3470" t="s">
        <v>3680</v>
      </c>
      <c r="F3" s="3470" t="s">
        <v>3681</v>
      </c>
      <c r="G3" s="3470" t="s">
        <v>3682</v>
      </c>
      <c r="H3" s="3471" t="s">
        <v>3683</v>
      </c>
      <c r="I3" s="3472"/>
      <c r="J3" s="3473"/>
      <c r="K3" s="3459"/>
      <c r="L3" s="3459"/>
      <c r="N3" s="3474" t="s">
        <v>3684</v>
      </c>
      <c r="O3" s="3475">
        <f>IF(B22="",O2,YEAR(B3)-B22)</f>
        <v>7</v>
      </c>
    </row>
    <row r="4" spans="1:18" ht="15.75" customHeight="1">
      <c r="A4" s="3476" t="s">
        <v>3685</v>
      </c>
      <c r="B4" s="3468">
        <f>B3</f>
        <v>38867</v>
      </c>
      <c r="C4" s="3463"/>
      <c r="D4" s="3477" t="s">
        <v>3686</v>
      </c>
      <c r="E4" s="3478" t="s">
        <v>3687</v>
      </c>
      <c r="F4" s="3479">
        <f>F5+F8+F9+F10</f>
        <v>6200</v>
      </c>
      <c r="G4" s="3480"/>
      <c r="H4" s="3481" t="s">
        <v>3688</v>
      </c>
      <c r="I4" s="3482"/>
      <c r="J4" s="3459"/>
      <c r="K4" s="3459"/>
      <c r="L4" s="3459"/>
      <c r="N4" s="3474" t="s">
        <v>3689</v>
      </c>
      <c r="O4" s="3483">
        <f>SUMIF(N6:N12,B20,R6:R12)</f>
        <v>0.02</v>
      </c>
      <c r="P4" s="3484"/>
      <c r="Q4" s="3484"/>
    </row>
    <row r="5" spans="1:18" ht="15.75" customHeight="1">
      <c r="A5" s="3485"/>
      <c r="B5" s="3462"/>
      <c r="C5" s="3463"/>
      <c r="D5" s="3486">
        <v>1</v>
      </c>
      <c r="E5" s="3467" t="s">
        <v>3690</v>
      </c>
      <c r="F5" s="3487">
        <f>IF(B4&lt;DATE(2002,12,10),F6,F6-F7)</f>
        <v>6200</v>
      </c>
      <c r="G5" s="3488"/>
      <c r="H5" s="3489" t="s">
        <v>3691</v>
      </c>
      <c r="I5" s="3482"/>
      <c r="J5" s="3459"/>
      <c r="K5" s="3459"/>
      <c r="L5" s="3459"/>
      <c r="N5" s="3490" t="s">
        <v>3692</v>
      </c>
      <c r="O5" s="3491" t="s">
        <v>3693</v>
      </c>
      <c r="P5" s="3491" t="s">
        <v>3694</v>
      </c>
      <c r="Q5" s="3491" t="s">
        <v>3385</v>
      </c>
      <c r="R5" s="3491" t="s">
        <v>3689</v>
      </c>
    </row>
    <row r="6" spans="1:18" ht="15.75" customHeight="1">
      <c r="A6" s="3476" t="s">
        <v>3695</v>
      </c>
      <c r="B6" s="3492"/>
      <c r="C6" s="3463"/>
      <c r="D6" s="3493" t="s">
        <v>3696</v>
      </c>
      <c r="E6" s="3467" t="s">
        <v>3697</v>
      </c>
      <c r="F6" s="3487">
        <f>IF(B4&lt;DATE(2002,12,10),'[1]1993基准地价'!B3,IF(B4&gt;=DATE(2014,8,28),'[1]2014基准地价'!B3,'2002基准地价 (2)'!B3))</f>
        <v>6200</v>
      </c>
      <c r="G6" s="3488"/>
      <c r="H6" s="3494" t="str">
        <f>"采用"&amp;IF(B4&lt;DATE(2002,12,10),"1993版",IF(B4&gt;=DATE(2014,8,28),"2014版","2002版"))&amp;"基准地价系数修正法计算"</f>
        <v>采用2002版基准地价系数修正法计算</v>
      </c>
      <c r="I6" s="3495" t="s">
        <v>3698</v>
      </c>
      <c r="J6" s="3459"/>
      <c r="K6" s="3459"/>
      <c r="L6" s="3459"/>
      <c r="N6" s="3490" t="s">
        <v>3699</v>
      </c>
      <c r="O6" s="3496">
        <v>70</v>
      </c>
      <c r="P6" s="3496">
        <v>50</v>
      </c>
      <c r="Q6" s="3496">
        <v>80</v>
      </c>
      <c r="R6" s="3497">
        <v>0</v>
      </c>
    </row>
    <row r="7" spans="1:18" ht="15.75" customHeight="1">
      <c r="A7" s="3476" t="s">
        <v>3700</v>
      </c>
      <c r="B7" s="3492">
        <v>58.8</v>
      </c>
      <c r="C7" s="3463"/>
      <c r="D7" s="3493" t="s">
        <v>3701</v>
      </c>
      <c r="E7" s="3467" t="s">
        <v>3702</v>
      </c>
      <c r="F7" s="3487">
        <f>IF(B4&lt;DATE(2002,12,10),'[1]1993基准地价'!C14,IF(B4&gt;=DATE(2014,8,28),'[1]2014基准地价'!B4,IF(H7="采用比较法计算",[1]比较法!B3,IF(H7="扣毛地价",'2002基准地价 (2)'!B4,'2002基准地价 (2)'!B5))))</f>
        <v>0</v>
      </c>
      <c r="G7" s="3498"/>
      <c r="H7" s="3499"/>
      <c r="I7" s="3500" t="s">
        <v>3703</v>
      </c>
      <c r="J7" s="3459"/>
      <c r="K7" s="3459"/>
      <c r="L7" s="3459"/>
      <c r="N7" s="3490" t="s">
        <v>3384</v>
      </c>
      <c r="O7" s="3496">
        <v>50</v>
      </c>
      <c r="P7" s="3496">
        <v>35</v>
      </c>
      <c r="Q7" s="3496">
        <v>60</v>
      </c>
      <c r="R7" s="3497">
        <v>0</v>
      </c>
    </row>
    <row r="8" spans="1:18" ht="15.75" customHeight="1">
      <c r="A8" s="3476" t="s">
        <v>3704</v>
      </c>
      <c r="B8" s="3501" t="e">
        <f>ROUND(B7/B6,2)</f>
        <v>#DIV/0!</v>
      </c>
      <c r="C8" s="3463"/>
      <c r="D8" s="3502">
        <v>2</v>
      </c>
      <c r="E8" s="3476" t="s">
        <v>3705</v>
      </c>
      <c r="F8" s="3503">
        <f>ROUND(F5*G8,0)</f>
        <v>0</v>
      </c>
      <c r="G8" s="3504"/>
      <c r="H8" s="3505"/>
      <c r="I8" s="3482" t="s">
        <v>3706</v>
      </c>
      <c r="J8" s="3459"/>
      <c r="K8" s="3459"/>
      <c r="L8" s="3459"/>
      <c r="N8" s="3490" t="s">
        <v>3435</v>
      </c>
      <c r="O8" s="3496">
        <v>40</v>
      </c>
      <c r="P8" s="3496">
        <v>30</v>
      </c>
      <c r="Q8" s="3496">
        <v>50</v>
      </c>
      <c r="R8" s="3497">
        <v>0.02</v>
      </c>
    </row>
    <row r="9" spans="1:18" ht="15.75" customHeight="1">
      <c r="A9" s="3476" t="s">
        <v>3590</v>
      </c>
      <c r="B9" s="3492">
        <v>2</v>
      </c>
      <c r="C9" s="3463"/>
      <c r="D9" s="3502">
        <v>3</v>
      </c>
      <c r="E9" s="3476" t="s">
        <v>3707</v>
      </c>
      <c r="F9" s="3503">
        <f>ROUND(F5*(POWER((1+G9),B24)-1)+F8*(POWER((1+G9),B24/2)-1),0)</f>
        <v>0</v>
      </c>
      <c r="G9" s="3506">
        <f>[1]存贷款利率!G2</f>
        <v>0.03</v>
      </c>
      <c r="H9" s="3507" t="str">
        <f>"计息期为"&amp;B24&amp;"年，"&amp;"复利计息"</f>
        <v>计息期为0年，复利计息</v>
      </c>
      <c r="I9" s="3508"/>
      <c r="J9" s="3509"/>
      <c r="K9" s="3459"/>
      <c r="L9" s="3459"/>
      <c r="N9" s="3490" t="s">
        <v>3708</v>
      </c>
      <c r="O9" s="3496">
        <v>30</v>
      </c>
      <c r="P9" s="3496">
        <v>20</v>
      </c>
      <c r="Q9" s="3496">
        <v>40</v>
      </c>
      <c r="R9" s="3497">
        <v>0.06</v>
      </c>
    </row>
    <row r="10" spans="1:18" ht="15.75" customHeight="1" thickBot="1">
      <c r="A10" s="3476" t="s">
        <v>675</v>
      </c>
      <c r="B10" s="3510" t="s">
        <v>296</v>
      </c>
      <c r="C10" s="3463"/>
      <c r="D10" s="3511">
        <v>4</v>
      </c>
      <c r="E10" s="3512" t="s">
        <v>3709</v>
      </c>
      <c r="F10" s="3513">
        <f>ROUND((F5+F8)*G10,0)</f>
        <v>0</v>
      </c>
      <c r="G10" s="3514"/>
      <c r="H10" s="3515" t="s">
        <v>3710</v>
      </c>
      <c r="I10" s="3516" t="s">
        <v>3711</v>
      </c>
      <c r="J10" s="3517"/>
      <c r="K10" s="3459"/>
      <c r="L10" s="3459"/>
      <c r="N10" s="3490" t="s">
        <v>3712</v>
      </c>
      <c r="O10" s="3496">
        <v>30</v>
      </c>
      <c r="P10" s="3496">
        <v>20</v>
      </c>
      <c r="Q10" s="3496">
        <v>40</v>
      </c>
      <c r="R10" s="3497">
        <v>0.04</v>
      </c>
    </row>
    <row r="11" spans="1:18" ht="15.75" customHeight="1" thickTop="1">
      <c r="A11" s="3476" t="s">
        <v>3713</v>
      </c>
      <c r="B11" s="3518"/>
      <c r="C11" s="3463"/>
      <c r="D11" s="3519" t="s">
        <v>3714</v>
      </c>
      <c r="E11" s="3520" t="s">
        <v>3715</v>
      </c>
      <c r="F11" s="3479">
        <f>F12+F20+F21+F22</f>
        <v>0</v>
      </c>
      <c r="G11" s="3521"/>
      <c r="H11" s="3522" t="s">
        <v>3688</v>
      </c>
      <c r="I11" s="3482"/>
      <c r="J11" s="3459"/>
      <c r="K11" s="3459"/>
      <c r="L11" s="3459"/>
      <c r="N11" s="3490" t="s">
        <v>3716</v>
      </c>
      <c r="O11" s="3496">
        <v>30</v>
      </c>
      <c r="P11" s="3496">
        <v>20</v>
      </c>
      <c r="Q11" s="3496">
        <v>40</v>
      </c>
      <c r="R11" s="3497">
        <v>0.03</v>
      </c>
    </row>
    <row r="12" spans="1:18" ht="15.75" customHeight="1">
      <c r="A12" s="3476" t="s">
        <v>3717</v>
      </c>
      <c r="B12" s="3523" t="s">
        <v>3639</v>
      </c>
      <c r="C12" s="3463"/>
      <c r="D12" s="3502">
        <v>1</v>
      </c>
      <c r="E12" s="3476" t="s">
        <v>3718</v>
      </c>
      <c r="F12" s="3503">
        <f>F13+F16+F17</f>
        <v>0</v>
      </c>
      <c r="G12" s="3524"/>
      <c r="H12" s="3525" t="s">
        <v>3719</v>
      </c>
      <c r="I12" s="3482"/>
      <c r="J12" s="3459"/>
      <c r="K12" s="3459"/>
      <c r="L12" s="3459"/>
      <c r="N12" s="3490" t="s">
        <v>3720</v>
      </c>
      <c r="O12" s="3496">
        <v>10</v>
      </c>
      <c r="P12" s="3496">
        <v>10</v>
      </c>
      <c r="Q12" s="3496">
        <v>10</v>
      </c>
      <c r="R12" s="3497">
        <v>0</v>
      </c>
    </row>
    <row r="13" spans="1:18" ht="15.75" customHeight="1">
      <c r="A13" s="3476" t="s">
        <v>2500</v>
      </c>
      <c r="B13" s="3526">
        <v>70</v>
      </c>
      <c r="C13" s="3463"/>
      <c r="D13" s="3493" t="s">
        <v>3696</v>
      </c>
      <c r="E13" s="3476" t="s">
        <v>3721</v>
      </c>
      <c r="F13" s="3503">
        <f>F14+F15</f>
        <v>0</v>
      </c>
      <c r="G13" s="3524"/>
      <c r="H13" s="3525" t="s">
        <v>3722</v>
      </c>
      <c r="I13" s="3482"/>
      <c r="J13" s="3459"/>
      <c r="K13" s="3459"/>
      <c r="L13" s="3459"/>
    </row>
    <row r="14" spans="1:18" ht="15.75" customHeight="1">
      <c r="A14" s="3476" t="s">
        <v>2501</v>
      </c>
      <c r="B14" s="3527"/>
      <c r="C14" s="3463"/>
      <c r="D14" s="3502" t="s">
        <v>3723</v>
      </c>
      <c r="E14" s="3476" t="s">
        <v>3724</v>
      </c>
      <c r="F14" s="3528"/>
      <c r="G14" s="3529"/>
      <c r="H14" s="3494"/>
      <c r="I14" s="3482"/>
      <c r="J14" s="3459"/>
      <c r="K14" s="3459"/>
      <c r="L14" s="3459"/>
    </row>
    <row r="15" spans="1:18" ht="15.75" customHeight="1">
      <c r="A15" s="3476" t="s">
        <v>2502</v>
      </c>
      <c r="B15" s="3530">
        <f>IF(B14="",B13-(YEAR($B$4)-B22+B23+B24),ROUNDDOWN(MIN((B14-$B$4)/365,B13),2))</f>
        <v>61</v>
      </c>
      <c r="C15" s="3463"/>
      <c r="D15" s="3502" t="s">
        <v>3725</v>
      </c>
      <c r="E15" s="3476" t="s">
        <v>3726</v>
      </c>
      <c r="F15" s="3528"/>
      <c r="G15" s="3529"/>
      <c r="H15" s="3494"/>
      <c r="I15" s="3482"/>
      <c r="J15" s="3459"/>
      <c r="K15" s="3459"/>
      <c r="L15" s="3459"/>
    </row>
    <row r="16" spans="1:18" ht="15.75" customHeight="1">
      <c r="A16" s="3476" t="s">
        <v>3727</v>
      </c>
      <c r="B16" s="3492">
        <v>70</v>
      </c>
      <c r="C16" s="3463"/>
      <c r="D16" s="3493" t="s">
        <v>3701</v>
      </c>
      <c r="E16" s="3476" t="s">
        <v>3728</v>
      </c>
      <c r="F16" s="3487">
        <f>ROUND(F13*G16,0)</f>
        <v>0</v>
      </c>
      <c r="G16" s="3531"/>
      <c r="H16" s="3532" t="s">
        <v>3729</v>
      </c>
      <c r="I16" s="3508" t="s">
        <v>3730</v>
      </c>
      <c r="J16" s="3459"/>
      <c r="K16" s="3459"/>
      <c r="L16" s="3459"/>
    </row>
    <row r="17" spans="1:18" ht="15.75" customHeight="1">
      <c r="A17" s="3476" t="s">
        <v>3604</v>
      </c>
      <c r="B17" s="3533">
        <f>IF(B4&lt;DATE(2002,12,10),'[1]1993基准地价'!C23,IF(B4&gt;=DATE(2014,8,28),'[1]2014基准地价'!G20,'2002基准地价 (2)'!E10))</f>
        <v>0.04</v>
      </c>
      <c r="C17" s="3463"/>
      <c r="D17" s="3493" t="s">
        <v>3731</v>
      </c>
      <c r="E17" s="3476" t="s">
        <v>3732</v>
      </c>
      <c r="F17" s="3503">
        <f>F18+F19</f>
        <v>0</v>
      </c>
      <c r="G17" s="3524"/>
      <c r="H17" s="3525" t="s">
        <v>3722</v>
      </c>
      <c r="I17" s="3459"/>
      <c r="J17" s="3459"/>
      <c r="K17" s="3459"/>
      <c r="L17" s="3459"/>
    </row>
    <row r="18" spans="1:18" ht="15.75" customHeight="1">
      <c r="A18" s="3476" t="s">
        <v>2503</v>
      </c>
      <c r="B18" s="3534">
        <f>IF(ISERROR(ROUND(POWER(1+B17,B13-B15)*(POWER(1+B17,B15)-1)/(POWER(1+B17,B13)-1),3)),0,ROUND(POWER(1+B17,B13-B15)*(POWER(1+B17,B15)-1)/(POWER(1+B17,B13)-1),3))</f>
        <v>0.97099999999999997</v>
      </c>
      <c r="C18" s="3463"/>
      <c r="D18" s="3502" t="s">
        <v>3723</v>
      </c>
      <c r="E18" s="3476" t="s">
        <v>3733</v>
      </c>
      <c r="F18" s="3487">
        <f>ROUND(IF(B12="住宅/居住",F13*G18,0),0)</f>
        <v>0</v>
      </c>
      <c r="G18" s="3531"/>
      <c r="H18" s="3532" t="s">
        <v>3729</v>
      </c>
      <c r="I18" s="3508" t="s">
        <v>3734</v>
      </c>
      <c r="J18" s="3459" t="s">
        <v>3735</v>
      </c>
      <c r="K18" s="3459"/>
      <c r="L18" s="3459"/>
    </row>
    <row r="19" spans="1:18" ht="15.75" customHeight="1">
      <c r="A19" s="3482"/>
      <c r="B19" s="3459"/>
      <c r="C19" s="3463"/>
      <c r="D19" s="3502" t="s">
        <v>3725</v>
      </c>
      <c r="E19" s="3476" t="s">
        <v>3736</v>
      </c>
      <c r="F19" s="3487">
        <f>ROUND(F13*G19,0)</f>
        <v>0</v>
      </c>
      <c r="G19" s="3531"/>
      <c r="H19" s="3532" t="s">
        <v>3729</v>
      </c>
      <c r="I19" s="3508" t="s">
        <v>3737</v>
      </c>
      <c r="J19" s="3459"/>
      <c r="K19" s="3459"/>
      <c r="L19" s="3459"/>
    </row>
    <row r="20" spans="1:18" ht="15.75" customHeight="1">
      <c r="A20" s="3476" t="s">
        <v>3738</v>
      </c>
      <c r="B20" s="3535" t="s">
        <v>3435</v>
      </c>
      <c r="C20" s="3463"/>
      <c r="D20" s="3502">
        <v>2</v>
      </c>
      <c r="E20" s="3476" t="s">
        <v>3705</v>
      </c>
      <c r="F20" s="3503">
        <f>ROUND(F12*G20,0)</f>
        <v>0</v>
      </c>
      <c r="G20" s="3504"/>
      <c r="H20" s="3494"/>
      <c r="I20" s="3508" t="s">
        <v>3739</v>
      </c>
      <c r="J20" s="3459"/>
      <c r="K20" s="3459"/>
      <c r="L20" s="3459"/>
    </row>
    <row r="21" spans="1:18" ht="15.75" customHeight="1">
      <c r="A21" s="3476" t="s">
        <v>3740</v>
      </c>
      <c r="B21" s="3536" t="s">
        <v>3385</v>
      </c>
      <c r="C21" s="3463"/>
      <c r="D21" s="3537">
        <v>3</v>
      </c>
      <c r="E21" s="3538" t="s">
        <v>3707</v>
      </c>
      <c r="F21" s="3539">
        <f>ROUND((F12+F20)*(POWER((1+G21),B23/2)-1),0)</f>
        <v>0</v>
      </c>
      <c r="G21" s="3540">
        <f>[1]存贷款利率!G1</f>
        <v>5.8499999999999996E-2</v>
      </c>
      <c r="H21" s="3507" t="str">
        <f>"计息期为"&amp;B23&amp;"年，"&amp;"复利计息"</f>
        <v>计息期为2年，复利计息</v>
      </c>
      <c r="I21" s="3541"/>
      <c r="J21" s="3472"/>
      <c r="K21" s="3459"/>
      <c r="L21" s="3459"/>
    </row>
    <row r="22" spans="1:18" ht="15.75" customHeight="1" thickBot="1">
      <c r="A22" s="3476" t="s">
        <v>3741</v>
      </c>
      <c r="B22" s="3542">
        <v>1999</v>
      </c>
      <c r="C22" s="3463"/>
      <c r="D22" s="3511">
        <v>4</v>
      </c>
      <c r="E22" s="3512" t="s">
        <v>3709</v>
      </c>
      <c r="F22" s="3513">
        <f>ROUND((F12+F20)*G22,0)</f>
        <v>0</v>
      </c>
      <c r="G22" s="3514"/>
      <c r="H22" s="3515" t="s">
        <v>3710</v>
      </c>
      <c r="I22" s="3541" t="str">
        <f>IF(B12="商业","商业用途35%-50%",IF(B12="工业","工业用途18%-28%",IF(B12="办公/综合","办公用途25%-40%","居住用途30%-50%")))</f>
        <v>居住用途30%-50%</v>
      </c>
      <c r="J22" s="3459"/>
      <c r="K22" s="3459"/>
      <c r="L22" s="3459"/>
    </row>
    <row r="23" spans="1:18" ht="15.75" customHeight="1" thickTop="1">
      <c r="A23" s="3476" t="s">
        <v>3742</v>
      </c>
      <c r="B23" s="3543">
        <v>2</v>
      </c>
      <c r="C23" s="3459"/>
      <c r="D23" s="3519" t="s">
        <v>3743</v>
      </c>
      <c r="E23" s="3520" t="s">
        <v>3744</v>
      </c>
      <c r="F23" s="3479"/>
      <c r="G23" s="3544"/>
      <c r="H23" s="3545"/>
      <c r="I23" s="3546"/>
      <c r="J23" s="3459"/>
      <c r="K23" s="3459"/>
      <c r="L23" s="3459"/>
    </row>
    <row r="24" spans="1:18" ht="15.75" customHeight="1">
      <c r="A24" s="3476" t="s">
        <v>3745</v>
      </c>
      <c r="B24" s="3543">
        <v>0</v>
      </c>
      <c r="C24" s="3459"/>
      <c r="D24" s="3486">
        <v>1</v>
      </c>
      <c r="E24" s="3467" t="s">
        <v>3746</v>
      </c>
      <c r="F24" s="3487">
        <f>F4+F11</f>
        <v>6200</v>
      </c>
      <c r="G24" s="3547"/>
      <c r="H24" s="3505"/>
      <c r="I24" s="3546"/>
      <c r="J24" s="3459"/>
      <c r="K24" s="3459"/>
      <c r="L24" s="3459"/>
    </row>
    <row r="25" spans="1:18" ht="15.75" customHeight="1" thickBot="1">
      <c r="A25" s="3548"/>
      <c r="B25" s="3459"/>
      <c r="C25" s="3459"/>
      <c r="D25" s="3549">
        <v>2</v>
      </c>
      <c r="E25" s="3550" t="s">
        <v>3583</v>
      </c>
      <c r="F25" s="3551">
        <f>ROUND(F24*B7/10000,4)</f>
        <v>36.456000000000003</v>
      </c>
      <c r="G25" s="3552"/>
      <c r="H25" s="3553"/>
      <c r="I25" s="3546"/>
      <c r="J25" s="3459"/>
      <c r="K25" s="3459"/>
      <c r="L25" s="3459"/>
    </row>
    <row r="26" spans="1:18" ht="15.75" customHeight="1" thickBot="1">
      <c r="A26" s="3548"/>
      <c r="B26" s="3459"/>
      <c r="C26" s="3459"/>
      <c r="D26" s="3908" t="s">
        <v>3747</v>
      </c>
      <c r="E26" s="3909"/>
      <c r="F26" s="3909"/>
      <c r="G26" s="3909"/>
      <c r="H26" s="3910"/>
      <c r="I26" s="3482"/>
      <c r="J26" s="3464"/>
      <c r="K26" s="3459"/>
      <c r="L26" s="3459"/>
    </row>
    <row r="27" spans="1:18" ht="15.75" customHeight="1">
      <c r="A27" s="3548"/>
      <c r="B27" s="3459"/>
      <c r="C27" s="3459"/>
      <c r="D27" s="3554" t="s">
        <v>3679</v>
      </c>
      <c r="E27" s="3555" t="s">
        <v>3680</v>
      </c>
      <c r="F27" s="3470" t="s">
        <v>3748</v>
      </c>
      <c r="G27" s="3470" t="s">
        <v>3749</v>
      </c>
      <c r="H27" s="3556"/>
      <c r="I27" s="3557"/>
      <c r="J27" s="3472"/>
      <c r="K27" s="3459"/>
      <c r="L27" s="3459"/>
    </row>
    <row r="28" spans="1:18" ht="15.75" customHeight="1" thickBot="1">
      <c r="A28" s="3548"/>
      <c r="B28" s="3459"/>
      <c r="C28" s="3459"/>
      <c r="D28" s="3486" t="s">
        <v>3686</v>
      </c>
      <c r="E28" s="3467" t="s">
        <v>3750</v>
      </c>
      <c r="F28" s="3558">
        <f>ROUND(IF(AND(B12&lt;&gt;"住宅/居住",B13&lt;O2),1-(1-O4)*O3/B13,1-(1-O4)*O3/O2),2)</f>
        <v>0.86</v>
      </c>
      <c r="G28" s="3559"/>
      <c r="H28" s="3560"/>
      <c r="I28" s="3482" t="s">
        <v>3751</v>
      </c>
      <c r="J28" s="3459"/>
      <c r="K28" s="3459"/>
      <c r="L28" s="3459"/>
    </row>
    <row r="29" spans="1:18" ht="15.75" customHeight="1">
      <c r="A29" s="3548"/>
      <c r="B29" s="3459"/>
      <c r="C29" s="3459"/>
      <c r="D29" s="3486" t="s">
        <v>3752</v>
      </c>
      <c r="E29" s="3467" t="s">
        <v>3753</v>
      </c>
      <c r="F29" s="3558">
        <f>ROUND((F30*G30+F31*G31+F32*G32)/100,2)</f>
        <v>0</v>
      </c>
      <c r="G29" s="3558">
        <f>1-G28</f>
        <v>1</v>
      </c>
      <c r="H29" s="3494"/>
      <c r="I29" s="3482"/>
      <c r="J29" s="3459"/>
      <c r="K29" s="3459"/>
      <c r="L29" s="3459"/>
      <c r="N29" s="3561"/>
      <c r="O29" s="3562" t="s">
        <v>3754</v>
      </c>
      <c r="P29" s="3562" t="s">
        <v>3435</v>
      </c>
      <c r="Q29" s="3562" t="s">
        <v>3384</v>
      </c>
      <c r="R29" s="3563" t="s">
        <v>3699</v>
      </c>
    </row>
    <row r="30" spans="1:18" ht="15.75" customHeight="1">
      <c r="A30" s="3548"/>
      <c r="B30" s="3459"/>
      <c r="C30" s="3459"/>
      <c r="D30" s="3486">
        <v>1</v>
      </c>
      <c r="E30" s="3564" t="s">
        <v>3755</v>
      </c>
      <c r="F30" s="3565"/>
      <c r="G30" s="3558">
        <f>IF(ISNUMBER(FIND("砖木",B20)),O30,SUMPRODUCT((N30:N32=E30)*(O29:R29=B20)*(O30:R32)))</f>
        <v>0.2</v>
      </c>
      <c r="H30" s="3560"/>
      <c r="I30" s="3911" t="s">
        <v>3756</v>
      </c>
      <c r="J30" s="3566"/>
      <c r="K30" s="3459"/>
      <c r="L30" s="3459"/>
      <c r="N30" s="3567" t="s">
        <v>3755</v>
      </c>
      <c r="O30" s="3568">
        <v>0.2</v>
      </c>
      <c r="P30" s="3568">
        <v>0.2</v>
      </c>
      <c r="Q30" s="3568">
        <v>0.2</v>
      </c>
      <c r="R30" s="3569">
        <v>0.25</v>
      </c>
    </row>
    <row r="31" spans="1:18" ht="15.75" customHeight="1">
      <c r="A31" s="3548"/>
      <c r="B31" s="3459"/>
      <c r="C31" s="3459"/>
      <c r="D31" s="3486">
        <v>2</v>
      </c>
      <c r="E31" s="3564" t="s">
        <v>3757</v>
      </c>
      <c r="F31" s="3487">
        <f>F30</f>
        <v>0</v>
      </c>
      <c r="G31" s="3558">
        <f>IF(ISNUMBER(FIND("砖木",B20)),O31,SUMPRODUCT((N30:N32=E31)*(O29:R29=B20)*(O30:R32)))</f>
        <v>0.45</v>
      </c>
      <c r="H31" s="3560"/>
      <c r="I31" s="3911"/>
      <c r="J31" s="3566"/>
      <c r="K31" s="3459"/>
      <c r="L31" s="3459"/>
      <c r="N31" s="3567" t="s">
        <v>3757</v>
      </c>
      <c r="O31" s="3568">
        <v>0.55000000000000004</v>
      </c>
      <c r="P31" s="3568">
        <v>0.45</v>
      </c>
      <c r="Q31" s="3568">
        <v>0.5</v>
      </c>
      <c r="R31" s="3569">
        <v>0.55000000000000004</v>
      </c>
    </row>
    <row r="32" spans="1:18" ht="15.75" customHeight="1">
      <c r="A32" s="3548"/>
      <c r="B32" s="3459"/>
      <c r="C32" s="3459"/>
      <c r="D32" s="3486">
        <v>3</v>
      </c>
      <c r="E32" s="3564" t="s">
        <v>3758</v>
      </c>
      <c r="F32" s="3487">
        <f>F31</f>
        <v>0</v>
      </c>
      <c r="G32" s="3558">
        <f>IF(ISNUMBER(FIND("砖木",B20)),O32,SUMPRODUCT((N30:N32=E32)*(O29:R29=B20)*(O30:R32)))</f>
        <v>0.35</v>
      </c>
      <c r="H32" s="3560"/>
      <c r="I32" s="3911"/>
      <c r="J32" s="3566"/>
      <c r="K32" s="3459"/>
      <c r="L32" s="3459"/>
      <c r="N32" s="3567" t="s">
        <v>3758</v>
      </c>
      <c r="O32" s="3568">
        <v>0.25</v>
      </c>
      <c r="P32" s="3568">
        <v>0.35</v>
      </c>
      <c r="Q32" s="3568">
        <v>0.3</v>
      </c>
      <c r="R32" s="3569">
        <v>0.2</v>
      </c>
    </row>
    <row r="33" spans="1:18" ht="15.75" customHeight="1" thickBot="1">
      <c r="A33" s="3548"/>
      <c r="B33" s="3459"/>
      <c r="C33" s="3459"/>
      <c r="D33" s="3570" t="s">
        <v>3743</v>
      </c>
      <c r="E33" s="3550" t="s">
        <v>3759</v>
      </c>
      <c r="F33" s="3571">
        <f>ROUND(F28*G28+F29*G29,2)</f>
        <v>0</v>
      </c>
      <c r="G33" s="3552"/>
      <c r="H33" s="3553"/>
      <c r="I33" s="3459"/>
      <c r="J33" s="3459"/>
      <c r="K33" s="3459"/>
      <c r="L33" s="3459"/>
      <c r="N33" s="3572"/>
      <c r="O33" s="3573">
        <f>SUM(O30:O32)</f>
        <v>1</v>
      </c>
      <c r="P33" s="3573">
        <f t="shared" ref="P33:R33" si="0">SUM(P30:P32)</f>
        <v>1</v>
      </c>
      <c r="Q33" s="3573">
        <f t="shared" si="0"/>
        <v>1</v>
      </c>
      <c r="R33" s="3574">
        <f t="shared" si="0"/>
        <v>1</v>
      </c>
    </row>
    <row r="34" spans="1:18" ht="15.75" customHeight="1" thickBot="1">
      <c r="A34" s="3548"/>
      <c r="B34" s="3459"/>
      <c r="C34" s="3459"/>
      <c r="D34" s="3908" t="s">
        <v>3760</v>
      </c>
      <c r="E34" s="3909"/>
      <c r="F34" s="3909"/>
      <c r="G34" s="3909"/>
      <c r="H34" s="3910"/>
      <c r="I34" s="3464"/>
      <c r="J34" s="3464"/>
      <c r="K34" s="3459"/>
      <c r="L34" s="3459"/>
    </row>
    <row r="35" spans="1:18" ht="15.75" customHeight="1">
      <c r="A35" s="3548"/>
      <c r="B35" s="3459"/>
      <c r="C35" s="3459"/>
      <c r="D35" s="3486" t="s">
        <v>3686</v>
      </c>
      <c r="E35" s="3575" t="s">
        <v>3761</v>
      </c>
      <c r="F35" s="3576">
        <f>ROUND(F24*F33,0)</f>
        <v>0</v>
      </c>
      <c r="G35" s="3912" t="s">
        <v>3762</v>
      </c>
      <c r="H35" s="3913"/>
      <c r="I35" s="3473"/>
      <c r="J35" s="3473"/>
      <c r="K35" s="3459"/>
      <c r="L35" s="3459"/>
    </row>
    <row r="36" spans="1:18" ht="15.75" customHeight="1" thickBot="1">
      <c r="A36" s="3548"/>
      <c r="B36" s="3459"/>
      <c r="C36" s="3459"/>
      <c r="D36" s="3549" t="s">
        <v>3752</v>
      </c>
      <c r="E36" s="3550" t="s">
        <v>3763</v>
      </c>
      <c r="F36" s="3577">
        <f>ROUND(F25*F33,4)</f>
        <v>0</v>
      </c>
      <c r="G36" s="3903" t="s">
        <v>3764</v>
      </c>
      <c r="H36" s="3904"/>
      <c r="I36" s="3473"/>
      <c r="J36" s="3473"/>
      <c r="K36" s="3459"/>
      <c r="L36" s="3459"/>
    </row>
    <row r="37" spans="1:18" ht="15.75" customHeight="1">
      <c r="A37" s="3548"/>
      <c r="B37" s="3459"/>
    </row>
    <row r="38" spans="1:18" ht="15.75" customHeight="1">
      <c r="A38" s="3548"/>
      <c r="B38" s="3459"/>
    </row>
    <row r="39" spans="1:18" ht="15.75" customHeight="1">
      <c r="A39" s="3548"/>
      <c r="B39" s="3459"/>
    </row>
    <row r="43" spans="1:18" ht="15.75" customHeight="1">
      <c r="N43" s="3579"/>
      <c r="O43" s="3579"/>
    </row>
    <row r="44" spans="1:18" ht="15.75" customHeight="1">
      <c r="N44" s="3579"/>
      <c r="O44" s="3579"/>
    </row>
    <row r="45" spans="1:18" ht="15.75" customHeight="1">
      <c r="N45" s="3579"/>
      <c r="O45" s="3579"/>
    </row>
    <row r="46" spans="1:18" ht="15.75" customHeight="1">
      <c r="N46" s="3579"/>
      <c r="O46" s="3579"/>
    </row>
    <row r="51" spans="1:13" ht="15.75" customHeight="1">
      <c r="G51" s="3580" t="s">
        <v>3765</v>
      </c>
    </row>
    <row r="52" spans="1:13" ht="15.75" customHeight="1">
      <c r="C52" s="3581" t="s">
        <v>3766</v>
      </c>
      <c r="D52" s="3581"/>
      <c r="E52" s="3581"/>
      <c r="F52" s="3581"/>
      <c r="G52" s="3582" t="s">
        <v>3767</v>
      </c>
      <c r="I52" s="3579"/>
      <c r="J52" s="3579"/>
      <c r="K52" s="3579"/>
      <c r="L52" s="3579"/>
      <c r="M52" s="3579"/>
    </row>
    <row r="53" spans="1:13" ht="15.75" customHeight="1">
      <c r="A53" s="3583" t="s">
        <v>3685</v>
      </c>
      <c r="B53" s="3581" t="s">
        <v>3768</v>
      </c>
      <c r="C53" s="3584" t="s">
        <v>3769</v>
      </c>
      <c r="D53" s="3584"/>
      <c r="E53" s="3584"/>
      <c r="F53" s="3584"/>
      <c r="G53" s="3582" t="s">
        <v>3770</v>
      </c>
      <c r="I53" s="3579"/>
      <c r="J53" s="3579"/>
      <c r="K53" s="3579"/>
      <c r="L53" s="3579"/>
      <c r="M53" s="3579"/>
    </row>
    <row r="54" spans="1:13" ht="15.75" customHeight="1">
      <c r="A54" s="3585" t="s">
        <v>3771</v>
      </c>
      <c r="B54" s="3584" t="s">
        <v>3772</v>
      </c>
      <c r="C54" s="3584" t="s">
        <v>3773</v>
      </c>
      <c r="D54" s="3584"/>
      <c r="E54" s="3584"/>
      <c r="F54" s="3584"/>
      <c r="G54" s="3582" t="s">
        <v>3774</v>
      </c>
      <c r="I54" s="3579"/>
      <c r="J54" s="3579"/>
      <c r="K54" s="3579"/>
      <c r="L54" s="3579"/>
      <c r="M54" s="3579"/>
    </row>
    <row r="55" spans="1:13" ht="15.75" customHeight="1">
      <c r="A55" s="3585" t="s">
        <v>3775</v>
      </c>
      <c r="B55" s="3584" t="s">
        <v>3776</v>
      </c>
      <c r="C55" s="3584" t="s">
        <v>3777</v>
      </c>
      <c r="D55" s="3584"/>
      <c r="E55" s="3584"/>
      <c r="F55" s="3584"/>
      <c r="G55" s="3582" t="s">
        <v>3778</v>
      </c>
      <c r="I55" s="3579"/>
      <c r="J55" s="3579"/>
      <c r="K55" s="3579"/>
      <c r="L55" s="3579"/>
      <c r="M55" s="3579"/>
    </row>
    <row r="56" spans="1:13" ht="15.75" customHeight="1">
      <c r="A56" s="3585" t="s">
        <v>3779</v>
      </c>
      <c r="B56" s="3584" t="s">
        <v>3780</v>
      </c>
    </row>
    <row r="57" spans="1:13" ht="15.75" customHeight="1">
      <c r="A57" s="3586"/>
      <c r="B57" s="3587"/>
    </row>
  </sheetData>
  <sheetProtection password="CEE9" sheet="1" objects="1" scenarios="1" formatCells="0"/>
  <mergeCells count="6">
    <mergeCell ref="G36:H36"/>
    <mergeCell ref="D2:H2"/>
    <mergeCell ref="D26:H26"/>
    <mergeCell ref="I30:I32"/>
    <mergeCell ref="D34:H34"/>
    <mergeCell ref="G35:H35"/>
  </mergeCells>
  <phoneticPr fontId="134" type="noConversion"/>
  <dataValidations count="20">
    <dataValidation type="decimal" operator="lessThanOrEqual" allowBlank="1" showInputMessage="1" showErrorMessage="1" sqref="B23:B24">
      <formula1>3</formula1>
    </dataValidation>
    <dataValidation type="whole" operator="lessThanOrEqual" allowBlank="1" showInputMessage="1" showErrorMessage="1" sqref="P33:R33">
      <formula1>1</formula1>
    </dataValidation>
    <dataValidation type="decimal" allowBlank="1" showInputMessage="1" showErrorMessage="1" sqref="Q32">
      <formula1>0.2</formula1>
      <formula2>0.4</formula2>
    </dataValidation>
    <dataValidation type="decimal" allowBlank="1" showInputMessage="1" showErrorMessage="1" sqref="P32">
      <formula1>0.25</formula1>
      <formula2>0.45</formula2>
    </dataValidation>
    <dataValidation type="decimal" allowBlank="1" showInputMessage="1" showErrorMessage="1" sqref="Q31">
      <formula1>0.4</formula1>
      <formula2>0.6</formula2>
    </dataValidation>
    <dataValidation type="decimal" allowBlank="1" showInputMessage="1" showErrorMessage="1" sqref="P31">
      <formula1>0.35</formula1>
      <formula2>0.55</formula2>
    </dataValidation>
    <dataValidation type="whole" allowBlank="1" showInputMessage="1" showErrorMessage="1" sqref="O33">
      <formula1>1</formula1>
      <formula2>1</formula2>
    </dataValidation>
    <dataValidation type="decimal" allowBlank="1" showInputMessage="1" showErrorMessage="1" sqref="O31 R31">
      <formula1>0.45</formula1>
      <formula2>0.65</formula2>
    </dataValidation>
    <dataValidation type="decimal" allowBlank="1" showInputMessage="1" showErrorMessage="1" sqref="R30 O32">
      <formula1>0.15</formula1>
      <formula2>0.35</formula2>
    </dataValidation>
    <dataValidation type="decimal" allowBlank="1" showInputMessage="1" showErrorMessage="1" sqref="O30:Q30 R32">
      <formula1>0.1</formula1>
      <formula2>0.3</formula2>
    </dataValidation>
    <dataValidation type="decimal" allowBlank="1" showInputMessage="1" showErrorMessage="1" sqref="G28">
      <formula1>0.3</formula1>
      <formula2>1</formula2>
    </dataValidation>
    <dataValidation type="list" allowBlank="1" showInputMessage="1" showErrorMessage="1" sqref="B21">
      <formula1>"非生产用房,生产用房,受腐蚀的生产用房"</formula1>
    </dataValidation>
    <dataValidation type="list" allowBlank="1" showInputMessage="1" showErrorMessage="1" sqref="B12">
      <formula1>地类判定</formula1>
    </dataValidation>
    <dataValidation type="list" allowBlank="1" showInputMessage="1" showErrorMessage="1" sqref="B10">
      <formula1>土地级别</formula1>
    </dataValidation>
    <dataValidation type="list" allowBlank="1" showInputMessage="1" showErrorMessage="1" sqref="B20">
      <formula1>结构</formula1>
    </dataValidation>
    <dataValidation type="decimal" allowBlank="1" showInputMessage="1" showErrorMessage="1" sqref="G8">
      <formula1>0.01</formula1>
      <formula2>0.03</formula2>
    </dataValidation>
    <dataValidation type="list" allowBlank="1" showInputMessage="1" showErrorMessage="1" sqref="H7">
      <formula1>"采用比较法计算,扣毛地价,扣出让金"</formula1>
    </dataValidation>
    <dataValidation type="decimal" allowBlank="1" showInputMessage="1" showErrorMessage="1" sqref="G10 G22">
      <formula1>0.18</formula1>
      <formula2>0.5</formula2>
    </dataValidation>
    <dataValidation type="list" allowBlank="1" showInputMessage="1" showErrorMessage="1" sqref="B11">
      <formula1>INDIRECT($B$10)</formula1>
    </dataValidation>
    <dataValidation type="list" allowBlank="1" showInputMessage="1" showErrorMessage="1" sqref="B13">
      <formula1>法定最高年限</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3246" customWidth="1"/>
    <col min="2" max="2" width="19.25" style="3387" customWidth="1"/>
    <col min="3" max="4" width="12" style="3245" customWidth="1"/>
    <col min="5" max="5" width="14.625" style="3245" customWidth="1"/>
    <col min="6" max="6" width="16.875" style="3245" customWidth="1"/>
    <col min="7" max="8" width="12" style="3245" customWidth="1"/>
    <col min="9" max="9" width="12.25" style="3245" customWidth="1"/>
    <col min="10" max="10" width="12" style="3245" customWidth="1"/>
    <col min="11" max="11" width="9.5" style="3244" customWidth="1"/>
    <col min="12" max="12" width="12" style="3245" customWidth="1"/>
    <col min="13" max="13" width="8.5" style="3245" customWidth="1"/>
    <col min="14" max="14" width="9.75" style="3245" customWidth="1"/>
    <col min="15" max="25" width="12" style="3245" customWidth="1"/>
    <col min="26" max="26" width="9.375" style="3246" customWidth="1"/>
    <col min="27" max="32" width="9.375" style="3247" customWidth="1"/>
    <col min="33" max="36" width="9.375" style="3246" customWidth="1"/>
    <col min="37" max="38" width="9.375" style="3245" customWidth="1"/>
    <col min="39" max="16384" width="9" style="3245"/>
  </cols>
  <sheetData>
    <row r="1" spans="1:36" ht="20.25">
      <c r="A1" s="3239" t="s">
        <v>3580</v>
      </c>
      <c r="B1" s="3240"/>
      <c r="C1" s="3241"/>
      <c r="D1" s="3241"/>
      <c r="E1" s="3241"/>
      <c r="F1" s="3241"/>
      <c r="G1" s="3242" t="s">
        <v>3581</v>
      </c>
      <c r="H1" s="3243">
        <f>主表!B7</f>
        <v>58.8</v>
      </c>
      <c r="I1" s="3242" t="s">
        <v>3582</v>
      </c>
      <c r="J1" s="3243">
        <f>主表!B6</f>
        <v>0</v>
      </c>
      <c r="AE1" s="3248"/>
      <c r="AF1" s="3248"/>
    </row>
    <row r="2" spans="1:36" ht="24">
      <c r="A2" s="3249" t="s">
        <v>3583</v>
      </c>
      <c r="B2" s="1089" t="s">
        <v>43</v>
      </c>
      <c r="C2" s="3250" t="s">
        <v>3584</v>
      </c>
      <c r="D2" s="3251" t="s">
        <v>3585</v>
      </c>
      <c r="E2" s="3252" t="str">
        <f>主表!B12</f>
        <v>住宅/居住</v>
      </c>
      <c r="F2" s="3251" t="s">
        <v>675</v>
      </c>
      <c r="G2" s="3253" t="str">
        <f>主表!B10</f>
        <v>三级</v>
      </c>
      <c r="H2" s="3252" t="s">
        <v>3586</v>
      </c>
      <c r="I2" s="3254" t="s">
        <v>3377</v>
      </c>
      <c r="J2" s="3241"/>
      <c r="AE2" s="3248"/>
      <c r="AF2" s="3248"/>
    </row>
    <row r="3" spans="1:36" ht="24">
      <c r="A3" s="3255" t="s">
        <v>3587</v>
      </c>
      <c r="B3" s="3256">
        <f>C18</f>
        <v>6200</v>
      </c>
      <c r="C3" s="3250" t="s">
        <v>3354</v>
      </c>
      <c r="D3" s="3251" t="s">
        <v>3588</v>
      </c>
      <c r="E3" s="3257" t="s">
        <v>3589</v>
      </c>
      <c r="F3" s="3258" t="s">
        <v>3590</v>
      </c>
      <c r="G3" s="3259">
        <f>IF(F3="容积率",主表!B8,主表!B9)</f>
        <v>2</v>
      </c>
      <c r="H3" s="3260" t="s">
        <v>3591</v>
      </c>
      <c r="I3" s="3261">
        <f>SUMPRODUCT((A89:A92=E2)*(B88:K88=G2)*(B89:K92))</f>
        <v>2</v>
      </c>
      <c r="J3" s="3241"/>
      <c r="AE3" s="3248"/>
      <c r="AF3" s="3248"/>
    </row>
    <row r="4" spans="1:36" ht="15.75">
      <c r="A4" s="3249" t="s">
        <v>3592</v>
      </c>
      <c r="B4" s="1089">
        <f>C20</f>
        <v>0</v>
      </c>
      <c r="C4" s="3262" t="s">
        <v>3354</v>
      </c>
      <c r="D4" s="3263"/>
      <c r="E4" s="3264"/>
      <c r="F4" s="3264"/>
      <c r="G4" s="3265"/>
      <c r="H4" s="3266"/>
      <c r="I4" s="3267"/>
      <c r="J4" s="3241"/>
      <c r="AE4" s="3248"/>
      <c r="AF4" s="3248"/>
    </row>
    <row r="5" spans="1:36" ht="16.5" thickBot="1">
      <c r="A5" s="3242" t="s">
        <v>3593</v>
      </c>
      <c r="B5" s="3268">
        <f>C22</f>
        <v>0</v>
      </c>
      <c r="C5" s="3269" t="s">
        <v>3354</v>
      </c>
      <c r="D5" s="3270"/>
      <c r="E5" s="3270"/>
      <c r="F5" s="3270"/>
      <c r="G5" s="3270"/>
      <c r="H5" s="3270"/>
      <c r="I5" s="3270"/>
      <c r="J5" s="3271"/>
      <c r="AE5" s="3248"/>
      <c r="AF5" s="3248"/>
    </row>
    <row r="6" spans="1:36" s="3279" customFormat="1" ht="14.25">
      <c r="A6" s="3272" t="s">
        <v>3594</v>
      </c>
      <c r="B6" s="3273" t="s">
        <v>3595</v>
      </c>
      <c r="C6" s="3274"/>
      <c r="D6" s="3275"/>
      <c r="E6" s="3275"/>
      <c r="F6" s="3275"/>
      <c r="G6" s="3276"/>
      <c r="H6" s="3276"/>
      <c r="I6" s="3276"/>
      <c r="J6" s="3277"/>
      <c r="K6" s="3278"/>
      <c r="AE6" s="3280"/>
      <c r="AF6" s="3280"/>
      <c r="AG6" s="3281"/>
      <c r="AH6" s="3281"/>
      <c r="AI6" s="3281"/>
      <c r="AJ6" s="3281"/>
    </row>
    <row r="7" spans="1:36" ht="15.75">
      <c r="A7" s="3282">
        <v>1</v>
      </c>
      <c r="B7" s="3283" t="s">
        <v>3595</v>
      </c>
      <c r="C7" s="3284">
        <f>IF(I2="地上",'[1]2002地价表'!M1,ROUND('[1]2002地价表'!M1/3,0))</f>
        <v>3660</v>
      </c>
      <c r="D7" s="3285" t="s">
        <v>3596</v>
      </c>
      <c r="E7" s="3286"/>
      <c r="F7" s="3286"/>
      <c r="G7" s="3287"/>
      <c r="H7" s="3287"/>
      <c r="I7" s="3287"/>
      <c r="J7" s="3288"/>
      <c r="K7" s="3289"/>
      <c r="AE7" s="3248"/>
      <c r="AF7" s="3248"/>
    </row>
    <row r="8" spans="1:36" ht="16.5" thickBot="1">
      <c r="A8" s="3290">
        <v>2</v>
      </c>
      <c r="B8" s="3291" t="s">
        <v>3597</v>
      </c>
      <c r="C8" s="3292"/>
      <c r="D8" s="3293" t="str">
        <f>"取值范围:"&amp;SUMPRODUCT(('[1]2002地价表'!K15:K24=G2)*('[1]2002地价表'!L14:O14=E2)*('[1]2002地价表'!L15:O24))&amp;"—"&amp;SUMPRODUCT(('[1]2002地价表'!K15:K24=G2)*('[1]2002地价表'!P14:S14=E2)*('[1]2002地价表'!P15:S24))</f>
        <v>取值范围:550—1300</v>
      </c>
      <c r="E8" s="3294"/>
      <c r="F8" s="3295" t="s">
        <v>3598</v>
      </c>
      <c r="G8" s="3296"/>
      <c r="H8" s="3296"/>
      <c r="I8" s="3296"/>
      <c r="J8" s="3297"/>
      <c r="K8" s="3289"/>
      <c r="AE8" s="3248"/>
      <c r="AF8" s="3248"/>
    </row>
    <row r="9" spans="1:36" ht="16.5" thickBot="1">
      <c r="A9" s="3298" t="s">
        <v>3599</v>
      </c>
      <c r="B9" s="3299" t="s">
        <v>3600</v>
      </c>
      <c r="C9" s="3300">
        <f>IF(OR(H9&gt;=DATE(2014,8,28),H9&lt;DATE(2002,12,10)),0,ROUND(I9/F9,4))</f>
        <v>1.6057999999999999</v>
      </c>
      <c r="D9" s="3301" t="s">
        <v>3601</v>
      </c>
      <c r="E9" s="3302">
        <v>37257</v>
      </c>
      <c r="F9" s="3303">
        <f>ROUND(SUMIF([1]地价!B3:F3,E2,[1]地价!B86:F86),0)</f>
        <v>104</v>
      </c>
      <c r="G9" s="3304" t="s">
        <v>3602</v>
      </c>
      <c r="H9" s="3305">
        <f>主表!B4</f>
        <v>38867</v>
      </c>
      <c r="I9" s="3306">
        <f>ROUND(SUMPRODUCT(([1]地价!A36:A86=YEAR(H9)&amp;"-"&amp;ROUNDUP(MONTH(H9)/3,0))*([1]地价!B3:F3=E2)*([1]地价!B36:F86)),0)</f>
        <v>167</v>
      </c>
      <c r="J9" s="3307"/>
      <c r="AE9" s="3248"/>
      <c r="AF9" s="3248"/>
    </row>
    <row r="10" spans="1:36" ht="16.5" thickBot="1">
      <c r="A10" s="3308" t="s">
        <v>3603</v>
      </c>
      <c r="B10" s="3309" t="s">
        <v>2503</v>
      </c>
      <c r="C10" s="3310">
        <f>ROUND(POWER(1+E10,H10-G10)*(POWER(1+E10,G10)-1)/(POWER(1+E10,H10)-1),4)</f>
        <v>1</v>
      </c>
      <c r="D10" s="3311" t="s">
        <v>3604</v>
      </c>
      <c r="E10" s="3312">
        <v>0.04</v>
      </c>
      <c r="F10" s="3313"/>
      <c r="G10" s="3314">
        <f>IF(F10="剩余土地使用年限",主表!B15,主表!B16)</f>
        <v>70</v>
      </c>
      <c r="H10" s="3314">
        <f>IF(E2="住宅/居住",70,IF(E2="商业",40,50))</f>
        <v>70</v>
      </c>
      <c r="I10" s="3315"/>
      <c r="J10" s="3316"/>
      <c r="AE10" s="3248"/>
      <c r="AF10" s="3248"/>
    </row>
    <row r="11" spans="1:36" ht="15">
      <c r="A11" s="3317" t="s">
        <v>3605</v>
      </c>
      <c r="B11" s="3318" t="s">
        <v>3606</v>
      </c>
      <c r="C11" s="3319">
        <f>IF(E2="工业",1,IF(G3&gt;10,D14,IF(D11="郊区",D13,D12)))</f>
        <v>1</v>
      </c>
      <c r="D11" s="3320" t="s">
        <v>3607</v>
      </c>
      <c r="E11" s="3276"/>
      <c r="F11" s="3276"/>
      <c r="G11" s="3276"/>
      <c r="H11" s="3276"/>
      <c r="I11" s="3276"/>
      <c r="J11" s="3321"/>
      <c r="AE11" s="3248"/>
      <c r="AF11" s="3248"/>
    </row>
    <row r="12" spans="1:36" ht="15">
      <c r="A12" s="3322"/>
      <c r="B12" s="3323" t="s">
        <v>3607</v>
      </c>
      <c r="C12" s="3324" t="s">
        <v>3608</v>
      </c>
      <c r="D12" s="3325">
        <f>IF(E12=G12,F12,IF(G3&lt;=10,ROUND(F12+(H12-F12)*(G3-E12)/(G12-E12),4),"——"))</f>
        <v>1</v>
      </c>
      <c r="E12" s="3326">
        <f>ROUNDDOWN(G3,1)</f>
        <v>2</v>
      </c>
      <c r="F12" s="3327">
        <f>IF(G3&lt;=10,SUMPRODUCT(('[1]2002容积率修正'!A3:A102=E12)*('[1]2002容积率修正'!B2:D2=E2)*('[1]2002容积率修正'!B3:D102)),"——")</f>
        <v>1</v>
      </c>
      <c r="G12" s="3328">
        <f>ROUNDUP(G3,1)</f>
        <v>2</v>
      </c>
      <c r="H12" s="3324">
        <f>IF(G3&lt;=10,SUMPRODUCT(('[1]2002容积率修正'!A3:A102=G12)*('[1]2002容积率修正'!B2:D2=E2)*('[1]2002容积率修正'!B3:D102)),"——")</f>
        <v>1</v>
      </c>
      <c r="I12" s="3329"/>
      <c r="J12" s="3330"/>
      <c r="AE12" s="3248"/>
      <c r="AF12" s="3248"/>
    </row>
    <row r="13" spans="1:36" ht="15">
      <c r="A13" s="3322"/>
      <c r="B13" s="3323" t="s">
        <v>3609</v>
      </c>
      <c r="C13" s="3324" t="s">
        <v>3608</v>
      </c>
      <c r="D13" s="3325">
        <f>IF(E12=G12,F12,IF(G3&lt;=10,ROUND(F12+(H12-F12)*(G3-E12)/(G12-E12),4),"——"))</f>
        <v>1</v>
      </c>
      <c r="E13" s="3326">
        <f>ROUNDDOWN(G3,1)</f>
        <v>2</v>
      </c>
      <c r="F13" s="3327">
        <f>IF(G3&lt;=10,SUMPRODUCT(('[1]2002容积率修正'!A3:A102=E13)*('[1]2002容积率修正'!E2:G2=E2)*('[1]2002容积率修正'!E3:G102)),"——")</f>
        <v>0.85</v>
      </c>
      <c r="G13" s="3328">
        <f>ROUNDUP(G3,1)</f>
        <v>2</v>
      </c>
      <c r="H13" s="3324">
        <f>IF(G3&lt;=10,SUMPRODUCT(('[1]2002容积率修正'!A3:A102=G13)*('[1]2002容积率修正'!E2:G2=E2)*('[1]2002容积率修正'!E3:G102)),"——")</f>
        <v>0.85</v>
      </c>
      <c r="I13" s="3331"/>
      <c r="J13" s="3332"/>
      <c r="AE13" s="3248"/>
      <c r="AF13" s="3248"/>
    </row>
    <row r="14" spans="1:36" ht="15.75" thickBot="1">
      <c r="A14" s="3333"/>
      <c r="B14" s="3334"/>
      <c r="C14" s="3335" t="s">
        <v>3610</v>
      </c>
      <c r="D14" s="3336" t="str">
        <f>IF(G3&gt;10,B81,"——")</f>
        <v>——</v>
      </c>
      <c r="E14" s="3337"/>
      <c r="F14" s="3335"/>
      <c r="G14" s="3338"/>
      <c r="H14" s="3335"/>
      <c r="I14" s="3339"/>
      <c r="J14" s="3340"/>
      <c r="AE14" s="3248"/>
      <c r="AF14" s="3248"/>
    </row>
    <row r="15" spans="1:36" ht="16.5" thickBot="1">
      <c r="A15" s="3341" t="s">
        <v>3611</v>
      </c>
      <c r="B15" s="3342" t="s">
        <v>3612</v>
      </c>
      <c r="C15" s="3343">
        <f>SUMIF(A40:A76,E2,B40:B76)</f>
        <v>1.0549999999999999</v>
      </c>
      <c r="D15" s="3344"/>
      <c r="E15" s="3345"/>
      <c r="F15" s="3345"/>
      <c r="G15" s="3345"/>
      <c r="H15" s="3345"/>
      <c r="I15" s="3345"/>
      <c r="J15" s="3346"/>
      <c r="AE15" s="3248"/>
      <c r="AF15" s="3248"/>
    </row>
    <row r="16" spans="1:36" ht="29.25" thickBot="1">
      <c r="A16" s="3308" t="s">
        <v>3613</v>
      </c>
      <c r="B16" s="3309" t="s">
        <v>3614</v>
      </c>
      <c r="C16" s="3347">
        <v>1</v>
      </c>
      <c r="D16" s="3348" t="s">
        <v>3615</v>
      </c>
      <c r="E16" s="3349" t="s">
        <v>3616</v>
      </c>
      <c r="F16" s="3350" t="s">
        <v>3617</v>
      </c>
      <c r="G16" s="3351" t="s">
        <v>3618</v>
      </c>
      <c r="H16" s="3352" t="str">
        <f>IF(E2="工业",IF(OR(G2="六级",G2="七级",G2="八级",G2="九级"),"五通一平","七通一平"),IF(OR(G2="七级",G2="八级",G2="九级",G2="十级"),"五通一平","七通一平"))</f>
        <v>七通一平</v>
      </c>
      <c r="I16" s="3353"/>
      <c r="J16" s="3354"/>
      <c r="L16" s="3244"/>
      <c r="M16" s="3244"/>
      <c r="N16" s="3244"/>
      <c r="O16" s="3244"/>
      <c r="P16" s="3244"/>
      <c r="Q16" s="3244"/>
      <c r="R16" s="3244"/>
      <c r="S16" s="3244"/>
      <c r="T16" s="3244"/>
      <c r="U16" s="3244"/>
      <c r="V16" s="3244"/>
      <c r="W16" s="3244"/>
      <c r="X16" s="3244"/>
      <c r="Y16" s="3244"/>
      <c r="Z16" s="3244"/>
      <c r="AA16" s="3244"/>
      <c r="AB16" s="3244"/>
      <c r="AC16" s="3244"/>
      <c r="AD16" s="3244"/>
      <c r="AE16" s="3248"/>
      <c r="AF16" s="3248"/>
    </row>
    <row r="17" spans="1:37" ht="12" customHeight="1">
      <c r="A17" s="3272" t="s">
        <v>3619</v>
      </c>
      <c r="B17" s="3355" t="s">
        <v>3620</v>
      </c>
      <c r="C17" s="3356" t="s">
        <v>3621</v>
      </c>
      <c r="D17" s="3357" t="s">
        <v>3622</v>
      </c>
      <c r="E17" s="3358" t="s">
        <v>3623</v>
      </c>
      <c r="F17" s="3275"/>
      <c r="G17" s="3276"/>
      <c r="H17" s="3276"/>
      <c r="I17" s="3276"/>
      <c r="J17" s="3277"/>
      <c r="L17" s="3244"/>
      <c r="M17" s="3244"/>
      <c r="N17" s="3244"/>
      <c r="O17" s="3244"/>
      <c r="P17" s="3244"/>
      <c r="Q17" s="3244"/>
      <c r="R17" s="3244"/>
      <c r="S17" s="3244"/>
      <c r="T17" s="3244"/>
      <c r="U17" s="3244"/>
      <c r="V17" s="3244"/>
      <c r="W17" s="3244"/>
      <c r="X17" s="3244"/>
      <c r="Y17" s="3244"/>
      <c r="Z17" s="3244"/>
      <c r="AA17" s="3244"/>
      <c r="AB17" s="3244"/>
      <c r="AC17" s="3244"/>
      <c r="AD17" s="3244"/>
      <c r="AE17" s="3248"/>
      <c r="AF17" s="3248"/>
    </row>
    <row r="18" spans="1:37" s="3279" customFormat="1" ht="15.75">
      <c r="A18" s="3914" t="s">
        <v>3624</v>
      </c>
      <c r="B18" s="3359" t="s">
        <v>3595</v>
      </c>
      <c r="C18" s="3360">
        <f>ROUND(C7*C9*C10*C11*C15*C16,0)</f>
        <v>6200</v>
      </c>
      <c r="D18" s="3361">
        <f>H1</f>
        <v>58.8</v>
      </c>
      <c r="E18" s="3362">
        <f>ROUND(C18*D18,0)</f>
        <v>364560</v>
      </c>
      <c r="F18" s="3363" t="s">
        <v>3625</v>
      </c>
      <c r="G18" s="3364"/>
      <c r="H18" s="3364"/>
      <c r="I18" s="3364"/>
      <c r="J18" s="3365"/>
      <c r="K18" s="3366"/>
      <c r="L18" s="3244"/>
      <c r="M18" s="3244"/>
      <c r="N18" s="3244"/>
      <c r="O18" s="3244"/>
      <c r="P18" s="3244"/>
      <c r="Q18" s="3244"/>
      <c r="R18" s="3244"/>
      <c r="S18" s="3244"/>
      <c r="T18" s="3244"/>
      <c r="U18" s="3244"/>
      <c r="V18" s="3244"/>
      <c r="W18" s="3244"/>
      <c r="X18" s="3244"/>
      <c r="Y18" s="3244"/>
      <c r="Z18" s="3248"/>
      <c r="AA18" s="3248"/>
      <c r="AB18" s="3248"/>
      <c r="AC18" s="3248"/>
      <c r="AD18" s="3248"/>
      <c r="AE18" s="3248"/>
      <c r="AF18" s="3248"/>
      <c r="AG18" s="3246"/>
      <c r="AH18" s="3246"/>
      <c r="AI18" s="3246"/>
    </row>
    <row r="19" spans="1:37" s="3279" customFormat="1" ht="15">
      <c r="A19" s="3915"/>
      <c r="B19" s="3367" t="s">
        <v>3626</v>
      </c>
      <c r="C19" s="3324">
        <f>ROUND(C7*C9*C10*C11*C15*C16*G3,0)</f>
        <v>12401</v>
      </c>
      <c r="D19" s="3361">
        <f>J1</f>
        <v>0</v>
      </c>
      <c r="E19" s="3362">
        <f>ROUND(C19*D19,0)</f>
        <v>0</v>
      </c>
      <c r="F19" s="3368" t="s">
        <v>3627</v>
      </c>
      <c r="G19" s="3287"/>
      <c r="H19" s="3287"/>
      <c r="I19" s="3287"/>
      <c r="J19" s="3288"/>
      <c r="K19" s="3366"/>
      <c r="L19" s="3244"/>
      <c r="M19" s="3244"/>
      <c r="N19" s="3244"/>
      <c r="O19" s="3244"/>
      <c r="P19" s="3244"/>
      <c r="Q19" s="3244"/>
      <c r="R19" s="3244"/>
      <c r="S19" s="3244"/>
      <c r="T19" s="3244"/>
      <c r="U19" s="3244"/>
      <c r="V19" s="3244"/>
      <c r="W19" s="3244"/>
      <c r="X19" s="3244"/>
      <c r="Y19" s="3244"/>
      <c r="Z19" s="3248"/>
      <c r="AA19" s="3248"/>
      <c r="AB19" s="3248"/>
      <c r="AC19" s="3248"/>
      <c r="AD19" s="3248"/>
      <c r="AE19" s="3248"/>
      <c r="AF19" s="3248"/>
      <c r="AG19" s="3246"/>
      <c r="AH19" s="3246"/>
      <c r="AI19" s="3246"/>
    </row>
    <row r="20" spans="1:37" s="3279" customFormat="1" ht="15">
      <c r="A20" s="3916" t="s">
        <v>3628</v>
      </c>
      <c r="B20" s="3323" t="s">
        <v>3629</v>
      </c>
      <c r="C20" s="3369">
        <f>ROUND(IF(G3&gt;=I3,C8*C9*C10*C15,C8*C9*C10*C15*G3),0)</f>
        <v>0</v>
      </c>
      <c r="D20" s="3370">
        <f>H1</f>
        <v>58.8</v>
      </c>
      <c r="E20" s="3371">
        <f>ROUND(C20*D20,0)</f>
        <v>0</v>
      </c>
      <c r="F20" s="3372" t="s">
        <v>3630</v>
      </c>
      <c r="G20" s="3373"/>
      <c r="H20" s="3373"/>
      <c r="I20" s="3373"/>
      <c r="J20" s="3307"/>
      <c r="K20" s="3366"/>
      <c r="L20" s="3244"/>
      <c r="M20" s="3244"/>
      <c r="N20" s="3244"/>
      <c r="O20" s="3244"/>
      <c r="P20" s="3244"/>
      <c r="Q20" s="3244"/>
      <c r="R20" s="3244"/>
      <c r="S20" s="3244"/>
      <c r="T20" s="3244"/>
      <c r="U20" s="3244"/>
      <c r="V20" s="3244"/>
      <c r="W20" s="3244"/>
      <c r="X20" s="3244"/>
      <c r="Y20" s="3244"/>
      <c r="Z20" s="3248"/>
      <c r="AA20" s="3248"/>
      <c r="AB20" s="3248"/>
      <c r="AC20" s="3248"/>
      <c r="AD20" s="3248"/>
      <c r="AE20" s="3248"/>
      <c r="AF20" s="3248"/>
      <c r="AG20" s="3246"/>
      <c r="AH20" s="3246"/>
      <c r="AI20" s="3246"/>
    </row>
    <row r="21" spans="1:37" s="3279" customFormat="1" ht="15">
      <c r="A21" s="3916"/>
      <c r="B21" s="3374" t="s">
        <v>3631</v>
      </c>
      <c r="C21" s="3375">
        <f>ROUND(IF(G3&lt;I3,C8*C9*C10*C15,C8*C9*C10*C15*G3),0)</f>
        <v>0</v>
      </c>
      <c r="D21" s="3376">
        <f>J1</f>
        <v>0</v>
      </c>
      <c r="E21" s="3377">
        <f t="shared" ref="E21" si="0">ROUND(C21*D21,0)</f>
        <v>0</v>
      </c>
      <c r="F21" s="3378" t="s">
        <v>3632</v>
      </c>
      <c r="G21" s="3373"/>
      <c r="H21" s="3373"/>
      <c r="I21" s="3373"/>
      <c r="J21" s="3307"/>
      <c r="K21" s="3366"/>
      <c r="L21" s="3244"/>
      <c r="M21" s="3244"/>
      <c r="N21" s="3244"/>
      <c r="O21" s="3244"/>
      <c r="P21" s="3244"/>
      <c r="Q21" s="3244"/>
      <c r="R21" s="3244"/>
      <c r="S21" s="3244"/>
      <c r="T21" s="3244"/>
      <c r="U21" s="3244"/>
      <c r="V21" s="3244"/>
      <c r="W21" s="3244"/>
      <c r="X21" s="3244"/>
      <c r="Y21" s="3244"/>
      <c r="Z21" s="3248"/>
      <c r="AA21" s="3248"/>
      <c r="AB21" s="3248"/>
      <c r="AC21" s="3248"/>
      <c r="AD21" s="3248"/>
      <c r="AE21" s="3366"/>
      <c r="AF21" s="3379"/>
      <c r="AG21" s="3380"/>
      <c r="AH21" s="3246"/>
      <c r="AI21" s="3281"/>
      <c r="AJ21" s="3281"/>
      <c r="AK21" s="3281"/>
    </row>
    <row r="22" spans="1:37" s="3279" customFormat="1" ht="15.75" thickBot="1">
      <c r="A22" s="3381" t="s">
        <v>3633</v>
      </c>
      <c r="B22" s="3382"/>
      <c r="C22" s="3383">
        <f>ROUND(IF(D22="四环路内",C20*0.4,C20*0.6),0)</f>
        <v>0</v>
      </c>
      <c r="D22" s="3384"/>
      <c r="E22" s="3385"/>
      <c r="F22" s="3385"/>
      <c r="G22" s="3385"/>
      <c r="H22" s="3385"/>
      <c r="I22" s="3385"/>
      <c r="J22" s="3386"/>
      <c r="K22" s="3366"/>
      <c r="L22" s="3244"/>
      <c r="M22" s="3244"/>
      <c r="N22" s="3244"/>
      <c r="O22" s="3244"/>
      <c r="P22" s="3244"/>
      <c r="Q22" s="3244"/>
      <c r="R22" s="3244"/>
      <c r="S22" s="3244"/>
      <c r="T22" s="3244"/>
      <c r="U22" s="3244"/>
      <c r="V22" s="3244"/>
      <c r="W22" s="3244"/>
      <c r="X22" s="3244"/>
      <c r="Y22" s="3244"/>
      <c r="Z22" s="3248"/>
      <c r="AA22" s="3248"/>
      <c r="AB22" s="3248"/>
      <c r="AC22" s="3248"/>
      <c r="AD22" s="3248"/>
      <c r="AE22" s="3366"/>
      <c r="AF22" s="3366"/>
    </row>
    <row r="23" spans="1:37" s="3279" customFormat="1" ht="14.25" thickBot="1">
      <c r="A23" s="3246"/>
      <c r="B23" s="3387"/>
      <c r="C23" s="3388"/>
      <c r="D23" s="3245"/>
      <c r="E23" s="3245"/>
      <c r="F23" s="3245"/>
      <c r="G23" s="3245"/>
      <c r="H23" s="3245"/>
      <c r="I23" s="3245"/>
      <c r="J23" s="3245"/>
      <c r="K23" s="3366"/>
      <c r="L23" s="3244"/>
      <c r="M23" s="3244"/>
      <c r="N23" s="3244"/>
      <c r="O23" s="3244"/>
      <c r="P23" s="3244"/>
      <c r="Q23" s="3244"/>
      <c r="R23" s="3244"/>
      <c r="S23" s="3244"/>
      <c r="T23" s="3244"/>
      <c r="U23" s="3244"/>
      <c r="V23" s="3244"/>
      <c r="W23" s="3244"/>
      <c r="X23" s="3244"/>
      <c r="Y23" s="3244"/>
      <c r="Z23" s="3248"/>
      <c r="AA23" s="3248"/>
      <c r="AB23" s="3248"/>
      <c r="AC23" s="3248"/>
      <c r="AD23" s="3248"/>
      <c r="AE23" s="3366"/>
      <c r="AF23" s="3366"/>
    </row>
    <row r="24" spans="1:37" s="3279" customFormat="1" ht="14.25" thickBot="1">
      <c r="A24" s="3389" t="s">
        <v>3634</v>
      </c>
      <c r="B24" s="3390">
        <f>ROUNDDOWN(1+DATEDIF(E9,H9,"M")/3,0)</f>
        <v>18</v>
      </c>
      <c r="C24" s="3248"/>
      <c r="D24" s="3379"/>
      <c r="E24" s="3379"/>
      <c r="F24" s="3379"/>
      <c r="G24" s="3379"/>
      <c r="H24" s="3379"/>
      <c r="I24" s="3248"/>
      <c r="J24" s="3248"/>
      <c r="K24" s="3248"/>
      <c r="L24" s="3248"/>
      <c r="M24" s="3244"/>
      <c r="N24" s="3244"/>
      <c r="O24" s="3366"/>
      <c r="P24" s="3366"/>
      <c r="Q24" s="3366"/>
      <c r="R24" s="3366"/>
      <c r="S24" s="3366"/>
      <c r="T24" s="3244"/>
      <c r="U24" s="3244"/>
      <c r="V24" s="3244"/>
      <c r="W24" s="3244"/>
      <c r="X24" s="3244"/>
      <c r="Y24" s="3244"/>
      <c r="Z24" s="3248"/>
      <c r="AA24" s="3248"/>
      <c r="AB24" s="3248"/>
      <c r="AC24" s="3248"/>
      <c r="AD24" s="3248"/>
      <c r="AE24" s="3366"/>
      <c r="AF24" s="3366"/>
    </row>
    <row r="25" spans="1:37" s="3279" customFormat="1" ht="13.5">
      <c r="A25" s="3391" t="s">
        <v>3635</v>
      </c>
      <c r="B25" s="3392" t="s">
        <v>3636</v>
      </c>
      <c r="C25" s="3393" t="s">
        <v>119</v>
      </c>
      <c r="D25" s="3379"/>
      <c r="E25" s="3379"/>
      <c r="F25" s="3379"/>
      <c r="G25" s="3379"/>
      <c r="H25" s="3379"/>
      <c r="I25" s="3248"/>
      <c r="J25" s="3248"/>
      <c r="K25" s="3248"/>
      <c r="L25" s="3248"/>
      <c r="M25" s="3244"/>
      <c r="N25" s="3244"/>
      <c r="O25" s="3366"/>
      <c r="P25" s="3366"/>
      <c r="Q25" s="3366"/>
      <c r="R25" s="3366"/>
      <c r="S25" s="3366"/>
      <c r="T25" s="3244"/>
      <c r="U25" s="3244"/>
      <c r="V25" s="3244"/>
      <c r="W25" s="3244"/>
      <c r="X25" s="3244"/>
      <c r="Y25" s="3244"/>
      <c r="Z25" s="3248"/>
      <c r="AA25" s="3248"/>
      <c r="AB25" s="3248"/>
      <c r="AC25" s="3248"/>
      <c r="AD25" s="3248"/>
      <c r="AE25" s="3366"/>
      <c r="AF25" s="3366"/>
    </row>
    <row r="26" spans="1:37" s="3279" customFormat="1" ht="14.25">
      <c r="A26" s="3394" t="s">
        <v>3637</v>
      </c>
      <c r="B26" s="3395"/>
      <c r="C26" s="3396">
        <f>'[1]地价（废）'!L2</f>
        <v>1.9300000000000001E-2</v>
      </c>
      <c r="D26" s="3379"/>
      <c r="E26" s="3379"/>
      <c r="F26" s="3379"/>
      <c r="G26" s="3379"/>
      <c r="H26" s="3379"/>
      <c r="I26" s="3248"/>
      <c r="J26" s="3248"/>
      <c r="K26" s="3248"/>
      <c r="L26" s="3248"/>
      <c r="M26" s="3244"/>
      <c r="N26" s="3244"/>
      <c r="O26" s="3366"/>
      <c r="P26" s="3366"/>
      <c r="Q26" s="3366"/>
      <c r="R26" s="3366"/>
      <c r="S26" s="3366"/>
      <c r="T26" s="3244"/>
      <c r="U26" s="3244"/>
      <c r="V26" s="3244"/>
      <c r="W26" s="3244"/>
      <c r="X26" s="3244"/>
      <c r="Y26" s="3244"/>
      <c r="Z26" s="3248"/>
      <c r="AA26" s="3248"/>
      <c r="AB26" s="3248"/>
      <c r="AC26" s="3248"/>
      <c r="AD26" s="3248"/>
      <c r="AE26" s="3366"/>
      <c r="AF26" s="3366"/>
    </row>
    <row r="27" spans="1:37" s="3279" customFormat="1" ht="14.25">
      <c r="A27" s="3394" t="s">
        <v>673</v>
      </c>
      <c r="B27" s="3397">
        <v>0.02</v>
      </c>
      <c r="C27" s="3396">
        <f>'[1]地价（废）'!M2</f>
        <v>1.78E-2</v>
      </c>
      <c r="D27" s="3379"/>
      <c r="E27" s="3379"/>
      <c r="F27" s="3379"/>
      <c r="G27" s="3379"/>
      <c r="H27" s="3379"/>
      <c r="I27" s="3248"/>
      <c r="J27" s="3248"/>
      <c r="K27" s="3248"/>
      <c r="L27" s="3248"/>
      <c r="M27" s="3244"/>
      <c r="N27" s="3244"/>
      <c r="O27" s="3366"/>
      <c r="P27" s="3366"/>
      <c r="Q27" s="3366"/>
      <c r="R27" s="3366"/>
      <c r="S27" s="3366"/>
      <c r="T27" s="3244"/>
      <c r="U27" s="3244"/>
      <c r="V27" s="3244"/>
      <c r="W27" s="3244"/>
      <c r="X27" s="3244"/>
      <c r="Y27" s="3244"/>
      <c r="Z27" s="3248"/>
      <c r="AA27" s="3248"/>
      <c r="AB27" s="3248"/>
      <c r="AC27" s="3248"/>
      <c r="AD27" s="3248"/>
      <c r="AE27" s="3366"/>
      <c r="AF27" s="3366"/>
    </row>
    <row r="28" spans="1:37" s="3279" customFormat="1" ht="14.25">
      <c r="A28" s="3394" t="s">
        <v>3638</v>
      </c>
      <c r="B28" s="3397">
        <v>0.02</v>
      </c>
      <c r="C28" s="3396">
        <f>'[1]地价（废）'!N2</f>
        <v>1.78E-2</v>
      </c>
      <c r="D28" s="3379"/>
      <c r="E28" s="3379"/>
      <c r="F28" s="3379"/>
      <c r="G28" s="3379"/>
      <c r="H28" s="3379"/>
      <c r="I28" s="3248"/>
      <c r="J28" s="3248"/>
      <c r="K28" s="3248"/>
      <c r="L28" s="3248"/>
      <c r="M28" s="3244"/>
      <c r="N28" s="3244"/>
      <c r="O28" s="3366"/>
      <c r="P28" s="3366"/>
      <c r="Q28" s="3366"/>
      <c r="R28" s="3366"/>
      <c r="S28" s="3366"/>
      <c r="T28" s="3244"/>
      <c r="U28" s="3244"/>
      <c r="V28" s="3244"/>
      <c r="W28" s="3244"/>
      <c r="X28" s="3244"/>
      <c r="Y28" s="3244"/>
      <c r="Z28" s="3248"/>
      <c r="AA28" s="3248"/>
      <c r="AB28" s="3248"/>
      <c r="AC28" s="3248"/>
      <c r="AD28" s="3248"/>
      <c r="AE28" s="3366"/>
      <c r="AF28" s="3366"/>
    </row>
    <row r="29" spans="1:37" s="3279" customFormat="1" ht="14.25">
      <c r="A29" s="3394" t="s">
        <v>3639</v>
      </c>
      <c r="B29" s="3397">
        <v>1.9900000000000001E-2</v>
      </c>
      <c r="C29" s="3396">
        <f>'[1]地价（废）'!O2</f>
        <v>1.9900000000000001E-2</v>
      </c>
      <c r="D29" s="3379"/>
      <c r="E29" s="3379"/>
      <c r="F29" s="3379"/>
      <c r="G29" s="3379"/>
      <c r="H29" s="3379"/>
      <c r="I29" s="3248"/>
      <c r="J29" s="3248"/>
      <c r="K29" s="3248"/>
      <c r="L29" s="3248"/>
      <c r="M29" s="3244"/>
      <c r="N29" s="3244"/>
      <c r="O29" s="3366"/>
      <c r="P29" s="3366"/>
      <c r="Q29" s="3366"/>
      <c r="R29" s="3366"/>
      <c r="S29" s="3366"/>
      <c r="T29" s="3244"/>
      <c r="U29" s="3244"/>
      <c r="V29" s="3244"/>
      <c r="W29" s="3244"/>
      <c r="X29" s="3244"/>
      <c r="Y29" s="3244"/>
      <c r="Z29" s="3248"/>
      <c r="AA29" s="3248"/>
      <c r="AB29" s="3248"/>
      <c r="AC29" s="3248"/>
      <c r="AD29" s="3248"/>
      <c r="AE29" s="3366"/>
      <c r="AF29" s="3366"/>
    </row>
    <row r="30" spans="1:37" s="3279" customFormat="1" ht="15" thickBot="1">
      <c r="A30" s="3398" t="s">
        <v>3</v>
      </c>
      <c r="B30" s="3399">
        <v>0.02</v>
      </c>
      <c r="C30" s="3400">
        <f>'[1]地价（废）'!P2</f>
        <v>1.7899999999999999E-2</v>
      </c>
      <c r="D30" s="3379"/>
      <c r="E30" s="3379"/>
      <c r="F30" s="3379"/>
      <c r="G30" s="3379"/>
      <c r="H30" s="3379"/>
      <c r="I30" s="3248"/>
      <c r="J30" s="3248"/>
      <c r="K30" s="3248"/>
      <c r="L30" s="3248"/>
      <c r="M30" s="3244"/>
      <c r="N30" s="3244"/>
      <c r="O30" s="3366"/>
      <c r="P30" s="3366"/>
      <c r="Q30" s="3366"/>
      <c r="R30" s="3366"/>
      <c r="S30" s="3366"/>
      <c r="T30" s="3244"/>
      <c r="U30" s="3244"/>
      <c r="V30" s="3244"/>
      <c r="W30" s="3244"/>
      <c r="X30" s="3244"/>
      <c r="Y30" s="3244"/>
      <c r="Z30" s="3248"/>
      <c r="AA30" s="3248"/>
      <c r="AB30" s="3248"/>
      <c r="AC30" s="3248"/>
      <c r="AD30" s="3248"/>
      <c r="AE30" s="3366"/>
      <c r="AF30" s="3366"/>
    </row>
    <row r="31" spans="1:37" s="3279" customFormat="1" ht="13.5">
      <c r="A31" s="3379"/>
      <c r="B31" s="3379"/>
      <c r="C31" s="3379"/>
      <c r="D31" s="3379"/>
      <c r="E31" s="3379"/>
      <c r="F31" s="3379"/>
      <c r="G31" s="3379"/>
      <c r="H31" s="3379"/>
      <c r="I31" s="3248"/>
      <c r="J31" s="3248"/>
      <c r="K31" s="3248"/>
      <c r="L31" s="3248"/>
      <c r="M31" s="3244"/>
      <c r="N31" s="3244"/>
      <c r="O31" s="3366"/>
      <c r="P31" s="3366"/>
      <c r="Q31" s="3366"/>
      <c r="R31" s="3366"/>
      <c r="S31" s="3366"/>
      <c r="T31" s="3244"/>
      <c r="U31" s="3244"/>
      <c r="V31" s="3244"/>
      <c r="W31" s="3244"/>
      <c r="X31" s="3244"/>
      <c r="Y31" s="3244"/>
      <c r="Z31" s="3248"/>
      <c r="AA31" s="3248"/>
      <c r="AB31" s="3248"/>
      <c r="AC31" s="3248"/>
      <c r="AD31" s="3248"/>
      <c r="AE31" s="3366"/>
      <c r="AF31" s="3366"/>
    </row>
    <row r="32" spans="1:37" s="3279" customFormat="1" ht="13.5">
      <c r="A32" s="3379"/>
      <c r="B32" s="3379"/>
      <c r="C32" s="3379"/>
      <c r="D32" s="3379"/>
      <c r="E32" s="3379"/>
      <c r="F32" s="3379"/>
      <c r="G32" s="3379"/>
      <c r="H32" s="3379"/>
      <c r="I32" s="3248"/>
      <c r="J32" s="3248"/>
      <c r="K32" s="3248"/>
      <c r="L32" s="3248"/>
      <c r="M32" s="3244"/>
      <c r="N32" s="3244"/>
      <c r="O32" s="3366"/>
      <c r="P32" s="3366"/>
      <c r="Q32" s="3366"/>
      <c r="R32" s="3366"/>
      <c r="S32" s="3366"/>
      <c r="T32" s="3244"/>
      <c r="U32" s="3244"/>
      <c r="V32" s="3244"/>
      <c r="W32" s="3244"/>
      <c r="X32" s="3244"/>
      <c r="Y32" s="3244"/>
      <c r="Z32" s="3248"/>
      <c r="AA32" s="3248"/>
      <c r="AB32" s="3248"/>
      <c r="AC32" s="3248"/>
      <c r="AD32" s="3248"/>
      <c r="AE32" s="3366"/>
      <c r="AF32" s="3366"/>
    </row>
    <row r="33" spans="1:37" s="3279" customFormat="1" ht="13.5">
      <c r="A33" s="3379"/>
      <c r="B33" s="3379"/>
      <c r="C33" s="3379"/>
      <c r="D33" s="3379"/>
      <c r="E33" s="3379"/>
      <c r="F33" s="3379"/>
      <c r="G33" s="3379"/>
      <c r="H33" s="3379"/>
      <c r="I33" s="3248"/>
      <c r="J33" s="3248"/>
      <c r="K33" s="3248"/>
      <c r="L33" s="3248"/>
      <c r="M33" s="3244"/>
      <c r="N33" s="3244"/>
      <c r="O33" s="3366"/>
      <c r="P33" s="3366"/>
      <c r="Q33" s="3366"/>
      <c r="R33" s="3366"/>
      <c r="S33" s="3366"/>
      <c r="T33" s="3244"/>
      <c r="U33" s="3244"/>
      <c r="V33" s="3244"/>
      <c r="W33" s="3244"/>
      <c r="X33" s="3244"/>
      <c r="Y33" s="3244"/>
      <c r="Z33" s="3248"/>
      <c r="AA33" s="3248"/>
      <c r="AB33" s="3248"/>
      <c r="AC33" s="3248"/>
      <c r="AD33" s="3248"/>
      <c r="AE33" s="3366"/>
      <c r="AF33" s="3366"/>
    </row>
    <row r="34" spans="1:37" s="3279" customFormat="1" ht="13.5">
      <c r="A34" s="3379"/>
      <c r="B34" s="3379"/>
      <c r="C34" s="3379"/>
      <c r="D34" s="3379"/>
      <c r="E34" s="3379"/>
      <c r="F34" s="3379"/>
      <c r="G34" s="3379"/>
      <c r="H34" s="3379"/>
      <c r="I34" s="3248"/>
      <c r="J34" s="3248"/>
      <c r="K34" s="3248"/>
      <c r="L34" s="3248"/>
      <c r="M34" s="3244"/>
      <c r="N34" s="3244"/>
      <c r="O34" s="3366"/>
      <c r="P34" s="3366"/>
      <c r="Q34" s="3366"/>
      <c r="R34" s="3366"/>
      <c r="S34" s="3366"/>
      <c r="T34" s="3244"/>
      <c r="U34" s="3244"/>
      <c r="V34" s="3244"/>
      <c r="W34" s="3244"/>
      <c r="X34" s="3244"/>
      <c r="Y34" s="3244"/>
      <c r="Z34" s="3248"/>
      <c r="AA34" s="3248"/>
      <c r="AB34" s="3248"/>
      <c r="AC34" s="3248"/>
      <c r="AD34" s="3248"/>
      <c r="AE34" s="3366"/>
      <c r="AF34" s="3366"/>
    </row>
    <row r="35" spans="1:37" s="3279" customFormat="1" ht="13.5">
      <c r="A35" s="3379"/>
      <c r="B35" s="3379"/>
      <c r="C35" s="3379"/>
      <c r="D35" s="3379"/>
      <c r="E35" s="3379"/>
      <c r="F35" s="3379"/>
      <c r="G35" s="3379"/>
      <c r="H35" s="3379"/>
      <c r="I35" s="3248"/>
      <c r="J35" s="3248"/>
      <c r="K35" s="3248"/>
      <c r="L35" s="3248"/>
      <c r="M35" s="3244"/>
      <c r="N35" s="3244"/>
      <c r="O35" s="3366"/>
      <c r="P35" s="3366"/>
      <c r="Q35" s="3366"/>
      <c r="R35" s="3366"/>
      <c r="S35" s="3366"/>
      <c r="T35" s="3244"/>
      <c r="U35" s="3244"/>
      <c r="V35" s="3244"/>
      <c r="W35" s="3244"/>
      <c r="X35" s="3244"/>
      <c r="Y35" s="3244"/>
      <c r="Z35" s="3248"/>
      <c r="AA35" s="3248"/>
      <c r="AB35" s="3248"/>
      <c r="AC35" s="3248"/>
      <c r="AD35" s="3248"/>
      <c r="AE35" s="3366"/>
      <c r="AF35" s="3366"/>
    </row>
    <row r="36" spans="1:37" s="3279" customFormat="1" ht="13.5">
      <c r="A36" s="3246"/>
      <c r="B36" s="3387"/>
      <c r="C36" s="3245"/>
      <c r="D36" s="3379"/>
      <c r="E36" s="3379"/>
      <c r="F36" s="3379"/>
      <c r="G36" s="3379"/>
      <c r="H36" s="3379"/>
      <c r="I36" s="3248"/>
      <c r="J36" s="3248"/>
      <c r="K36" s="3248"/>
      <c r="L36" s="3248"/>
      <c r="M36" s="3244"/>
      <c r="N36" s="3244"/>
      <c r="O36" s="3366"/>
      <c r="P36" s="3366"/>
      <c r="Q36" s="3366"/>
      <c r="R36" s="3366"/>
      <c r="S36" s="3366"/>
      <c r="T36" s="3244"/>
      <c r="U36" s="3244"/>
      <c r="V36" s="3244"/>
      <c r="W36" s="3244"/>
      <c r="X36" s="3244"/>
      <c r="Y36" s="3244"/>
      <c r="Z36" s="3248"/>
      <c r="AA36" s="3248"/>
      <c r="AB36" s="3248"/>
      <c r="AC36" s="3248"/>
      <c r="AD36" s="3248"/>
      <c r="AE36" s="3366"/>
      <c r="AF36" s="3366"/>
    </row>
    <row r="37" spans="1:37">
      <c r="A37" s="3248"/>
      <c r="B37" s="3401"/>
      <c r="C37" s="3244"/>
      <c r="D37" s="3244"/>
      <c r="E37" s="3244"/>
      <c r="F37" s="3244"/>
      <c r="G37" s="3244"/>
      <c r="H37" s="3244"/>
      <c r="I37" s="3244"/>
      <c r="J37" s="3244"/>
      <c r="L37" s="3244"/>
      <c r="M37" s="3244"/>
      <c r="N37" s="3244"/>
      <c r="O37" s="3244"/>
      <c r="P37" s="3244"/>
      <c r="Q37" s="3244"/>
      <c r="R37" s="3244"/>
      <c r="S37" s="3244"/>
      <c r="T37" s="3244"/>
      <c r="U37" s="3244"/>
      <c r="V37" s="3244"/>
      <c r="W37" s="3244"/>
      <c r="X37" s="3244"/>
      <c r="Y37" s="3244"/>
      <c r="Z37" s="3248"/>
      <c r="AA37" s="3248"/>
      <c r="AB37" s="3248"/>
      <c r="AC37" s="3248"/>
      <c r="AD37" s="3248"/>
      <c r="AE37" s="3248"/>
      <c r="AF37" s="3248"/>
      <c r="AK37" s="3246"/>
    </row>
    <row r="38" spans="1:37" s="3279" customFormat="1" ht="13.5">
      <c r="A38" s="3248"/>
      <c r="B38" s="3401"/>
      <c r="C38" s="3244"/>
      <c r="D38" s="3244"/>
      <c r="E38" s="3244"/>
      <c r="F38" s="3244"/>
      <c r="G38" s="3244"/>
      <c r="H38" s="3244"/>
      <c r="I38" s="3244"/>
      <c r="J38" s="3244"/>
      <c r="K38" s="3366"/>
      <c r="L38" s="3244"/>
      <c r="M38" s="3244"/>
      <c r="N38" s="3244"/>
      <c r="O38" s="3244"/>
      <c r="P38" s="3244"/>
      <c r="Q38" s="3244"/>
      <c r="R38" s="3244"/>
      <c r="S38" s="3244"/>
      <c r="T38" s="3244"/>
      <c r="U38" s="3244"/>
      <c r="V38" s="3244"/>
      <c r="W38" s="3244"/>
      <c r="X38" s="3244"/>
      <c r="Y38" s="3244"/>
      <c r="Z38" s="3248"/>
      <c r="AA38" s="3248"/>
      <c r="AB38" s="3248"/>
      <c r="AC38" s="3248"/>
      <c r="AD38" s="3248"/>
      <c r="AE38" s="3366"/>
      <c r="AF38" s="3366"/>
    </row>
    <row r="39" spans="1:37" ht="14.25" thickBot="1">
      <c r="A39" s="3402" t="s">
        <v>3640</v>
      </c>
      <c r="B39" s="3403"/>
      <c r="C39" s="3404"/>
      <c r="D39" s="3404"/>
      <c r="E39" s="3404"/>
      <c r="F39" s="3405"/>
      <c r="G39" s="3404"/>
      <c r="H39" s="3405"/>
      <c r="I39" s="3404"/>
      <c r="J39" s="3404"/>
      <c r="L39" s="3244"/>
      <c r="M39" s="3244"/>
      <c r="N39" s="3244"/>
      <c r="O39" s="3244"/>
      <c r="P39" s="3244"/>
      <c r="Q39" s="3244"/>
      <c r="R39" s="3244"/>
      <c r="S39" s="3244"/>
      <c r="T39" s="3244"/>
      <c r="U39" s="3244"/>
      <c r="V39" s="3244"/>
      <c r="W39" s="3244"/>
      <c r="X39" s="3244"/>
      <c r="Y39" s="3244"/>
      <c r="Z39" s="3248"/>
      <c r="AA39" s="3248"/>
      <c r="AB39" s="3248"/>
      <c r="AC39" s="3248"/>
      <c r="AD39" s="3248"/>
      <c r="AE39" s="3248"/>
      <c r="AF39" s="3248"/>
    </row>
    <row r="40" spans="1:37" ht="14.25" hidden="1" thickBot="1">
      <c r="A40" s="3406" t="s">
        <v>673</v>
      </c>
      <c r="B40" s="3407">
        <f>1+E42</f>
        <v>1</v>
      </c>
      <c r="C40" s="3408"/>
      <c r="D40" s="3409"/>
      <c r="E40" s="3410"/>
      <c r="F40" s="3402"/>
      <c r="G40" s="3405"/>
      <c r="H40" s="3404"/>
      <c r="I40" s="3404"/>
      <c r="J40" s="3404"/>
      <c r="L40" s="3244"/>
      <c r="M40" s="3244"/>
      <c r="N40" s="3244"/>
      <c r="O40" s="3244"/>
      <c r="P40" s="3244"/>
      <c r="Q40" s="3244"/>
      <c r="R40" s="3244"/>
      <c r="S40" s="3244"/>
      <c r="T40" s="3244"/>
      <c r="U40" s="3244"/>
      <c r="V40" s="3244"/>
      <c r="W40" s="3244"/>
      <c r="X40" s="3244"/>
      <c r="Y40" s="3244"/>
      <c r="Z40" s="3248"/>
      <c r="AA40" s="3248"/>
      <c r="AB40" s="3248"/>
      <c r="AC40" s="3248"/>
      <c r="AD40" s="3248"/>
      <c r="AE40" s="3248"/>
      <c r="AF40" s="3248"/>
    </row>
    <row r="41" spans="1:37" ht="14.25" hidden="1" thickBot="1">
      <c r="A41" s="3411" t="s">
        <v>3641</v>
      </c>
      <c r="B41" s="3412" t="s">
        <v>3642</v>
      </c>
      <c r="C41" s="3412" t="s">
        <v>3643</v>
      </c>
      <c r="D41" s="3412" t="s">
        <v>3644</v>
      </c>
      <c r="E41" s="3413" t="s">
        <v>3645</v>
      </c>
      <c r="F41" s="3414" t="s">
        <v>3396</v>
      </c>
      <c r="G41" s="3414" t="s">
        <v>3394</v>
      </c>
      <c r="H41" s="3414" t="s">
        <v>3395</v>
      </c>
      <c r="I41" s="3414" t="s">
        <v>3646</v>
      </c>
      <c r="J41" s="3414" t="s">
        <v>3647</v>
      </c>
      <c r="L41" s="3244"/>
      <c r="M41" s="3244"/>
      <c r="N41" s="3244"/>
      <c r="O41" s="3244"/>
      <c r="P41" s="3244"/>
      <c r="Q41" s="3244"/>
      <c r="R41" s="3244"/>
      <c r="S41" s="3244"/>
      <c r="T41" s="3244"/>
      <c r="U41" s="3244"/>
      <c r="V41" s="3244"/>
      <c r="W41" s="3244"/>
      <c r="X41" s="3244"/>
      <c r="Y41" s="3244"/>
      <c r="Z41" s="3248"/>
      <c r="AA41" s="3248"/>
      <c r="AB41" s="3248"/>
      <c r="AC41" s="3248"/>
      <c r="AD41" s="3248"/>
      <c r="AE41" s="3248"/>
      <c r="AF41" s="3248"/>
    </row>
    <row r="42" spans="1:37" ht="36.75" hidden="1" thickBot="1">
      <c r="A42" s="3411" t="s">
        <v>3648</v>
      </c>
      <c r="B42" s="3415" t="str">
        <f>[1]估价对象房地状况!C4</f>
        <v>估价对象位于XX商圈，周边商业氛围成熟，人流量大，商业繁华度好</v>
      </c>
      <c r="C42" s="3416"/>
      <c r="D42" s="3417">
        <f t="shared" ref="D42:D48" si="1">SUMIF($F$41:$J$41,C42,F42:J42)</f>
        <v>0</v>
      </c>
      <c r="E42" s="3418">
        <f>SUM(D42:D48)</f>
        <v>0</v>
      </c>
      <c r="F42" s="3419">
        <f>SUMPRODUCT(('[1]2002因素修正幅度'!$A$36:$A$42=A42)*('[1]2002因素修正幅度'!$B$35:$K$35=$G$2)*('[1]2002因素修正幅度'!$B$36:$K$42))</f>
        <v>4.4999999999999998E-2</v>
      </c>
      <c r="G42" s="3419">
        <f>F42/2</f>
        <v>2.2499999999999999E-2</v>
      </c>
      <c r="H42" s="3420">
        <v>0</v>
      </c>
      <c r="I42" s="3419">
        <f>J42/2</f>
        <v>-2.2499999999999999E-2</v>
      </c>
      <c r="J42" s="3419">
        <f>SUMPRODUCT(('[1]2002因素修正幅度'!$A$66:$A$72=A42)*('[1]2002因素修正幅度'!$B$35:$K$35=$G$2)*('[1]2002因素修正幅度'!$B$66:$K$72))</f>
        <v>-4.4999999999999998E-2</v>
      </c>
      <c r="L42" s="3244"/>
      <c r="M42" s="3244"/>
      <c r="N42" s="3421"/>
      <c r="O42" s="3244"/>
      <c r="P42" s="3244"/>
      <c r="Q42" s="3244"/>
      <c r="R42" s="3244"/>
      <c r="S42" s="3244"/>
      <c r="T42" s="3244"/>
      <c r="U42" s="3244"/>
      <c r="V42" s="3244"/>
      <c r="W42" s="3244"/>
      <c r="X42" s="3244"/>
      <c r="Y42" s="3244"/>
      <c r="Z42" s="3248"/>
      <c r="AA42" s="3248"/>
      <c r="AB42" s="3248"/>
      <c r="AC42" s="3248"/>
      <c r="AD42" s="3248"/>
      <c r="AE42" s="3248"/>
      <c r="AF42" s="3248"/>
    </row>
    <row r="43" spans="1:37" ht="48.75" hidden="1" thickBot="1">
      <c r="A43" s="3411" t="s">
        <v>3649</v>
      </c>
      <c r="B43" s="3412" t="str">
        <f>[1]估价对象房地状况!C6</f>
        <v>估价对象周边道路状况、公共交通通达情况、停车便捷程度，综合评价交通便捷度较好</v>
      </c>
      <c r="C43" s="3416"/>
      <c r="D43" s="3417">
        <f t="shared" si="1"/>
        <v>0</v>
      </c>
      <c r="E43" s="3422"/>
      <c r="F43" s="3419">
        <f>SUMPRODUCT(('[1]2002因素修正幅度'!$A$36:$A$42=A43)*('[1]2002因素修正幅度'!$B$35:$K$35=$G$2)*('[1]2002因素修正幅度'!$B$36:$K$42))</f>
        <v>2.2499999999999999E-2</v>
      </c>
      <c r="G43" s="3419">
        <f t="shared" ref="G43:G48" si="2">F43/2</f>
        <v>1.125E-2</v>
      </c>
      <c r="H43" s="3420">
        <v>0</v>
      </c>
      <c r="I43" s="3419">
        <f t="shared" ref="I43:I48" si="3">J43/2</f>
        <v>-1.125E-2</v>
      </c>
      <c r="J43" s="3419">
        <f>SUMPRODUCT(('[1]2002因素修正幅度'!$A$66:$A$72=A43)*('[1]2002因素修正幅度'!$B$35:$K$35=$G$2)*('[1]2002因素修正幅度'!$B$66:$K$72))</f>
        <v>-2.2499999999999999E-2</v>
      </c>
      <c r="L43" s="3244"/>
      <c r="M43" s="3244"/>
      <c r="N43" s="3244"/>
      <c r="O43" s="3244"/>
      <c r="P43" s="3244"/>
      <c r="Q43" s="3244"/>
      <c r="R43" s="3244"/>
      <c r="S43" s="3244"/>
      <c r="T43" s="3244"/>
      <c r="U43" s="3244"/>
      <c r="V43" s="3244"/>
      <c r="W43" s="3244"/>
      <c r="X43" s="3244"/>
      <c r="Y43" s="3248"/>
      <c r="Z43" s="3248"/>
      <c r="AA43" s="3248"/>
      <c r="AB43" s="3248"/>
      <c r="AC43" s="3248"/>
      <c r="AD43" s="3248"/>
      <c r="AE43" s="3244"/>
      <c r="AF43" s="3244"/>
      <c r="AG43" s="3245"/>
      <c r="AH43" s="3245"/>
      <c r="AI43" s="3245"/>
      <c r="AJ43" s="3245"/>
    </row>
    <row r="44" spans="1:37" ht="24.75" hidden="1" thickBot="1">
      <c r="A44" s="3411" t="s">
        <v>3650</v>
      </c>
      <c r="B44" s="3412" t="str">
        <f>[1]估价对象房地状况!C7</f>
        <v>零星有其他用地，基本不影响本宗地</v>
      </c>
      <c r="C44" s="3416"/>
      <c r="D44" s="3417">
        <f t="shared" si="1"/>
        <v>0</v>
      </c>
      <c r="E44" s="3422"/>
      <c r="F44" s="3419">
        <f>SUMPRODUCT(('[1]2002因素修正幅度'!$A$36:$A$42=A44)*('[1]2002因素修正幅度'!$B$35:$K$35=$G$2)*('[1]2002因素修正幅度'!$B$36:$K$42))</f>
        <v>1.4999999999999999E-2</v>
      </c>
      <c r="G44" s="3419">
        <f t="shared" si="2"/>
        <v>7.4999999999999997E-3</v>
      </c>
      <c r="H44" s="3420">
        <v>0</v>
      </c>
      <c r="I44" s="3419">
        <f t="shared" si="3"/>
        <v>-7.4999999999999997E-3</v>
      </c>
      <c r="J44" s="3419">
        <f>SUMPRODUCT(('[1]2002因素修正幅度'!$A$66:$A$72=A44)*('[1]2002因素修正幅度'!$B$35:$K$35=$G$2)*('[1]2002因素修正幅度'!$B$66:$K$72))</f>
        <v>-1.4999999999999999E-2</v>
      </c>
      <c r="L44" s="3244"/>
      <c r="M44" s="3244"/>
      <c r="N44" s="3244"/>
      <c r="O44" s="3244"/>
      <c r="P44" s="3244"/>
      <c r="Q44" s="3244"/>
      <c r="R44" s="3244"/>
      <c r="S44" s="3244"/>
      <c r="T44" s="3244"/>
      <c r="U44" s="3244"/>
      <c r="V44" s="3244"/>
      <c r="W44" s="3248"/>
      <c r="X44" s="3248"/>
      <c r="Y44" s="3248"/>
      <c r="Z44" s="3248"/>
      <c r="AA44" s="3248"/>
      <c r="AB44" s="3248"/>
      <c r="AC44" s="3248"/>
      <c r="AE44" s="3244"/>
      <c r="AF44" s="3244"/>
      <c r="AG44" s="3245"/>
      <c r="AH44" s="3245"/>
      <c r="AI44" s="3245"/>
      <c r="AJ44" s="3245"/>
    </row>
    <row r="45" spans="1:37" ht="36.75" hidden="1" thickBot="1">
      <c r="A45" s="3411" t="s">
        <v>3651</v>
      </c>
      <c r="B45" s="3423" t="s">
        <v>3652</v>
      </c>
      <c r="C45" s="3416"/>
      <c r="D45" s="3417">
        <f t="shared" si="1"/>
        <v>0</v>
      </c>
      <c r="E45" s="3422"/>
      <c r="F45" s="3419">
        <f>SUMPRODUCT(('[1]2002因素修正幅度'!$A$36:$A$42=A45)*('[1]2002因素修正幅度'!$B$35:$K$35=$G$2)*('[1]2002因素修正幅度'!$B$36:$K$42))</f>
        <v>0.03</v>
      </c>
      <c r="G45" s="3419">
        <f t="shared" si="2"/>
        <v>1.4999999999999999E-2</v>
      </c>
      <c r="H45" s="3420">
        <v>0</v>
      </c>
      <c r="I45" s="3419">
        <f t="shared" si="3"/>
        <v>-1.4999999999999999E-2</v>
      </c>
      <c r="J45" s="3419">
        <f>SUMPRODUCT(('[1]2002因素修正幅度'!$A$66:$A$72=A45)*('[1]2002因素修正幅度'!$B$35:$K$35=$G$2)*('[1]2002因素修正幅度'!$B$66:$K$72))</f>
        <v>-0.03</v>
      </c>
      <c r="L45" s="3244"/>
      <c r="M45" s="3244"/>
      <c r="N45" s="3244"/>
      <c r="O45" s="3244"/>
      <c r="P45" s="3244"/>
      <c r="Q45" s="3244"/>
      <c r="R45" s="3244"/>
      <c r="S45" s="3244"/>
      <c r="T45" s="3244"/>
      <c r="U45" s="3244"/>
      <c r="V45" s="3244"/>
      <c r="W45" s="3248"/>
      <c r="X45" s="3248"/>
      <c r="Y45" s="3248"/>
      <c r="Z45" s="3248"/>
      <c r="AA45" s="3248"/>
      <c r="AB45" s="3248"/>
      <c r="AC45" s="3248"/>
      <c r="AE45" s="3244"/>
      <c r="AF45" s="3244"/>
      <c r="AG45" s="3245"/>
      <c r="AH45" s="3245"/>
      <c r="AI45" s="3245"/>
      <c r="AJ45" s="3245"/>
    </row>
    <row r="46" spans="1:37" ht="15" hidden="1" thickBot="1">
      <c r="A46" s="3411" t="s">
        <v>3653</v>
      </c>
      <c r="B46" s="3412">
        <f>[1]估价对象房地状况!C12</f>
        <v>0</v>
      </c>
      <c r="C46" s="3416"/>
      <c r="D46" s="3417">
        <f t="shared" si="1"/>
        <v>0</v>
      </c>
      <c r="E46" s="3422"/>
      <c r="F46" s="3419">
        <f>SUMPRODUCT(('[1]2002因素修正幅度'!$A$36:$A$42=A46)*('[1]2002因素修正幅度'!$B$35:$K$35=$G$2)*('[1]2002因素修正幅度'!$B$36:$K$42))</f>
        <v>1.4999999999999999E-2</v>
      </c>
      <c r="G46" s="3419">
        <f t="shared" si="2"/>
        <v>7.4999999999999997E-3</v>
      </c>
      <c r="H46" s="3420">
        <v>0</v>
      </c>
      <c r="I46" s="3419">
        <f t="shared" si="3"/>
        <v>-7.4999999999999997E-3</v>
      </c>
      <c r="J46" s="3419">
        <f>SUMPRODUCT(('[1]2002因素修正幅度'!$A$66:$A$72=A46)*('[1]2002因素修正幅度'!$B$35:$K$35=$G$2)*('[1]2002因素修正幅度'!$B$66:$K$72))</f>
        <v>-1.4999999999999999E-2</v>
      </c>
      <c r="L46" s="3244"/>
      <c r="M46" s="3244"/>
      <c r="N46" s="3244"/>
      <c r="O46" s="3244"/>
      <c r="P46" s="3244"/>
      <c r="Q46" s="3244"/>
      <c r="R46" s="3244"/>
      <c r="S46" s="3244"/>
      <c r="T46" s="3244"/>
      <c r="U46" s="3244"/>
      <c r="V46" s="3244"/>
      <c r="W46" s="3248"/>
      <c r="X46" s="3248"/>
      <c r="Y46" s="3248"/>
      <c r="Z46" s="3248"/>
      <c r="AA46" s="3248"/>
      <c r="AB46" s="3248"/>
      <c r="AC46" s="3248"/>
      <c r="AE46" s="3244"/>
      <c r="AF46" s="3244"/>
      <c r="AG46" s="3245"/>
      <c r="AH46" s="3245"/>
      <c r="AI46" s="3245"/>
      <c r="AJ46" s="3245"/>
    </row>
    <row r="47" spans="1:37" ht="24.75" hidden="1" thickBot="1">
      <c r="A47" s="3411" t="s">
        <v>3654</v>
      </c>
      <c r="B47" s="3424" t="s">
        <v>3655</v>
      </c>
      <c r="C47" s="3416"/>
      <c r="D47" s="3417">
        <f t="shared" si="1"/>
        <v>0</v>
      </c>
      <c r="E47" s="3422"/>
      <c r="F47" s="3419">
        <f>SUMPRODUCT(('[1]2002因素修正幅度'!$A$36:$A$42=A47)*('[1]2002因素修正幅度'!$B$35:$K$35=$G$2)*('[1]2002因素修正幅度'!$B$36:$K$42))</f>
        <v>1.2E-2</v>
      </c>
      <c r="G47" s="3419">
        <f t="shared" si="2"/>
        <v>6.0000000000000001E-3</v>
      </c>
      <c r="H47" s="3420">
        <v>0</v>
      </c>
      <c r="I47" s="3419">
        <f t="shared" si="3"/>
        <v>-6.0000000000000001E-3</v>
      </c>
      <c r="J47" s="3419">
        <f>SUMPRODUCT(('[1]2002因素修正幅度'!$A$66:$A$72=A47)*('[1]2002因素修正幅度'!$B$35:$K$35=$G$2)*('[1]2002因素修正幅度'!$B$66:$K$72))</f>
        <v>-1.2E-2</v>
      </c>
      <c r="L47" s="3244"/>
      <c r="M47" s="3244"/>
      <c r="N47" s="3244"/>
      <c r="O47" s="3244"/>
      <c r="P47" s="3244"/>
      <c r="Q47" s="3244"/>
      <c r="R47" s="3244"/>
      <c r="S47" s="3244"/>
      <c r="T47" s="3244"/>
      <c r="U47" s="3244"/>
      <c r="V47" s="3244"/>
      <c r="W47" s="3248"/>
      <c r="X47" s="3248"/>
      <c r="Y47" s="3248"/>
      <c r="Z47" s="3248"/>
      <c r="AA47" s="3248"/>
      <c r="AB47" s="3248"/>
      <c r="AC47" s="3248"/>
      <c r="AE47" s="3248"/>
      <c r="AF47" s="3248"/>
    </row>
    <row r="48" spans="1:37" ht="24.75" hidden="1" thickBot="1">
      <c r="A48" s="3425" t="s">
        <v>3656</v>
      </c>
      <c r="B48" s="3412" t="str">
        <f>[1]估价对象房地状况!C10</f>
        <v>估价对象所在区域基础设施水平</v>
      </c>
      <c r="C48" s="3416"/>
      <c r="D48" s="3417">
        <f t="shared" si="1"/>
        <v>0</v>
      </c>
      <c r="E48" s="3422"/>
      <c r="F48" s="3419">
        <f>SUMPRODUCT(('[1]2002因素修正幅度'!$A$36:$A$42=A48)*('[1]2002因素修正幅度'!$B$35:$K$35=$G$2)*('[1]2002因素修正幅度'!$B$36:$K$42))</f>
        <v>1.0500000000000001E-2</v>
      </c>
      <c r="G48" s="3419">
        <f t="shared" si="2"/>
        <v>5.2500000000000003E-3</v>
      </c>
      <c r="H48" s="3420">
        <v>0</v>
      </c>
      <c r="I48" s="3419">
        <f t="shared" si="3"/>
        <v>-5.2500000000000003E-3</v>
      </c>
      <c r="J48" s="3419">
        <f>SUMPRODUCT(('[1]2002因素修正幅度'!$A$66:$A$72=A48)*('[1]2002因素修正幅度'!$B$35:$K$35=$G$2)*('[1]2002因素修正幅度'!$B$66:$K$72))</f>
        <v>-1.0500000000000001E-2</v>
      </c>
      <c r="L48" s="3244"/>
      <c r="M48" s="3244"/>
      <c r="N48" s="3244"/>
      <c r="O48" s="3244"/>
      <c r="P48" s="3244"/>
      <c r="Q48" s="3244"/>
      <c r="R48" s="3244"/>
      <c r="S48" s="3244"/>
      <c r="T48" s="3244"/>
      <c r="U48" s="3244"/>
      <c r="V48" s="3244"/>
      <c r="W48" s="3248"/>
      <c r="X48" s="3248"/>
      <c r="Y48" s="3248"/>
      <c r="Z48" s="3248"/>
      <c r="AA48" s="3248"/>
      <c r="AB48" s="3248"/>
      <c r="AC48" s="3248"/>
      <c r="AE48" s="3248"/>
      <c r="AF48" s="3248"/>
    </row>
    <row r="49" spans="1:36" ht="15.75" hidden="1" thickBot="1">
      <c r="A49" s="3406" t="s">
        <v>3638</v>
      </c>
      <c r="B49" s="3426">
        <f>1+E51</f>
        <v>1</v>
      </c>
      <c r="C49" s="3409"/>
      <c r="D49" s="3427"/>
      <c r="E49" s="3428"/>
      <c r="F49" s="3429"/>
      <c r="G49" s="3429"/>
      <c r="H49" s="3429"/>
      <c r="I49" s="3429"/>
      <c r="J49" s="3429"/>
      <c r="L49" s="3244"/>
      <c r="M49" s="3244"/>
      <c r="N49" s="3244"/>
      <c r="O49" s="3244"/>
      <c r="P49" s="3244"/>
      <c r="Q49" s="3244"/>
      <c r="R49" s="3244"/>
      <c r="S49" s="3244"/>
      <c r="T49" s="3244"/>
      <c r="U49" s="3244"/>
      <c r="V49" s="3244"/>
      <c r="W49" s="3248"/>
      <c r="X49" s="3248"/>
      <c r="Y49" s="3248"/>
      <c r="Z49" s="3248"/>
      <c r="AA49" s="3248"/>
      <c r="AB49" s="3248"/>
      <c r="AC49" s="3248"/>
      <c r="AE49" s="3248"/>
      <c r="AF49" s="3248"/>
    </row>
    <row r="50" spans="1:36" ht="14.25" hidden="1" thickBot="1">
      <c r="A50" s="3411" t="s">
        <v>3641</v>
      </c>
      <c r="B50" s="3412"/>
      <c r="C50" s="3412" t="s">
        <v>3643</v>
      </c>
      <c r="D50" s="3430" t="s">
        <v>3657</v>
      </c>
      <c r="E50" s="3431" t="s">
        <v>3658</v>
      </c>
      <c r="F50" s="3432" t="s">
        <v>3659</v>
      </c>
      <c r="G50" s="3432" t="s">
        <v>3660</v>
      </c>
      <c r="H50" s="3432" t="s">
        <v>3661</v>
      </c>
      <c r="I50" s="3432" t="s">
        <v>3662</v>
      </c>
      <c r="J50" s="3432" t="s">
        <v>3663</v>
      </c>
      <c r="L50" s="3244"/>
      <c r="M50" s="3244"/>
      <c r="N50" s="3244"/>
      <c r="O50" s="3244"/>
      <c r="P50" s="3244"/>
      <c r="Q50" s="3244"/>
      <c r="R50" s="3244"/>
      <c r="S50" s="3244"/>
      <c r="T50" s="3244"/>
      <c r="U50" s="3244"/>
      <c r="V50" s="3244"/>
      <c r="W50" s="3248"/>
      <c r="X50" s="3248"/>
      <c r="Y50" s="3248"/>
      <c r="Z50" s="3248"/>
      <c r="AA50" s="3248"/>
      <c r="AB50" s="3248"/>
      <c r="AC50" s="3248"/>
      <c r="AE50" s="3248"/>
      <c r="AF50" s="3248"/>
    </row>
    <row r="51" spans="1:36" ht="36.75" hidden="1" thickBot="1">
      <c r="A51" s="3411" t="s">
        <v>3664</v>
      </c>
      <c r="B51" s="3415" t="str">
        <f>[1]估价对象房地状况!C5</f>
        <v>估价对象位于XX商圈，周边办公楼项目较多，入驻率高，办公集聚程度较好</v>
      </c>
      <c r="C51" s="3416"/>
      <c r="D51" s="3417">
        <f t="shared" ref="D51:D57" si="4">SUMIF($F$50:$J$50,C51,F51:J51)</f>
        <v>0</v>
      </c>
      <c r="E51" s="3418">
        <f>SUM(D51:D57)</f>
        <v>0</v>
      </c>
      <c r="F51" s="3419">
        <f>SUMPRODUCT(('[1]2002因素修正幅度'!$A$43:$A$49=A51)*('[1]2002因素修正幅度'!$B$35:$K$35=$G$2)*('[1]2002因素修正幅度'!$B$43:$K$49))</f>
        <v>0.03</v>
      </c>
      <c r="G51" s="3419">
        <f>F51/2</f>
        <v>1.4999999999999999E-2</v>
      </c>
      <c r="H51" s="3420">
        <v>0</v>
      </c>
      <c r="I51" s="3419">
        <f>J51/2</f>
        <v>-1.4999999999999999E-2</v>
      </c>
      <c r="J51" s="3419">
        <f>SUMPRODUCT(('[1]2002因素修正幅度'!$A$73:$A$79=A51)*('[1]2002因素修正幅度'!$B$35:$K$35=$G$2)*('[1]2002因素修正幅度'!$B$73:$K$79))</f>
        <v>-0.03</v>
      </c>
      <c r="L51" s="3244"/>
      <c r="M51" s="3244"/>
      <c r="N51" s="3244"/>
      <c r="O51" s="3244"/>
      <c r="P51" s="3244"/>
      <c r="Q51" s="3244"/>
      <c r="R51" s="3244"/>
      <c r="S51" s="3244"/>
      <c r="T51" s="3244"/>
      <c r="U51" s="3244"/>
      <c r="V51" s="3244"/>
      <c r="W51" s="3248"/>
      <c r="X51" s="3248"/>
      <c r="Y51" s="3248"/>
      <c r="Z51" s="3248"/>
      <c r="AA51" s="3248"/>
      <c r="AB51" s="3248"/>
      <c r="AC51" s="3248"/>
      <c r="AE51" s="3248"/>
      <c r="AF51" s="3248"/>
    </row>
    <row r="52" spans="1:36" ht="48.75" hidden="1" thickBot="1">
      <c r="A52" s="3411" t="s">
        <v>3649</v>
      </c>
      <c r="B52" s="3412" t="str">
        <f>[1]估价对象房地状况!C6</f>
        <v>估价对象周边道路状况、公共交通通达情况、停车便捷程度，综合评价交通便捷度较好</v>
      </c>
      <c r="C52" s="3416"/>
      <c r="D52" s="3417">
        <f t="shared" si="4"/>
        <v>0</v>
      </c>
      <c r="E52" s="3422"/>
      <c r="F52" s="3419">
        <f>SUMPRODUCT(('[1]2002因素修正幅度'!$A$43:$A$49=A52)*('[1]2002因素修正幅度'!$B$35:$K$35=$G$2)*('[1]2002因素修正幅度'!$B$43:$K$49))</f>
        <v>3.7499999999999999E-2</v>
      </c>
      <c r="G52" s="3419">
        <f t="shared" ref="G52:G57" si="5">F52/2</f>
        <v>1.8749999999999999E-2</v>
      </c>
      <c r="H52" s="3420">
        <v>0</v>
      </c>
      <c r="I52" s="3419">
        <f t="shared" ref="I52:I57" si="6">J52/2</f>
        <v>-1.8749999999999999E-2</v>
      </c>
      <c r="J52" s="3419">
        <f>SUMPRODUCT(('[1]2002因素修正幅度'!$A$73:$A$79=A52)*('[1]2002因素修正幅度'!$B$35:$K$35=$G$2)*('[1]2002因素修正幅度'!$B$73:$K$79))</f>
        <v>-3.7499999999999999E-2</v>
      </c>
      <c r="L52" s="3244"/>
      <c r="M52" s="3244"/>
      <c r="N52" s="3244"/>
      <c r="O52" s="3244"/>
      <c r="P52" s="3244"/>
      <c r="Q52" s="3244"/>
      <c r="R52" s="3244"/>
      <c r="S52" s="3244"/>
      <c r="T52" s="3244"/>
      <c r="U52" s="3244"/>
      <c r="V52" s="3244"/>
      <c r="W52" s="3248"/>
      <c r="X52" s="3248"/>
      <c r="Y52" s="3248"/>
      <c r="Z52" s="3248"/>
      <c r="AA52" s="3248"/>
      <c r="AB52" s="3248"/>
      <c r="AC52" s="3248"/>
      <c r="AE52" s="3248"/>
      <c r="AF52" s="3248"/>
    </row>
    <row r="53" spans="1:36" ht="24.75" hidden="1" thickBot="1">
      <c r="A53" s="3411" t="s">
        <v>3650</v>
      </c>
      <c r="B53" s="3412" t="str">
        <f>[1]估价对象房地状况!C7</f>
        <v>零星有其他用地，基本不影响本宗地</v>
      </c>
      <c r="C53" s="3416"/>
      <c r="D53" s="3417">
        <f t="shared" si="4"/>
        <v>0</v>
      </c>
      <c r="E53" s="3422"/>
      <c r="F53" s="3419">
        <f>SUMPRODUCT(('[1]2002因素修正幅度'!$A$43:$A$49=A53)*('[1]2002因素修正幅度'!$B$35:$K$35=$G$2)*('[1]2002因素修正幅度'!$B$43:$K$49))</f>
        <v>1.4999999999999999E-2</v>
      </c>
      <c r="G53" s="3419">
        <f t="shared" si="5"/>
        <v>7.4999999999999997E-3</v>
      </c>
      <c r="H53" s="3420">
        <v>0</v>
      </c>
      <c r="I53" s="3419">
        <f t="shared" si="6"/>
        <v>-7.4999999999999997E-3</v>
      </c>
      <c r="J53" s="3419">
        <f>SUMPRODUCT(('[1]2002因素修正幅度'!$A$73:$A$79=A53)*('[1]2002因素修正幅度'!$B$35:$K$35=$G$2)*('[1]2002因素修正幅度'!$B$73:$K$79))</f>
        <v>-1.4999999999999999E-2</v>
      </c>
      <c r="L53" s="3244"/>
      <c r="M53" s="3244"/>
      <c r="N53" s="3244"/>
      <c r="O53" s="3244"/>
      <c r="P53" s="3244"/>
      <c r="Q53" s="3244"/>
      <c r="R53" s="3244"/>
      <c r="S53" s="3244"/>
      <c r="T53" s="3244"/>
      <c r="U53" s="3244"/>
      <c r="V53" s="3244"/>
      <c r="W53" s="3248"/>
      <c r="X53" s="3248"/>
      <c r="Y53" s="3248"/>
      <c r="Z53" s="3248"/>
      <c r="AA53" s="3248"/>
      <c r="AB53" s="3248"/>
      <c r="AC53" s="3248"/>
      <c r="AE53" s="3248"/>
      <c r="AF53" s="3248"/>
    </row>
    <row r="54" spans="1:36" s="3421" customFormat="1" ht="36.75" hidden="1" thickBot="1">
      <c r="A54" s="3411" t="s">
        <v>3651</v>
      </c>
      <c r="B54" s="3423" t="s">
        <v>3652</v>
      </c>
      <c r="C54" s="3416"/>
      <c r="D54" s="3417">
        <f t="shared" si="4"/>
        <v>0</v>
      </c>
      <c r="E54" s="3422"/>
      <c r="F54" s="3419">
        <f>SUMPRODUCT(('[1]2002因素修正幅度'!$A$43:$A$49=A54)*('[1]2002因素修正幅度'!$B$35:$K$35=$G$2)*('[1]2002因素修正幅度'!$B$43:$K$49))</f>
        <v>1.4999999999999999E-2</v>
      </c>
      <c r="G54" s="3419">
        <f t="shared" si="5"/>
        <v>7.4999999999999997E-3</v>
      </c>
      <c r="H54" s="3420">
        <v>0</v>
      </c>
      <c r="I54" s="3419">
        <f t="shared" si="6"/>
        <v>-7.4999999999999997E-3</v>
      </c>
      <c r="J54" s="3419">
        <f>SUMPRODUCT(('[1]2002因素修正幅度'!$A$73:$A$79=A54)*('[1]2002因素修正幅度'!$B$35:$K$35=$G$2)*('[1]2002因素修正幅度'!$B$73:$K$79))</f>
        <v>-1.4999999999999999E-2</v>
      </c>
      <c r="K54" s="3244"/>
      <c r="L54" s="3244"/>
      <c r="M54" s="3244"/>
      <c r="N54" s="3244"/>
      <c r="O54" s="3244"/>
      <c r="P54" s="3244"/>
      <c r="Q54" s="3244"/>
      <c r="R54" s="3244"/>
      <c r="S54" s="3244"/>
      <c r="T54" s="3244"/>
      <c r="U54" s="3244"/>
      <c r="V54" s="3244"/>
      <c r="W54" s="3248"/>
      <c r="X54" s="3248"/>
      <c r="Y54" s="3248"/>
      <c r="Z54" s="3248"/>
      <c r="AA54" s="3248"/>
      <c r="AB54" s="3248"/>
      <c r="AC54" s="3248"/>
      <c r="AD54" s="3247"/>
      <c r="AE54" s="3248"/>
      <c r="AF54" s="3248"/>
      <c r="AG54" s="3247"/>
      <c r="AH54" s="3247"/>
      <c r="AI54" s="3247"/>
      <c r="AJ54" s="3247"/>
    </row>
    <row r="55" spans="1:36" s="3421" customFormat="1" ht="15" hidden="1" thickBot="1">
      <c r="A55" s="3411" t="s">
        <v>3653</v>
      </c>
      <c r="B55" s="3412">
        <f>[1]估价对象房地状况!C12</f>
        <v>0</v>
      </c>
      <c r="C55" s="3416"/>
      <c r="D55" s="3417">
        <f t="shared" si="4"/>
        <v>0</v>
      </c>
      <c r="E55" s="3422"/>
      <c r="F55" s="3419">
        <f>SUMPRODUCT(('[1]2002因素修正幅度'!$A$43:$A$49=A55)*('[1]2002因素修正幅度'!$B$35:$K$35=$G$2)*('[1]2002因素修正幅度'!$B$43:$K$49))</f>
        <v>2.2499999999999999E-2</v>
      </c>
      <c r="G55" s="3419">
        <f t="shared" si="5"/>
        <v>1.125E-2</v>
      </c>
      <c r="H55" s="3420">
        <v>0</v>
      </c>
      <c r="I55" s="3419">
        <f t="shared" si="6"/>
        <v>-1.125E-2</v>
      </c>
      <c r="J55" s="3419">
        <f>SUMPRODUCT(('[1]2002因素修正幅度'!$A$73:$A$79=A55)*('[1]2002因素修正幅度'!$B$35:$K$35=$G$2)*('[1]2002因素修正幅度'!$B$73:$K$79))</f>
        <v>-2.2499999999999999E-2</v>
      </c>
      <c r="K55" s="3244"/>
      <c r="L55" s="3244"/>
      <c r="M55" s="3244"/>
      <c r="N55" s="3244"/>
      <c r="O55" s="3244"/>
      <c r="P55" s="3244"/>
      <c r="Q55" s="3244"/>
      <c r="R55" s="3244"/>
      <c r="S55" s="3244"/>
      <c r="T55" s="3244"/>
      <c r="U55" s="3244"/>
      <c r="V55" s="3244"/>
      <c r="W55" s="3248"/>
      <c r="X55" s="3248"/>
      <c r="Y55" s="3248"/>
      <c r="Z55" s="3248"/>
      <c r="AA55" s="3248"/>
      <c r="AB55" s="3248"/>
      <c r="AC55" s="3248"/>
      <c r="AD55" s="3247"/>
      <c r="AE55" s="3248"/>
      <c r="AF55" s="3248"/>
      <c r="AG55" s="3247"/>
      <c r="AH55" s="3247"/>
      <c r="AI55" s="3247"/>
      <c r="AJ55" s="3247"/>
    </row>
    <row r="56" spans="1:36" s="3421" customFormat="1" ht="24.75" hidden="1" thickBot="1">
      <c r="A56" s="3411" t="s">
        <v>3654</v>
      </c>
      <c r="B56" s="3424" t="s">
        <v>3655</v>
      </c>
      <c r="C56" s="3416"/>
      <c r="D56" s="3417">
        <f t="shared" si="4"/>
        <v>0</v>
      </c>
      <c r="E56" s="3422"/>
      <c r="F56" s="3419">
        <f>SUMPRODUCT(('[1]2002因素修正幅度'!$A$43:$A$49=A56)*('[1]2002因素修正幅度'!$B$35:$K$35=$G$2)*('[1]2002因素修正幅度'!$B$43:$K$49))</f>
        <v>1.2E-2</v>
      </c>
      <c r="G56" s="3419">
        <f t="shared" si="5"/>
        <v>6.0000000000000001E-3</v>
      </c>
      <c r="H56" s="3420">
        <v>0</v>
      </c>
      <c r="I56" s="3419">
        <f t="shared" si="6"/>
        <v>-6.0000000000000001E-3</v>
      </c>
      <c r="J56" s="3419">
        <f>SUMPRODUCT(('[1]2002因素修正幅度'!$A$73:$A$79=A56)*('[1]2002因素修正幅度'!$B$35:$K$35=$G$2)*('[1]2002因素修正幅度'!$B$73:$K$79))</f>
        <v>-1.2E-2</v>
      </c>
      <c r="K56" s="3244"/>
      <c r="L56" s="3244"/>
      <c r="M56" s="3244"/>
      <c r="N56" s="3244"/>
      <c r="O56" s="3244"/>
      <c r="P56" s="3244"/>
      <c r="Q56" s="3244"/>
      <c r="R56" s="3244"/>
      <c r="S56" s="3244"/>
      <c r="T56" s="3244"/>
      <c r="U56" s="3244"/>
      <c r="V56" s="3244"/>
      <c r="W56" s="3248"/>
      <c r="X56" s="3248"/>
      <c r="Y56" s="3248"/>
      <c r="Z56" s="3248"/>
      <c r="AA56" s="3248"/>
      <c r="AB56" s="3248"/>
      <c r="AC56" s="3248"/>
      <c r="AD56" s="3247"/>
      <c r="AE56" s="3248"/>
      <c r="AF56" s="3248"/>
      <c r="AG56" s="3247"/>
      <c r="AH56" s="3247"/>
      <c r="AI56" s="3247"/>
      <c r="AJ56" s="3247"/>
    </row>
    <row r="57" spans="1:36" s="3421" customFormat="1" ht="36.75" hidden="1" thickBot="1">
      <c r="A57" s="3411" t="s">
        <v>3665</v>
      </c>
      <c r="B57" s="3433" t="str">
        <f>[1]估价对象房地状况!C9&amp;","&amp;[1]估价对象房地状况!C10</f>
        <v>估价对象所在区域公共配套设施齐备情况,估价对象所在区域基础设施水平</v>
      </c>
      <c r="C57" s="3416"/>
      <c r="D57" s="3417">
        <f t="shared" si="4"/>
        <v>0</v>
      </c>
      <c r="E57" s="3422"/>
      <c r="F57" s="3419">
        <f>SUMPRODUCT(('[1]2002因素修正幅度'!$A$43:$A$49=A57)*('[1]2002因素修正幅度'!$B$35:$K$35=$G$2)*('[1]2002因素修正幅度'!$B$43:$K$49))</f>
        <v>1.7999999999999999E-2</v>
      </c>
      <c r="G57" s="3419">
        <f t="shared" si="5"/>
        <v>8.9999999999999993E-3</v>
      </c>
      <c r="H57" s="3420">
        <v>0</v>
      </c>
      <c r="I57" s="3419">
        <f t="shared" si="6"/>
        <v>-8.9999999999999993E-3</v>
      </c>
      <c r="J57" s="3419">
        <f>SUMPRODUCT(('[1]2002因素修正幅度'!$A$73:$A$79=A57)*('[1]2002因素修正幅度'!$B$35:$K$35=$G$2)*('[1]2002因素修正幅度'!$B$73:$K$79))</f>
        <v>-1.7999999999999999E-2</v>
      </c>
      <c r="K57" s="3244"/>
      <c r="L57" s="3244"/>
      <c r="M57" s="3244"/>
      <c r="N57" s="3244"/>
      <c r="O57" s="3244"/>
      <c r="P57" s="3244"/>
      <c r="Q57" s="3244"/>
      <c r="R57" s="3244"/>
      <c r="S57" s="3244"/>
      <c r="T57" s="3244"/>
      <c r="U57" s="3244"/>
      <c r="V57" s="3244"/>
      <c r="W57" s="3248"/>
      <c r="X57" s="3248"/>
      <c r="Y57" s="3248"/>
      <c r="Z57" s="3248"/>
      <c r="AA57" s="3248"/>
      <c r="AB57" s="3248"/>
      <c r="AC57" s="3248"/>
      <c r="AD57" s="3247"/>
      <c r="AE57" s="3248"/>
      <c r="AF57" s="3248"/>
      <c r="AG57" s="3247"/>
      <c r="AH57" s="3247"/>
      <c r="AI57" s="3247"/>
      <c r="AJ57" s="3247"/>
    </row>
    <row r="58" spans="1:36" s="3421" customFormat="1" ht="15">
      <c r="A58" s="3406" t="s">
        <v>3639</v>
      </c>
      <c r="B58" s="3426">
        <f>1+E60</f>
        <v>1.0549999999999999</v>
      </c>
      <c r="C58" s="3409"/>
      <c r="D58" s="3427"/>
      <c r="E58" s="3428"/>
      <c r="F58" s="3429"/>
      <c r="G58" s="3429"/>
      <c r="H58" s="3429"/>
      <c r="I58" s="3429"/>
      <c r="J58" s="3429"/>
      <c r="K58" s="3244"/>
      <c r="L58" s="3244"/>
      <c r="M58" s="3244"/>
      <c r="N58" s="3244"/>
      <c r="O58" s="3244"/>
      <c r="P58" s="3244"/>
      <c r="Q58" s="3244"/>
      <c r="R58" s="3244"/>
      <c r="S58" s="3244"/>
      <c r="T58" s="3244"/>
      <c r="U58" s="3244"/>
      <c r="V58" s="3244"/>
      <c r="W58" s="3248"/>
      <c r="X58" s="3248"/>
      <c r="Y58" s="3248"/>
      <c r="Z58" s="3248"/>
      <c r="AA58" s="3248"/>
      <c r="AB58" s="3248"/>
      <c r="AC58" s="3248"/>
      <c r="AD58" s="3247"/>
      <c r="AE58" s="3248"/>
      <c r="AF58" s="3248"/>
      <c r="AG58" s="3247"/>
      <c r="AH58" s="3247"/>
      <c r="AI58" s="3247"/>
      <c r="AJ58" s="3247"/>
    </row>
    <row r="59" spans="1:36" s="3421" customFormat="1" ht="13.5">
      <c r="A59" s="3411" t="s">
        <v>3641</v>
      </c>
      <c r="B59" s="3412"/>
      <c r="C59" s="3412" t="s">
        <v>3643</v>
      </c>
      <c r="D59" s="3430" t="s">
        <v>3657</v>
      </c>
      <c r="E59" s="3431" t="s">
        <v>3658</v>
      </c>
      <c r="F59" s="3432" t="s">
        <v>3659</v>
      </c>
      <c r="G59" s="3432" t="s">
        <v>3660</v>
      </c>
      <c r="H59" s="3432" t="s">
        <v>3661</v>
      </c>
      <c r="I59" s="3432" t="s">
        <v>3662</v>
      </c>
      <c r="J59" s="3432" t="s">
        <v>3663</v>
      </c>
      <c r="K59" s="3244"/>
      <c r="L59" s="3244"/>
      <c r="M59" s="3244"/>
      <c r="N59" s="3244"/>
      <c r="O59" s="3244"/>
      <c r="P59" s="3244"/>
      <c r="Q59" s="3244"/>
      <c r="R59" s="3244"/>
      <c r="S59" s="3244"/>
      <c r="T59" s="3244"/>
      <c r="U59" s="3244"/>
      <c r="V59" s="3244"/>
      <c r="W59" s="3248"/>
      <c r="X59" s="3248"/>
      <c r="Y59" s="3248"/>
      <c r="Z59" s="3248"/>
      <c r="AA59" s="3248"/>
      <c r="AB59" s="3248"/>
      <c r="AC59" s="3248"/>
      <c r="AD59" s="3247"/>
      <c r="AE59" s="3248"/>
      <c r="AF59" s="3248"/>
      <c r="AG59" s="3247"/>
      <c r="AH59" s="3247"/>
      <c r="AI59" s="3247"/>
      <c r="AJ59" s="3247"/>
    </row>
    <row r="60" spans="1:36" s="3421" customFormat="1" ht="48">
      <c r="A60" s="3411" t="s">
        <v>3666</v>
      </c>
      <c r="B60" s="3415" t="str">
        <f>[1]估价对象房地状况!C3</f>
        <v>估价对象周边居住用地比例、居住小区规模和社区发展完善程度，综合评价居住社区成熟度一般</v>
      </c>
      <c r="C60" s="3416" t="s">
        <v>3394</v>
      </c>
      <c r="D60" s="3417">
        <f t="shared" ref="D60:D67" si="7">SUMIF($F$59:$J$59,C60,F60:J60)</f>
        <v>1.2500000000000001E-2</v>
      </c>
      <c r="E60" s="3418">
        <f>SUM(D60:D67)</f>
        <v>5.5000000000000007E-2</v>
      </c>
      <c r="F60" s="3419">
        <f>SUMPRODUCT(('[1]2002因素修正幅度'!$A$50:$A$57=A60)*('[1]2002因素修正幅度'!$B$35:$K$35=$G$2)*('[1]2002因素修正幅度'!$B$50:$K$57))</f>
        <v>2.5000000000000001E-2</v>
      </c>
      <c r="G60" s="3419">
        <f>F60/2</f>
        <v>1.2500000000000001E-2</v>
      </c>
      <c r="H60" s="3420">
        <v>0</v>
      </c>
      <c r="I60" s="3419">
        <f>J60/2</f>
        <v>-7.4999999999999997E-3</v>
      </c>
      <c r="J60" s="3419">
        <f>SUMPRODUCT(('[1]2002因素修正幅度'!$A$80:$A$87=A60)*('[1]2002因素修正幅度'!$B$35:$K$35=$G$2)*('[1]2002因素修正幅度'!$B$80:$K$87))</f>
        <v>-1.4999999999999999E-2</v>
      </c>
      <c r="K60" s="3244"/>
      <c r="L60" s="3244"/>
      <c r="M60" s="3244"/>
      <c r="N60" s="3244"/>
      <c r="O60" s="3244"/>
      <c r="P60" s="3244"/>
      <c r="Q60" s="3244"/>
      <c r="R60" s="3244"/>
      <c r="S60" s="3244"/>
      <c r="T60" s="3244"/>
      <c r="U60" s="3244"/>
      <c r="V60" s="3244"/>
      <c r="W60" s="3248"/>
      <c r="X60" s="3248"/>
      <c r="Y60" s="3248"/>
      <c r="Z60" s="3248"/>
      <c r="AA60" s="3248"/>
      <c r="AB60" s="3248"/>
      <c r="AC60" s="3248"/>
      <c r="AD60" s="3247"/>
      <c r="AE60" s="3248"/>
      <c r="AF60" s="3247"/>
      <c r="AG60" s="3247"/>
      <c r="AH60" s="3247"/>
      <c r="AI60" s="3247"/>
    </row>
    <row r="61" spans="1:36" s="3421" customFormat="1" ht="48">
      <c r="A61" s="3411" t="s">
        <v>3649</v>
      </c>
      <c r="B61" s="3412" t="str">
        <f>[1]估价对象房地状况!C6</f>
        <v>估价对象周边道路状况、公共交通通达情况、停车便捷程度，综合评价交通便捷度较好</v>
      </c>
      <c r="C61" s="3416" t="s">
        <v>3395</v>
      </c>
      <c r="D61" s="3417">
        <f t="shared" si="7"/>
        <v>0</v>
      </c>
      <c r="E61" s="3434"/>
      <c r="F61" s="3419">
        <f>SUMPRODUCT(('[1]2002因素修正幅度'!$A$50:$A$57=A61)*('[1]2002因素修正幅度'!$B$35:$K$35=$G$2)*('[1]2002因素修正幅度'!$B$50:$K$57))</f>
        <v>0.05</v>
      </c>
      <c r="G61" s="3419">
        <f t="shared" ref="G61:G67" si="8">F61/2</f>
        <v>2.5000000000000001E-2</v>
      </c>
      <c r="H61" s="3420">
        <v>0</v>
      </c>
      <c r="I61" s="3419">
        <f t="shared" ref="I61:I67" si="9">J61/2</f>
        <v>-1.4999999999999999E-2</v>
      </c>
      <c r="J61" s="3419">
        <f>SUMPRODUCT(('[1]2002因素修正幅度'!$A$80:$A$87=A61)*('[1]2002因素修正幅度'!$B$35:$K$35=$G$2)*('[1]2002因素修正幅度'!$B$80:$K$87))</f>
        <v>-0.03</v>
      </c>
      <c r="K61" s="3244"/>
      <c r="L61" s="3244"/>
      <c r="M61" s="3244"/>
      <c r="N61" s="3244"/>
      <c r="O61" s="3244"/>
      <c r="P61" s="3244"/>
      <c r="Q61" s="3244"/>
      <c r="R61" s="3244"/>
      <c r="S61" s="3244"/>
      <c r="T61" s="3244"/>
      <c r="U61" s="3244"/>
      <c r="V61" s="3244"/>
      <c r="W61" s="3248"/>
      <c r="X61" s="3248"/>
      <c r="Y61" s="3248"/>
      <c r="Z61" s="3248"/>
      <c r="AA61" s="3248"/>
      <c r="AB61" s="3248"/>
      <c r="AC61" s="3248"/>
      <c r="AD61" s="3247"/>
      <c r="AE61" s="3247"/>
      <c r="AF61" s="3247"/>
      <c r="AG61" s="3247"/>
    </row>
    <row r="62" spans="1:36" s="3421" customFormat="1" ht="24">
      <c r="A62" s="3411" t="s">
        <v>3650</v>
      </c>
      <c r="B62" s="3412" t="str">
        <f>[1]估价对象房地状况!C7</f>
        <v>零星有其他用地，基本不影响本宗地</v>
      </c>
      <c r="C62" s="3416" t="s">
        <v>3394</v>
      </c>
      <c r="D62" s="3417">
        <f t="shared" si="7"/>
        <v>1.2500000000000001E-2</v>
      </c>
      <c r="E62" s="3434"/>
      <c r="F62" s="3419">
        <f>SUMPRODUCT(('[1]2002因素修正幅度'!$A$50:$A$57=A62)*('[1]2002因素修正幅度'!$B$35:$K$35=$G$2)*('[1]2002因素修正幅度'!$B$50:$K$57))</f>
        <v>2.5000000000000001E-2</v>
      </c>
      <c r="G62" s="3419">
        <f t="shared" si="8"/>
        <v>1.2500000000000001E-2</v>
      </c>
      <c r="H62" s="3420">
        <v>0</v>
      </c>
      <c r="I62" s="3419">
        <f t="shared" si="9"/>
        <v>-7.4999999999999997E-3</v>
      </c>
      <c r="J62" s="3419">
        <f>SUMPRODUCT(('[1]2002因素修正幅度'!$A$80:$A$87=A62)*('[1]2002因素修正幅度'!$B$35:$K$35=$G$2)*('[1]2002因素修正幅度'!$B$80:$K$87))</f>
        <v>-1.4999999999999999E-2</v>
      </c>
      <c r="K62" s="3244"/>
      <c r="L62" s="3244"/>
      <c r="M62" s="3244"/>
      <c r="N62" s="3244"/>
      <c r="O62" s="3244"/>
      <c r="P62" s="3244"/>
      <c r="Q62" s="3244"/>
      <c r="R62" s="3244"/>
      <c r="S62" s="3244"/>
      <c r="T62" s="3244"/>
      <c r="U62" s="3244"/>
      <c r="V62" s="3244"/>
      <c r="W62" s="3248"/>
      <c r="X62" s="3248"/>
      <c r="Y62" s="3248"/>
      <c r="Z62" s="3248"/>
      <c r="AA62" s="3248"/>
      <c r="AB62" s="3248"/>
      <c r="AC62" s="3248"/>
      <c r="AD62" s="3247"/>
      <c r="AE62" s="3247"/>
      <c r="AF62" s="3247"/>
      <c r="AG62" s="3247"/>
    </row>
    <row r="63" spans="1:36" s="3421" customFormat="1" ht="14.25">
      <c r="A63" s="3411" t="s">
        <v>3667</v>
      </c>
      <c r="B63" s="3412">
        <f>[1]估价对象房地状况!C12</f>
        <v>0</v>
      </c>
      <c r="C63" s="3416" t="s">
        <v>3646</v>
      </c>
      <c r="D63" s="3417">
        <f t="shared" si="7"/>
        <v>-7.4999999999999997E-3</v>
      </c>
      <c r="E63" s="3434"/>
      <c r="F63" s="3419">
        <f>SUMPRODUCT(('[1]2002因素修正幅度'!$A$50:$A$57=A63)*('[1]2002因素修正幅度'!$B$35:$K$35=$G$2)*('[1]2002因素修正幅度'!$B$50:$K$57))</f>
        <v>2.5000000000000001E-2</v>
      </c>
      <c r="G63" s="3419">
        <f t="shared" si="8"/>
        <v>1.2500000000000001E-2</v>
      </c>
      <c r="H63" s="3420">
        <v>0</v>
      </c>
      <c r="I63" s="3419">
        <f t="shared" si="9"/>
        <v>-7.4999999999999997E-3</v>
      </c>
      <c r="J63" s="3419">
        <f>SUMPRODUCT(('[1]2002因素修正幅度'!$A$80:$A$87=A63)*('[1]2002因素修正幅度'!$B$35:$K$35=$G$2)*('[1]2002因素修正幅度'!$B$80:$K$87))</f>
        <v>-1.4999999999999999E-2</v>
      </c>
      <c r="K63" s="3244"/>
      <c r="L63" s="3244"/>
      <c r="M63" s="3244"/>
      <c r="N63" s="3244"/>
      <c r="O63" s="3244"/>
      <c r="P63" s="3244"/>
      <c r="Q63" s="3244"/>
      <c r="R63" s="3244"/>
      <c r="S63" s="3244"/>
      <c r="T63" s="3244"/>
      <c r="U63" s="3244"/>
      <c r="V63" s="3244"/>
      <c r="W63" s="3248"/>
      <c r="X63" s="3248"/>
      <c r="Y63" s="3248"/>
      <c r="Z63" s="3248"/>
      <c r="AA63" s="3248"/>
      <c r="AB63" s="3248"/>
      <c r="AC63" s="3248"/>
      <c r="AD63" s="3247"/>
      <c r="AE63" s="3247"/>
      <c r="AF63" s="3247"/>
      <c r="AG63" s="3247"/>
    </row>
    <row r="64" spans="1:36" s="3421" customFormat="1" ht="24">
      <c r="A64" s="3411" t="s">
        <v>3654</v>
      </c>
      <c r="B64" s="3424" t="s">
        <v>3655</v>
      </c>
      <c r="C64" s="3416" t="s">
        <v>3394</v>
      </c>
      <c r="D64" s="3417">
        <f t="shared" si="7"/>
        <v>0.01</v>
      </c>
      <c r="E64" s="3434"/>
      <c r="F64" s="3419">
        <f>SUMPRODUCT(('[1]2002因素修正幅度'!$A$50:$A$57=A64)*('[1]2002因素修正幅度'!$B$35:$K$35=$G$2)*('[1]2002因素修正幅度'!$B$50:$K$57))</f>
        <v>0.02</v>
      </c>
      <c r="G64" s="3419">
        <f t="shared" si="8"/>
        <v>0.01</v>
      </c>
      <c r="H64" s="3420">
        <v>0</v>
      </c>
      <c r="I64" s="3419">
        <f t="shared" si="9"/>
        <v>-6.0000000000000001E-3</v>
      </c>
      <c r="J64" s="3419">
        <f>SUMPRODUCT(('[1]2002因素修正幅度'!$A$80:$A$87=A64)*('[1]2002因素修正幅度'!$B$35:$K$35=$G$2)*('[1]2002因素修正幅度'!$B$80:$K$87))</f>
        <v>-1.2E-2</v>
      </c>
      <c r="K64" s="3244"/>
      <c r="L64" s="3244"/>
      <c r="M64" s="3244"/>
      <c r="N64" s="3244"/>
      <c r="O64" s="3244"/>
      <c r="P64" s="3244"/>
      <c r="Q64" s="3244"/>
      <c r="R64" s="3244"/>
      <c r="S64" s="3244"/>
      <c r="T64" s="3244"/>
      <c r="U64" s="3244"/>
      <c r="V64" s="3244"/>
      <c r="W64" s="3248"/>
      <c r="X64" s="3248"/>
      <c r="Y64" s="3248"/>
      <c r="Z64" s="3248"/>
      <c r="AA64" s="3248"/>
      <c r="AB64" s="3248"/>
      <c r="AC64" s="3248"/>
      <c r="AD64" s="3247"/>
      <c r="AE64" s="3247"/>
      <c r="AF64" s="3247"/>
      <c r="AG64" s="3247"/>
    </row>
    <row r="65" spans="1:33" s="3421" customFormat="1" ht="36">
      <c r="A65" s="3411" t="s">
        <v>3665</v>
      </c>
      <c r="B65" s="3433" t="str">
        <f>[1]估价对象房地状况!C9&amp;","&amp;[1]估价对象房地状况!C10</f>
        <v>估价对象所在区域公共配套设施齐备情况,估价对象所在区域基础设施水平</v>
      </c>
      <c r="C65" s="3416" t="s">
        <v>3394</v>
      </c>
      <c r="D65" s="3417">
        <f t="shared" si="7"/>
        <v>1.4999999999999999E-2</v>
      </c>
      <c r="E65" s="3434"/>
      <c r="F65" s="3419">
        <f>SUMPRODUCT(('[1]2002因素修正幅度'!$A$50:$A$57=A65)*('[1]2002因素修正幅度'!$B$35:$K$35=$G$2)*('[1]2002因素修正幅度'!$B$50:$K$57))</f>
        <v>0.03</v>
      </c>
      <c r="G65" s="3419">
        <f t="shared" si="8"/>
        <v>1.4999999999999999E-2</v>
      </c>
      <c r="H65" s="3420">
        <v>0</v>
      </c>
      <c r="I65" s="3419">
        <f t="shared" si="9"/>
        <v>-8.9999999999999993E-3</v>
      </c>
      <c r="J65" s="3419">
        <f>SUMPRODUCT(('[1]2002因素修正幅度'!$A$80:$A$87=A65)*('[1]2002因素修正幅度'!$B$35:$K$35=$G$2)*('[1]2002因素修正幅度'!$B$80:$K$87))</f>
        <v>-1.7999999999999999E-2</v>
      </c>
      <c r="K65" s="3244"/>
      <c r="L65" s="3244"/>
      <c r="M65" s="3244"/>
      <c r="N65" s="3244"/>
      <c r="O65" s="3244"/>
      <c r="P65" s="3244"/>
      <c r="Q65" s="3244"/>
      <c r="R65" s="3244"/>
      <c r="S65" s="3244"/>
      <c r="T65" s="3244"/>
      <c r="U65" s="3244"/>
      <c r="V65" s="3244"/>
      <c r="W65" s="3248"/>
      <c r="X65" s="3248"/>
      <c r="Y65" s="3248"/>
      <c r="Z65" s="3248"/>
      <c r="AA65" s="3248"/>
      <c r="AB65" s="3248"/>
      <c r="AC65" s="3248"/>
      <c r="AD65" s="3247"/>
      <c r="AE65" s="3247"/>
      <c r="AF65" s="3247"/>
      <c r="AG65" s="3247"/>
    </row>
    <row r="66" spans="1:33" s="3421" customFormat="1" ht="36">
      <c r="A66" s="3411" t="s">
        <v>3668</v>
      </c>
      <c r="B66" s="3415" t="str">
        <f>[1]估价对象房地状况!C8</f>
        <v>区域自然环境：；人文环境；综合评价环境状况一般</v>
      </c>
      <c r="C66" s="3416" t="s">
        <v>3395</v>
      </c>
      <c r="D66" s="3417">
        <f t="shared" si="7"/>
        <v>0</v>
      </c>
      <c r="E66" s="3434"/>
      <c r="F66" s="3419">
        <f>SUMPRODUCT(('[1]2002因素修正幅度'!$A$50:$A$57=A66)*('[1]2002因素修正幅度'!$B$35:$K$35=$G$2)*('[1]2002因素修正幅度'!$B$50:$K$57))</f>
        <v>0.05</v>
      </c>
      <c r="G66" s="3419">
        <f t="shared" si="8"/>
        <v>2.5000000000000001E-2</v>
      </c>
      <c r="H66" s="3420">
        <v>0</v>
      </c>
      <c r="I66" s="3419">
        <f t="shared" si="9"/>
        <v>-1.4999999999999999E-2</v>
      </c>
      <c r="J66" s="3419">
        <f>SUMPRODUCT(('[1]2002因素修正幅度'!$A$80:$A$87=A66)*('[1]2002因素修正幅度'!$B$35:$K$35=$G$2)*('[1]2002因素修正幅度'!$B$80:$K$87))</f>
        <v>-0.03</v>
      </c>
      <c r="K66" s="3244"/>
      <c r="L66" s="3244"/>
      <c r="M66" s="3244"/>
      <c r="N66" s="3244"/>
      <c r="O66" s="3244"/>
      <c r="P66" s="3244"/>
      <c r="Q66" s="3244"/>
      <c r="R66" s="3244"/>
      <c r="S66" s="3244"/>
      <c r="T66" s="3244"/>
      <c r="U66" s="3244"/>
      <c r="V66" s="3244"/>
      <c r="W66" s="3248"/>
      <c r="X66" s="3248"/>
      <c r="Y66" s="3248"/>
      <c r="Z66" s="3248"/>
      <c r="AA66" s="3248"/>
      <c r="AB66" s="3248"/>
      <c r="AC66" s="3248"/>
      <c r="AD66" s="3247"/>
      <c r="AE66" s="3247"/>
      <c r="AF66" s="3247"/>
      <c r="AG66" s="3247"/>
    </row>
    <row r="67" spans="1:33" s="3421" customFormat="1" ht="24.75" thickBot="1">
      <c r="A67" s="3435" t="s">
        <v>3669</v>
      </c>
      <c r="B67" s="3436"/>
      <c r="C67" s="3416" t="s">
        <v>3394</v>
      </c>
      <c r="D67" s="3417">
        <f t="shared" si="7"/>
        <v>1.2500000000000001E-2</v>
      </c>
      <c r="E67" s="3437"/>
      <c r="F67" s="3419">
        <f>SUMPRODUCT(('[1]2002因素修正幅度'!$A$50:$A$57=A67)*('[1]2002因素修正幅度'!$B$35:$K$35=$G$2)*('[1]2002因素修正幅度'!$B$50:$K$57))</f>
        <v>2.5000000000000001E-2</v>
      </c>
      <c r="G67" s="3419">
        <f t="shared" si="8"/>
        <v>1.2500000000000001E-2</v>
      </c>
      <c r="H67" s="3420">
        <v>0</v>
      </c>
      <c r="I67" s="3419">
        <f t="shared" si="9"/>
        <v>-7.4999999999999997E-3</v>
      </c>
      <c r="J67" s="3419">
        <f>SUMPRODUCT(('[1]2002因素修正幅度'!$A$80:$A$87=A67)*('[1]2002因素修正幅度'!$B$35:$K$35=$G$2)*('[1]2002因素修正幅度'!$B$80:$K$87))</f>
        <v>-1.4999999999999999E-2</v>
      </c>
      <c r="K67" s="3244"/>
      <c r="L67" s="3245"/>
      <c r="M67" s="3245"/>
      <c r="N67" s="3245"/>
      <c r="O67" s="3245"/>
      <c r="P67" s="3245"/>
      <c r="Q67" s="3245"/>
      <c r="R67" s="3245"/>
      <c r="S67" s="3245"/>
      <c r="T67" s="3245"/>
      <c r="U67" s="3245"/>
      <c r="V67" s="3245"/>
      <c r="W67" s="3246"/>
      <c r="X67" s="3247"/>
      <c r="Y67" s="3247"/>
      <c r="Z67" s="3247"/>
      <c r="AA67" s="3247"/>
      <c r="AB67" s="3247"/>
      <c r="AC67" s="3247"/>
      <c r="AD67" s="3246"/>
      <c r="AE67" s="3247"/>
      <c r="AF67" s="3247"/>
      <c r="AG67" s="3247"/>
    </row>
    <row r="68" spans="1:33" s="3421" customFormat="1" ht="15">
      <c r="A68" s="3406" t="s">
        <v>3</v>
      </c>
      <c r="B68" s="3426">
        <f>1+E70</f>
        <v>1</v>
      </c>
      <c r="C68" s="3409"/>
      <c r="D68" s="3427"/>
      <c r="E68" s="3428"/>
      <c r="F68" s="3429"/>
      <c r="G68" s="3429"/>
      <c r="H68" s="3429"/>
      <c r="I68" s="3429"/>
      <c r="J68" s="3429"/>
      <c r="K68" s="3244"/>
      <c r="L68" s="3244"/>
      <c r="M68" s="3244"/>
      <c r="N68" s="3244"/>
      <c r="O68" s="3244"/>
      <c r="P68" s="3244"/>
      <c r="Q68" s="3244"/>
      <c r="R68" s="3244"/>
      <c r="S68" s="3244"/>
      <c r="T68" s="3244"/>
      <c r="U68" s="3244"/>
      <c r="V68" s="3244"/>
      <c r="W68" s="3248"/>
      <c r="X68" s="3248"/>
      <c r="Y68" s="3248"/>
      <c r="Z68" s="3248"/>
      <c r="AA68" s="3248"/>
      <c r="AB68" s="3248"/>
      <c r="AC68" s="3248"/>
      <c r="AD68" s="3247"/>
      <c r="AE68" s="3247"/>
      <c r="AF68" s="3247"/>
      <c r="AG68" s="3247"/>
    </row>
    <row r="69" spans="1:33" s="3421" customFormat="1" ht="13.5">
      <c r="A69" s="3411" t="s">
        <v>3641</v>
      </c>
      <c r="B69" s="3412"/>
      <c r="C69" s="3412" t="s">
        <v>3643</v>
      </c>
      <c r="D69" s="3430" t="s">
        <v>3657</v>
      </c>
      <c r="E69" s="3431" t="s">
        <v>3658</v>
      </c>
      <c r="F69" s="3432" t="s">
        <v>3659</v>
      </c>
      <c r="G69" s="3432" t="s">
        <v>3660</v>
      </c>
      <c r="H69" s="3432" t="s">
        <v>3661</v>
      </c>
      <c r="I69" s="3432" t="s">
        <v>3662</v>
      </c>
      <c r="J69" s="3432" t="s">
        <v>3663</v>
      </c>
      <c r="K69" s="3244"/>
      <c r="L69" s="3245"/>
      <c r="M69" s="3245"/>
      <c r="N69" s="3245"/>
      <c r="O69" s="3245"/>
      <c r="P69" s="3245"/>
      <c r="Q69" s="3245"/>
      <c r="R69" s="3245"/>
      <c r="S69" s="3245"/>
      <c r="T69" s="3245"/>
      <c r="U69" s="3245"/>
      <c r="V69" s="3245"/>
      <c r="W69" s="3246"/>
      <c r="X69" s="3247"/>
      <c r="Y69" s="3247"/>
      <c r="Z69" s="3247"/>
      <c r="AA69" s="3247"/>
      <c r="AB69" s="3247"/>
      <c r="AC69" s="3247"/>
      <c r="AD69" s="3246"/>
      <c r="AE69" s="3247"/>
      <c r="AF69" s="3247"/>
      <c r="AG69" s="3247"/>
    </row>
    <row r="70" spans="1:33" s="3421" customFormat="1" ht="36">
      <c r="A70" s="3411" t="s">
        <v>3670</v>
      </c>
      <c r="B70" s="3412" t="str">
        <f>[1]估价对象房地状况!G3</f>
        <v>估价对象位于XX开发区，园区建设成熟度？产业集聚程度？</v>
      </c>
      <c r="C70" s="3416"/>
      <c r="D70" s="3417">
        <f t="shared" ref="D70:D76" si="10">SUMIF($F$69:$J$69,C70,F70:J70)</f>
        <v>0</v>
      </c>
      <c r="E70" s="3418">
        <f>SUM(D70:D76)</f>
        <v>0</v>
      </c>
      <c r="F70" s="3419">
        <f>SUMPRODUCT(('[1]2002因素修正幅度'!$A$58:$A$64=A70)*('[1]2002因素修正幅度'!$B$35:$K$35=$G$2)*('[1]2002因素修正幅度'!$B$58:$K$64))</f>
        <v>0.04</v>
      </c>
      <c r="G70" s="3419">
        <f t="shared" ref="G70:G76" si="11">F70/2</f>
        <v>0.02</v>
      </c>
      <c r="H70" s="3420">
        <v>0</v>
      </c>
      <c r="I70" s="3419">
        <f t="shared" ref="I70:I76" si="12">J70/2</f>
        <v>-0.02</v>
      </c>
      <c r="J70" s="3419">
        <f>SUMPRODUCT(('[1]2002因素修正幅度'!$A$88:$A$94=A70)*('[1]2002因素修正幅度'!$B$35:$K$35=$G$2)*('[1]2002因素修正幅度'!$B$88:$K$94))</f>
        <v>-0.04</v>
      </c>
      <c r="K70" s="3244"/>
      <c r="L70" s="3245"/>
      <c r="M70" s="3245"/>
      <c r="N70" s="3245"/>
      <c r="O70" s="3245"/>
      <c r="P70" s="3245"/>
      <c r="Q70" s="3245"/>
      <c r="R70" s="3245"/>
      <c r="S70" s="3245"/>
      <c r="T70" s="3245"/>
      <c r="U70" s="3245"/>
      <c r="V70" s="3245"/>
      <c r="W70" s="3246"/>
      <c r="X70" s="3247"/>
      <c r="Y70" s="3247"/>
      <c r="Z70" s="3247"/>
      <c r="AA70" s="3247"/>
      <c r="AB70" s="3247"/>
      <c r="AC70" s="3247"/>
      <c r="AD70" s="3246"/>
      <c r="AE70" s="3247"/>
      <c r="AF70" s="3247"/>
      <c r="AG70" s="3247"/>
    </row>
    <row r="71" spans="1:33" s="3421" customFormat="1" ht="48">
      <c r="A71" s="3411" t="s">
        <v>3649</v>
      </c>
      <c r="B71" s="3412" t="str">
        <f>[1]估价对象房地状况!G4</f>
        <v>估价对象周边道路状况、公共交通通达情况、停车便捷程度，综合评价交通便捷度较好</v>
      </c>
      <c r="C71" s="3416"/>
      <c r="D71" s="3417">
        <f t="shared" si="10"/>
        <v>0</v>
      </c>
      <c r="E71" s="3434"/>
      <c r="F71" s="3419">
        <f>SUMPRODUCT(('[1]2002因素修正幅度'!$A$58:$A$64=A71)*('[1]2002因素修正幅度'!$B$35:$K$35=$G$2)*('[1]2002因素修正幅度'!$B$58:$K$64))</f>
        <v>6.4000000000000001E-2</v>
      </c>
      <c r="G71" s="3419">
        <f t="shared" si="11"/>
        <v>3.2000000000000001E-2</v>
      </c>
      <c r="H71" s="3420">
        <v>0</v>
      </c>
      <c r="I71" s="3419">
        <f t="shared" si="12"/>
        <v>-3.2000000000000001E-2</v>
      </c>
      <c r="J71" s="3419">
        <f>SUMPRODUCT(('[1]2002因素修正幅度'!$A$88:$A$94=A71)*('[1]2002因素修正幅度'!$B$35:$K$35=$G$2)*('[1]2002因素修正幅度'!$B$88:$K$94))</f>
        <v>-6.4000000000000001E-2</v>
      </c>
      <c r="K71" s="3244"/>
      <c r="L71" s="3245"/>
      <c r="M71" s="3245"/>
      <c r="N71" s="3245"/>
      <c r="O71" s="3245"/>
      <c r="P71" s="3245"/>
      <c r="Q71" s="3245"/>
      <c r="R71" s="3245"/>
      <c r="S71" s="3245"/>
      <c r="T71" s="3245"/>
      <c r="U71" s="3245"/>
      <c r="V71" s="3245"/>
      <c r="W71" s="3246"/>
      <c r="X71" s="3247"/>
      <c r="Y71" s="3247"/>
      <c r="Z71" s="3247"/>
      <c r="AA71" s="3247"/>
      <c r="AB71" s="3247"/>
      <c r="AC71" s="3247"/>
      <c r="AD71" s="3246"/>
      <c r="AE71" s="3247"/>
      <c r="AF71" s="3247"/>
      <c r="AG71" s="3247"/>
    </row>
    <row r="72" spans="1:33" s="3421" customFormat="1" ht="24">
      <c r="A72" s="3411" t="s">
        <v>3650</v>
      </c>
      <c r="B72" s="3412" t="str">
        <f>[1]估价对象房地状况!G5</f>
        <v>零星有其他用地，基本不影响本宗地</v>
      </c>
      <c r="C72" s="3416"/>
      <c r="D72" s="3417">
        <f t="shared" si="10"/>
        <v>0</v>
      </c>
      <c r="E72" s="3434"/>
      <c r="F72" s="3419">
        <f>SUMPRODUCT(('[1]2002因素修正幅度'!$A$58:$A$64=A72)*('[1]2002因素修正幅度'!$B$35:$K$35=$G$2)*('[1]2002因素修正幅度'!$B$58:$K$64))</f>
        <v>0.02</v>
      </c>
      <c r="G72" s="3419">
        <f t="shared" si="11"/>
        <v>0.01</v>
      </c>
      <c r="H72" s="3420">
        <v>0</v>
      </c>
      <c r="I72" s="3419">
        <f t="shared" si="12"/>
        <v>-0.01</v>
      </c>
      <c r="J72" s="3419">
        <f>SUMPRODUCT(('[1]2002因素修正幅度'!$A$88:$A$94=A72)*('[1]2002因素修正幅度'!$B$35:$K$35=$G$2)*('[1]2002因素修正幅度'!$B$88:$K$94))</f>
        <v>-0.02</v>
      </c>
      <c r="K72" s="3244"/>
      <c r="L72" s="3245"/>
      <c r="M72" s="3245"/>
      <c r="N72" s="3245"/>
      <c r="O72" s="3245"/>
      <c r="P72" s="3245"/>
      <c r="Q72" s="3245"/>
      <c r="R72" s="3245"/>
      <c r="S72" s="3245"/>
      <c r="T72" s="3245"/>
      <c r="U72" s="3245"/>
      <c r="V72" s="3245"/>
      <c r="W72" s="3246"/>
      <c r="X72" s="3247"/>
      <c r="Y72" s="3247"/>
      <c r="Z72" s="3247"/>
      <c r="AA72" s="3247"/>
      <c r="AB72" s="3247"/>
      <c r="AC72" s="3247"/>
      <c r="AD72" s="3246"/>
      <c r="AE72" s="3247"/>
      <c r="AF72" s="3247"/>
      <c r="AG72" s="3247"/>
    </row>
    <row r="73" spans="1:33" s="3421" customFormat="1" ht="14.25">
      <c r="A73" s="3411" t="s">
        <v>3667</v>
      </c>
      <c r="B73" s="3412">
        <f>[1]估价对象房地状况!G10</f>
        <v>0</v>
      </c>
      <c r="C73" s="3416"/>
      <c r="D73" s="3417">
        <f t="shared" si="10"/>
        <v>0</v>
      </c>
      <c r="E73" s="3434"/>
      <c r="F73" s="3419">
        <f>SUMPRODUCT(('[1]2002因素修正幅度'!$A$58:$A$64=A73)*('[1]2002因素修正幅度'!$B$35:$K$35=$G$2)*('[1]2002因素修正幅度'!$B$58:$K$64))</f>
        <v>1.6E-2</v>
      </c>
      <c r="G73" s="3419">
        <f t="shared" si="11"/>
        <v>8.0000000000000002E-3</v>
      </c>
      <c r="H73" s="3420">
        <v>0</v>
      </c>
      <c r="I73" s="3419">
        <f t="shared" si="12"/>
        <v>-8.0000000000000002E-3</v>
      </c>
      <c r="J73" s="3419">
        <f>SUMPRODUCT(('[1]2002因素修正幅度'!$A$88:$A$94=A73)*('[1]2002因素修正幅度'!$B$35:$K$35=$G$2)*('[1]2002因素修正幅度'!$B$88:$K$94))</f>
        <v>-1.6E-2</v>
      </c>
      <c r="K73" s="3244"/>
      <c r="L73" s="3245"/>
      <c r="M73" s="3245"/>
      <c r="N73" s="3245"/>
      <c r="O73" s="3245"/>
      <c r="P73" s="3245"/>
      <c r="Q73" s="3245"/>
      <c r="R73" s="3245"/>
      <c r="S73" s="3245"/>
      <c r="T73" s="3245"/>
      <c r="U73" s="3245"/>
      <c r="V73" s="3245"/>
      <c r="W73" s="3246"/>
      <c r="X73" s="3247"/>
      <c r="Y73" s="3247"/>
      <c r="Z73" s="3247"/>
      <c r="AA73" s="3247"/>
      <c r="AB73" s="3247"/>
      <c r="AC73" s="3247"/>
      <c r="AD73" s="3246"/>
      <c r="AE73" s="3247"/>
      <c r="AF73" s="3247"/>
      <c r="AG73" s="3247"/>
    </row>
    <row r="74" spans="1:33" s="3421" customFormat="1" ht="24">
      <c r="A74" s="3411" t="s">
        <v>3654</v>
      </c>
      <c r="B74" s="3424" t="s">
        <v>3655</v>
      </c>
      <c r="C74" s="3416"/>
      <c r="D74" s="3417">
        <f t="shared" si="10"/>
        <v>0</v>
      </c>
      <c r="E74" s="3434"/>
      <c r="F74" s="3419">
        <f>SUMPRODUCT(('[1]2002因素修正幅度'!$A$58:$A$64=A74)*('[1]2002因素修正幅度'!$B$35:$K$35=$G$2)*('[1]2002因素修正幅度'!$B$58:$K$64))</f>
        <v>2.4E-2</v>
      </c>
      <c r="G74" s="3419">
        <f t="shared" si="11"/>
        <v>1.2E-2</v>
      </c>
      <c r="H74" s="3420">
        <v>0</v>
      </c>
      <c r="I74" s="3419">
        <f t="shared" si="12"/>
        <v>-1.2E-2</v>
      </c>
      <c r="J74" s="3419">
        <f>SUMPRODUCT(('[1]2002因素修正幅度'!$A$88:$A$94=A74)*('[1]2002因素修正幅度'!$B$35:$K$35=$G$2)*('[1]2002因素修正幅度'!$B$88:$K$94))</f>
        <v>-2.4E-2</v>
      </c>
      <c r="K74" s="3244"/>
      <c r="L74" s="3245"/>
      <c r="M74" s="3245"/>
      <c r="N74" s="3245"/>
      <c r="O74" s="3245"/>
      <c r="P74" s="3245"/>
      <c r="Q74" s="3245"/>
      <c r="R74" s="3245"/>
      <c r="S74" s="3245"/>
      <c r="T74" s="3245"/>
      <c r="U74" s="3245"/>
      <c r="V74" s="3245"/>
      <c r="W74" s="3246"/>
      <c r="X74" s="3247"/>
      <c r="Y74" s="3247"/>
      <c r="Z74" s="3247"/>
      <c r="AA74" s="3247"/>
      <c r="AB74" s="3247"/>
      <c r="AC74" s="3247"/>
      <c r="AD74" s="3246"/>
      <c r="AE74" s="3247"/>
      <c r="AF74" s="3247"/>
      <c r="AG74" s="3247"/>
    </row>
    <row r="75" spans="1:33" s="3421" customFormat="1" ht="24">
      <c r="A75" s="3411" t="s">
        <v>3656</v>
      </c>
      <c r="B75" s="3433" t="str">
        <f>[1]估价对象房地状况!G8</f>
        <v>估价对象所在区域基础设施水平</v>
      </c>
      <c r="C75" s="3416"/>
      <c r="D75" s="3417">
        <f t="shared" si="10"/>
        <v>0</v>
      </c>
      <c r="E75" s="3434"/>
      <c r="F75" s="3419">
        <f>SUMPRODUCT(('[1]2002因素修正幅度'!$A$58:$A$64=A75)*('[1]2002因素修正幅度'!$B$35:$K$35=$G$2)*('[1]2002因素修正幅度'!$B$58:$K$64))</f>
        <v>0.02</v>
      </c>
      <c r="G75" s="3419">
        <f t="shared" si="11"/>
        <v>0.01</v>
      </c>
      <c r="H75" s="3420">
        <v>0</v>
      </c>
      <c r="I75" s="3419">
        <f t="shared" si="12"/>
        <v>-0.01</v>
      </c>
      <c r="J75" s="3419">
        <f>SUMPRODUCT(('[1]2002因素修正幅度'!$A$88:$A$94=A75)*('[1]2002因素修正幅度'!$B$35:$K$35=$G$2)*('[1]2002因素修正幅度'!$B$88:$K$94))</f>
        <v>-0.02</v>
      </c>
      <c r="K75" s="3244"/>
      <c r="L75" s="3245"/>
      <c r="M75" s="3245"/>
      <c r="N75" s="3245"/>
      <c r="O75" s="3245"/>
      <c r="P75" s="3245"/>
      <c r="Q75" s="3245"/>
      <c r="R75" s="3245"/>
      <c r="S75" s="3245"/>
      <c r="T75" s="3245"/>
      <c r="U75" s="3245"/>
      <c r="V75" s="3245"/>
      <c r="W75" s="3246"/>
      <c r="X75" s="3247"/>
      <c r="Y75" s="3247"/>
      <c r="Z75" s="3247"/>
      <c r="AA75" s="3247"/>
      <c r="AB75" s="3247"/>
      <c r="AC75" s="3247"/>
      <c r="AD75" s="3246"/>
      <c r="AE75" s="3247"/>
      <c r="AF75" s="3247"/>
      <c r="AG75" s="3247"/>
    </row>
    <row r="76" spans="1:33" s="3421" customFormat="1" ht="36.75" thickBot="1">
      <c r="A76" s="3435" t="s">
        <v>3671</v>
      </c>
      <c r="B76" s="3438" t="str">
        <f>[1]估价对象房地状况!G6</f>
        <v>该园区内无污染型企业，绿化较好，卫生条件良好，整体环境状况较好</v>
      </c>
      <c r="C76" s="3416"/>
      <c r="D76" s="3417">
        <f t="shared" si="10"/>
        <v>0</v>
      </c>
      <c r="E76" s="3437"/>
      <c r="F76" s="3419">
        <f>SUMPRODUCT(('[1]2002因素修正幅度'!$A$58:$A$64=A76)*('[1]2002因素修正幅度'!$B$35:$K$35=$G$2)*('[1]2002因素修正幅度'!$B$58:$K$64))</f>
        <v>1.6E-2</v>
      </c>
      <c r="G76" s="3419">
        <f t="shared" si="11"/>
        <v>8.0000000000000002E-3</v>
      </c>
      <c r="H76" s="3420">
        <v>0</v>
      </c>
      <c r="I76" s="3419">
        <f t="shared" si="12"/>
        <v>-8.0000000000000002E-3</v>
      </c>
      <c r="J76" s="3419">
        <f>SUMPRODUCT(('[1]2002因素修正幅度'!$A$88:$A$94=A76)*('[1]2002因素修正幅度'!$B$35:$K$35=$G$2)*('[1]2002因素修正幅度'!$B$88:$K$94))</f>
        <v>-1.6E-2</v>
      </c>
      <c r="K76" s="3244"/>
      <c r="L76" s="3245"/>
      <c r="M76" s="3245"/>
      <c r="N76" s="3245"/>
      <c r="O76" s="3245"/>
      <c r="P76" s="3245"/>
      <c r="Q76" s="3245"/>
      <c r="R76" s="3245"/>
      <c r="S76" s="3245"/>
      <c r="T76" s="3245"/>
      <c r="U76" s="3245"/>
      <c r="V76" s="3245"/>
      <c r="W76" s="3246"/>
      <c r="X76" s="3247"/>
      <c r="Y76" s="3247"/>
      <c r="Z76" s="3247"/>
      <c r="AA76" s="3247"/>
      <c r="AB76" s="3247"/>
      <c r="AC76" s="3247"/>
      <c r="AD76" s="3246"/>
      <c r="AE76" s="3247"/>
      <c r="AF76" s="3247"/>
      <c r="AG76" s="3247"/>
    </row>
    <row r="77" spans="1:33" s="3421" customFormat="1">
      <c r="A77" s="3246"/>
      <c r="B77" s="3387"/>
      <c r="C77" s="3245"/>
      <c r="D77" s="3245"/>
      <c r="E77" s="3245"/>
      <c r="F77" s="3245"/>
      <c r="G77" s="3245"/>
      <c r="H77" s="3245"/>
      <c r="I77" s="3245"/>
      <c r="J77" s="3245"/>
      <c r="K77" s="3244"/>
      <c r="L77" s="3245"/>
      <c r="M77" s="3245"/>
      <c r="N77" s="3245"/>
      <c r="O77" s="3245"/>
      <c r="P77" s="3245"/>
      <c r="Q77" s="3245"/>
      <c r="R77" s="3245"/>
      <c r="S77" s="3245"/>
      <c r="T77" s="3245"/>
      <c r="U77" s="3245"/>
      <c r="V77" s="3245"/>
      <c r="W77" s="3246"/>
      <c r="X77" s="3247"/>
      <c r="Y77" s="3247"/>
      <c r="Z77" s="3247"/>
      <c r="AA77" s="3247"/>
      <c r="AB77" s="3247"/>
      <c r="AC77" s="3247"/>
      <c r="AD77" s="3246"/>
      <c r="AE77" s="3247"/>
      <c r="AF77" s="3247"/>
      <c r="AG77" s="3247"/>
    </row>
    <row r="78" spans="1:33" s="3421" customFormat="1">
      <c r="A78" s="3246"/>
      <c r="B78" s="3387"/>
      <c r="C78" s="3245"/>
      <c r="D78" s="3245"/>
      <c r="E78" s="3245"/>
      <c r="F78" s="3245"/>
      <c r="G78" s="3245"/>
      <c r="H78" s="3245"/>
      <c r="I78" s="3245"/>
      <c r="J78" s="3245"/>
      <c r="K78" s="3244"/>
      <c r="L78" s="3245"/>
      <c r="M78" s="3245"/>
      <c r="N78" s="3245"/>
      <c r="O78" s="3245"/>
      <c r="P78" s="3245"/>
      <c r="Q78" s="3245"/>
      <c r="R78" s="3245"/>
      <c r="S78" s="3245"/>
      <c r="T78" s="3245"/>
      <c r="U78" s="3245"/>
      <c r="V78" s="3245"/>
      <c r="W78" s="3246"/>
      <c r="X78" s="3247"/>
      <c r="Y78" s="3247"/>
      <c r="Z78" s="3247"/>
      <c r="AA78" s="3247"/>
      <c r="AB78" s="3247"/>
      <c r="AC78" s="3247"/>
      <c r="AD78" s="3246"/>
      <c r="AE78" s="3247"/>
      <c r="AF78" s="3247"/>
      <c r="AG78" s="3247"/>
    </row>
    <row r="79" spans="1:33" s="3421" customFormat="1">
      <c r="A79" s="3246"/>
      <c r="B79" s="3387"/>
      <c r="C79" s="3245"/>
      <c r="D79" s="3245"/>
      <c r="E79" s="3245"/>
      <c r="F79" s="3245"/>
      <c r="G79" s="3245"/>
      <c r="H79" s="3245"/>
      <c r="I79" s="3245"/>
      <c r="J79" s="3245"/>
      <c r="K79" s="3244"/>
      <c r="L79" s="3245"/>
      <c r="M79" s="3245"/>
      <c r="N79" s="3245"/>
      <c r="O79" s="3245"/>
      <c r="P79" s="3245"/>
      <c r="Q79" s="3245"/>
      <c r="R79" s="3245"/>
      <c r="S79" s="3245"/>
      <c r="T79" s="3245"/>
      <c r="U79" s="3245"/>
      <c r="V79" s="3245"/>
      <c r="W79" s="3246"/>
      <c r="X79" s="3247"/>
      <c r="Y79" s="3247"/>
      <c r="Z79" s="3247"/>
      <c r="AA79" s="3247"/>
      <c r="AB79" s="3247"/>
      <c r="AC79" s="3247"/>
      <c r="AD79" s="3246"/>
      <c r="AE79" s="3247"/>
      <c r="AF79" s="3247"/>
      <c r="AG79" s="3247"/>
    </row>
    <row r="80" spans="1:33" s="3421" customFormat="1" ht="13.5">
      <c r="A80" s="3253" t="s">
        <v>3672</v>
      </c>
      <c r="B80" s="3439">
        <f>G3</f>
        <v>2</v>
      </c>
      <c r="C80" s="3245"/>
      <c r="D80" s="3245"/>
      <c r="E80" s="3245"/>
      <c r="F80" s="3245"/>
      <c r="G80" s="3440"/>
      <c r="H80" s="3440"/>
      <c r="I80" s="3440"/>
      <c r="J80" s="3440"/>
      <c r="K80" s="3244"/>
      <c r="L80" s="3245"/>
      <c r="M80" s="3245"/>
      <c r="N80" s="3245"/>
      <c r="O80" s="3245"/>
      <c r="P80" s="3245"/>
      <c r="Q80" s="3245"/>
      <c r="R80" s="3245"/>
      <c r="S80" s="3245"/>
      <c r="T80" s="3245"/>
      <c r="U80" s="3245"/>
      <c r="V80" s="3245"/>
      <c r="W80" s="3245"/>
      <c r="X80" s="3245"/>
      <c r="Y80" s="3245"/>
      <c r="Z80" s="3246"/>
      <c r="AA80" s="3247"/>
      <c r="AB80" s="3247"/>
      <c r="AC80" s="3247"/>
      <c r="AD80" s="3247"/>
      <c r="AE80" s="3247"/>
      <c r="AF80" s="3247"/>
      <c r="AG80" s="3247"/>
    </row>
    <row r="81" spans="1:36" s="3421" customFormat="1" ht="12.75">
      <c r="A81" s="3253" t="s">
        <v>3673</v>
      </c>
      <c r="B81" s="3430">
        <f>SUMIF(A82:A85,E2,B82:B85)</f>
        <v>0.97419999999999995</v>
      </c>
      <c r="C81" s="3245"/>
      <c r="D81" s="3245"/>
      <c r="E81" s="3245"/>
      <c r="F81" s="3245"/>
      <c r="G81" s="3245"/>
      <c r="H81" s="3245"/>
      <c r="I81" s="3245"/>
      <c r="J81" s="3245"/>
      <c r="K81" s="3244"/>
      <c r="L81" s="3245"/>
      <c r="M81" s="3245"/>
      <c r="N81" s="3245"/>
      <c r="O81" s="3245"/>
      <c r="P81" s="3245"/>
      <c r="Q81" s="3245"/>
      <c r="R81" s="3245"/>
      <c r="S81" s="3245"/>
      <c r="T81" s="3245"/>
      <c r="U81" s="3245"/>
      <c r="V81" s="3245"/>
      <c r="W81" s="3245"/>
      <c r="X81" s="3245"/>
      <c r="Y81" s="3245"/>
      <c r="Z81" s="3246"/>
      <c r="AA81" s="3247"/>
      <c r="AB81" s="3247"/>
      <c r="AC81" s="3247"/>
      <c r="AD81" s="3247"/>
      <c r="AE81" s="3247"/>
      <c r="AF81" s="3247"/>
      <c r="AG81" s="3247"/>
    </row>
    <row r="82" spans="1:36" s="3421" customFormat="1" ht="12.75">
      <c r="A82" s="3441" t="s">
        <v>673</v>
      </c>
      <c r="B82" s="3430">
        <f>ROUND(0.892-0.0373*B80,4)</f>
        <v>0.81740000000000002</v>
      </c>
      <c r="C82" s="3245"/>
      <c r="D82" s="3245"/>
      <c r="E82" s="3245"/>
      <c r="F82" s="3245"/>
      <c r="G82" s="3245"/>
      <c r="H82" s="3245"/>
      <c r="I82" s="3245"/>
      <c r="J82" s="3245"/>
      <c r="K82" s="3244"/>
      <c r="L82" s="3245"/>
      <c r="M82" s="3245"/>
      <c r="N82" s="3245"/>
      <c r="O82" s="3245"/>
      <c r="P82" s="3245"/>
      <c r="Q82" s="3245"/>
      <c r="R82" s="3245"/>
      <c r="S82" s="3245"/>
      <c r="T82" s="3245"/>
      <c r="U82" s="3245"/>
      <c r="V82" s="3245"/>
      <c r="W82" s="3245"/>
      <c r="X82" s="3245"/>
      <c r="Y82" s="3245"/>
      <c r="Z82" s="3246"/>
      <c r="AA82" s="3247"/>
      <c r="AB82" s="3247"/>
      <c r="AC82" s="3247"/>
      <c r="AD82" s="3247"/>
      <c r="AE82" s="3247"/>
      <c r="AF82" s="3247"/>
      <c r="AG82" s="3247"/>
    </row>
    <row r="83" spans="1:36" s="3421" customFormat="1" ht="13.5">
      <c r="A83" s="3441" t="s">
        <v>3638</v>
      </c>
      <c r="B83" s="3430">
        <f>ROUND(1.007-0.0278*B80,4)</f>
        <v>0.95140000000000002</v>
      </c>
      <c r="C83" s="3245"/>
      <c r="D83" s="3245"/>
      <c r="E83" s="3245"/>
      <c r="F83" s="3245"/>
      <c r="G83" s="3245"/>
      <c r="H83" s="3245"/>
      <c r="I83" s="3245"/>
      <c r="J83" s="3245"/>
      <c r="K83" s="3244"/>
      <c r="L83" s="3440"/>
      <c r="M83" s="3440"/>
      <c r="N83" s="3245"/>
      <c r="O83" s="3245"/>
      <c r="P83" s="3245"/>
      <c r="Q83" s="3245"/>
      <c r="R83" s="3245"/>
      <c r="S83" s="3245"/>
      <c r="T83" s="3245"/>
      <c r="U83" s="3245"/>
      <c r="V83" s="3245"/>
      <c r="W83" s="3245"/>
      <c r="X83" s="3245"/>
      <c r="Y83" s="3245"/>
      <c r="Z83" s="3246"/>
      <c r="AA83" s="3247"/>
      <c r="AB83" s="3247"/>
      <c r="AC83" s="3247"/>
      <c r="AD83" s="3247"/>
      <c r="AE83" s="3247"/>
      <c r="AF83" s="3247"/>
      <c r="AG83" s="3247"/>
    </row>
    <row r="84" spans="1:36" ht="12.75">
      <c r="A84" s="3441" t="s">
        <v>3639</v>
      </c>
      <c r="B84" s="3430">
        <f>ROUND(1.018-0.0219*B80,4)</f>
        <v>0.97419999999999995</v>
      </c>
      <c r="K84" s="3245"/>
      <c r="AE84" s="3246"/>
      <c r="AF84" s="3246"/>
      <c r="AH84" s="3245"/>
      <c r="AI84" s="3245"/>
      <c r="AJ84" s="3245"/>
    </row>
    <row r="85" spans="1:36" s="3421" customFormat="1" ht="13.5" thickBot="1">
      <c r="A85" s="3442" t="s">
        <v>3674</v>
      </c>
      <c r="B85" s="3443">
        <f>ROUND(0.7275-0.01*B80,4)</f>
        <v>0.70750000000000002</v>
      </c>
      <c r="C85" s="3245"/>
      <c r="D85" s="3245"/>
      <c r="E85" s="3245"/>
      <c r="F85" s="3245"/>
      <c r="G85" s="3245"/>
      <c r="H85" s="3245"/>
      <c r="I85" s="3245"/>
      <c r="J85" s="3245"/>
      <c r="K85" s="3244"/>
      <c r="L85" s="3245"/>
      <c r="M85" s="3245"/>
      <c r="N85" s="3245"/>
      <c r="O85" s="3245"/>
      <c r="P85" s="3245"/>
      <c r="Q85" s="3245"/>
      <c r="R85" s="3245"/>
      <c r="S85" s="3245"/>
      <c r="T85" s="3245"/>
      <c r="U85" s="3245"/>
      <c r="V85" s="3245"/>
      <c r="W85" s="3245"/>
      <c r="X85" s="3245"/>
      <c r="Y85" s="3245"/>
      <c r="Z85" s="3246"/>
      <c r="AA85" s="3247"/>
      <c r="AB85" s="3247"/>
      <c r="AC85" s="3247"/>
      <c r="AD85" s="3247"/>
      <c r="AE85" s="3247"/>
      <c r="AF85" s="3247"/>
      <c r="AG85" s="3247"/>
    </row>
    <row r="86" spans="1:36">
      <c r="K86" s="3245"/>
      <c r="AE86" s="3246"/>
      <c r="AF86" s="3246"/>
      <c r="AH86" s="3245"/>
      <c r="AI86" s="3245"/>
      <c r="AJ86" s="3245"/>
    </row>
    <row r="87" spans="1:36" ht="12.75" thickBot="1">
      <c r="K87" s="3245"/>
      <c r="AE87" s="3246"/>
      <c r="AF87" s="3246"/>
      <c r="AH87" s="3245"/>
      <c r="AI87" s="3245"/>
      <c r="AJ87" s="3245"/>
    </row>
    <row r="88" spans="1:36" ht="14.25" thickBot="1">
      <c r="A88" s="3444" t="s">
        <v>675</v>
      </c>
      <c r="B88" s="3445" t="s">
        <v>144</v>
      </c>
      <c r="C88" s="3445" t="s">
        <v>184</v>
      </c>
      <c r="D88" s="3445" t="s">
        <v>296</v>
      </c>
      <c r="E88" s="3445" t="s">
        <v>110</v>
      </c>
      <c r="F88" s="3445" t="s">
        <v>303</v>
      </c>
      <c r="G88" s="3445" t="s">
        <v>29</v>
      </c>
      <c r="H88" s="3445" t="s">
        <v>304</v>
      </c>
      <c r="I88" s="3445" t="s">
        <v>305</v>
      </c>
      <c r="J88" s="3445" t="s">
        <v>306</v>
      </c>
      <c r="K88" s="3445" t="s">
        <v>307</v>
      </c>
      <c r="AE88" s="3246"/>
      <c r="AF88" s="3246"/>
      <c r="AH88" s="3245"/>
      <c r="AI88" s="3245"/>
      <c r="AJ88" s="3245"/>
    </row>
    <row r="89" spans="1:36" ht="13.5">
      <c r="A89" s="3446" t="s">
        <v>673</v>
      </c>
      <c r="B89" s="3447">
        <v>2</v>
      </c>
      <c r="C89" s="3447">
        <v>2</v>
      </c>
      <c r="D89" s="3447">
        <v>2</v>
      </c>
      <c r="E89" s="3447">
        <v>2</v>
      </c>
      <c r="F89" s="3447">
        <v>2</v>
      </c>
      <c r="G89" s="3447">
        <v>2</v>
      </c>
      <c r="H89" s="3448">
        <v>1</v>
      </c>
      <c r="I89" s="3448">
        <v>1</v>
      </c>
      <c r="J89" s="3448">
        <v>1</v>
      </c>
      <c r="K89" s="3448">
        <v>1</v>
      </c>
      <c r="AE89" s="3246"/>
      <c r="AF89" s="3246"/>
      <c r="AH89" s="3245"/>
      <c r="AI89" s="3245"/>
      <c r="AJ89" s="3245"/>
    </row>
    <row r="90" spans="1:36" ht="13.5">
      <c r="A90" s="3449" t="s">
        <v>3638</v>
      </c>
      <c r="B90" s="3450">
        <v>2</v>
      </c>
      <c r="C90" s="3450">
        <v>2</v>
      </c>
      <c r="D90" s="3450">
        <v>2</v>
      </c>
      <c r="E90" s="3450">
        <v>2</v>
      </c>
      <c r="F90" s="3450">
        <v>2</v>
      </c>
      <c r="G90" s="3450">
        <v>2</v>
      </c>
      <c r="H90" s="3451">
        <v>1</v>
      </c>
      <c r="I90" s="3451">
        <v>1</v>
      </c>
      <c r="J90" s="3451">
        <v>1</v>
      </c>
      <c r="K90" s="3451">
        <v>1</v>
      </c>
      <c r="AE90" s="3246"/>
      <c r="AF90" s="3246"/>
      <c r="AH90" s="3245"/>
      <c r="AI90" s="3245"/>
      <c r="AJ90" s="3245"/>
    </row>
    <row r="91" spans="1:36" ht="13.5">
      <c r="A91" s="3449" t="s">
        <v>3639</v>
      </c>
      <c r="B91" s="3450">
        <v>2</v>
      </c>
      <c r="C91" s="3450">
        <v>2</v>
      </c>
      <c r="D91" s="3450">
        <v>2</v>
      </c>
      <c r="E91" s="3450">
        <v>2</v>
      </c>
      <c r="F91" s="3450">
        <v>2</v>
      </c>
      <c r="G91" s="3450">
        <v>2</v>
      </c>
      <c r="H91" s="3451">
        <v>1</v>
      </c>
      <c r="I91" s="3451">
        <v>1</v>
      </c>
      <c r="J91" s="3451">
        <v>1</v>
      </c>
      <c r="K91" s="3451">
        <v>1</v>
      </c>
      <c r="AE91" s="3246"/>
      <c r="AF91" s="3246"/>
      <c r="AH91" s="3245"/>
      <c r="AI91" s="3245"/>
      <c r="AJ91" s="3245"/>
    </row>
    <row r="92" spans="1:36" ht="14.25" thickBot="1">
      <c r="A92" s="3452" t="s">
        <v>3</v>
      </c>
      <c r="B92" s="3453">
        <v>1</v>
      </c>
      <c r="C92" s="3453">
        <v>1</v>
      </c>
      <c r="D92" s="3453">
        <v>1</v>
      </c>
      <c r="E92" s="3453">
        <v>1</v>
      </c>
      <c r="F92" s="3453">
        <v>1</v>
      </c>
      <c r="G92" s="3453">
        <v>1</v>
      </c>
      <c r="H92" s="3453">
        <v>1</v>
      </c>
      <c r="I92" s="3453">
        <v>1</v>
      </c>
      <c r="J92" s="3453">
        <v>1</v>
      </c>
      <c r="K92" s="3453">
        <v>1</v>
      </c>
      <c r="AE92" s="3246"/>
      <c r="AF92" s="3246"/>
      <c r="AH92" s="3245"/>
      <c r="AI92" s="3245"/>
      <c r="AJ92" s="3245"/>
    </row>
    <row r="93" spans="1:36">
      <c r="K93" s="3245"/>
      <c r="AE93" s="3246"/>
      <c r="AF93" s="3246"/>
      <c r="AH93" s="3245"/>
      <c r="AI93" s="3245"/>
      <c r="AJ93" s="3245"/>
    </row>
  </sheetData>
  <sheetProtection password="CEE9" sheet="1" objects="1" scenarios="1" formatCells="0" formatColumns="0" formatRows="0"/>
  <mergeCells count="2">
    <mergeCell ref="A18:A19"/>
    <mergeCell ref="A20:A21"/>
  </mergeCells>
  <phoneticPr fontId="134" type="noConversion"/>
  <dataValidations count="9">
    <dataValidation type="list" allowBlank="1" showInputMessage="1" showErrorMessage="1" sqref="C42:C48 C51:C57 C60:C67 C70:C76">
      <formula1>五等判定</formula1>
    </dataValidation>
    <dataValidation type="list" allowBlank="1" showInputMessage="1" showErrorMessage="1" sqref="D22">
      <formula1>"四环路外,四环路内"</formula1>
    </dataValidation>
    <dataValidation type="list" allowBlank="1" showInputMessage="1" showErrorMessage="1" sqref="F16">
      <formula1>"三通一平,四通一平,五通一平,六通一平,七通一平"</formula1>
    </dataValidation>
    <dataValidation type="list" allowBlank="1" showInputMessage="1" showErrorMessage="1" sqref="D11">
      <formula1>"市区,郊区"</formula1>
    </dataValidation>
    <dataValidation type="list" allowBlank="1" showInputMessage="1" showErrorMessage="1" sqref="F10">
      <formula1>"剩余土地使用年限,剩余土地使用年限（设定）"</formula1>
    </dataValidation>
    <dataValidation type="list" allowBlank="1" showInputMessage="1" showErrorMessage="1" sqref="E3">
      <formula1>二级分类</formula1>
    </dataValidation>
    <dataValidation type="list" allowBlank="1" showInputMessage="1" showErrorMessage="1" sqref="I2">
      <formula1>"地上,地下"</formula1>
    </dataValidation>
    <dataValidation type="list" allowBlank="1" showInputMessage="1" showErrorMessage="1" sqref="C25">
      <formula1>季度2002</formula1>
    </dataValidation>
    <dataValidation type="list" allowBlank="1" showInputMessage="1" showErrorMessage="1" sqref="F3">
      <formula1>"容积率,设定容积率"</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sheetPr>
    <tabColor rgb="FF92D050"/>
    <pageSetUpPr fitToPage="1"/>
  </sheetPr>
  <dimension ref="A1:H57"/>
  <sheetViews>
    <sheetView view="pageBreakPreview" zoomScaleNormal="70" zoomScaleSheetLayoutView="100" workbookViewId="0">
      <selection activeCell="J25" sqref="J2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3375</v>
      </c>
      <c r="C1" s="1716" t="s">
        <v>1563</v>
      </c>
      <c r="D1" s="190"/>
      <c r="E1" s="190"/>
      <c r="F1" s="190"/>
      <c r="G1" s="1062">
        <f>MATCH(B1,'数据-取费表'!A6:A16,0)+5</f>
        <v>6</v>
      </c>
      <c r="H1" s="998" t="str">
        <f>IF(ISERROR(FIND("住宅",B1)),"非住宅","住宅")</f>
        <v>住宅</v>
      </c>
    </row>
    <row r="2" spans="1:8" s="192" customFormat="1" ht="18" customHeight="1">
      <c r="A2" s="193" t="s">
        <v>1462</v>
      </c>
      <c r="B2" s="3118">
        <f ca="1">ROUND(IF(D2="——",C52/10000,C52/10000-E2),4)</f>
        <v>252.1069</v>
      </c>
      <c r="C2" s="191" t="s">
        <v>1463</v>
      </c>
      <c r="D2" s="1710" t="s">
        <v>43</v>
      </c>
      <c r="E2" s="1089">
        <f ca="1">SUMIF(INDIRECT("'"&amp;G2&amp;"'"&amp;"!A:A"),"承租人权益价值",INDIRECT("'"&amp;G2&amp;"'"&amp;"!c:c"))</f>
        <v>0</v>
      </c>
      <c r="F2" s="1711" t="s">
        <v>1463</v>
      </c>
      <c r="G2" s="1712" t="s">
        <v>3579</v>
      </c>
    </row>
    <row r="3" spans="1:8" s="192" customFormat="1" ht="18" customHeight="1" thickBot="1">
      <c r="A3" s="195" t="s">
        <v>1464</v>
      </c>
      <c r="B3" s="196">
        <f ca="1">ROUND(B2*10000/(IF(B1="",'数据-汇总表'!E3,INDIRECT("'数据-取费表'!k"&amp;$G$1))),0)</f>
        <v>12326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1262407</v>
      </c>
      <c r="D5" s="203" t="s">
        <v>1469</v>
      </c>
      <c r="E5" s="204" t="s">
        <v>1470</v>
      </c>
      <c r="F5" s="204" t="s">
        <v>1471</v>
      </c>
      <c r="G5" s="205"/>
    </row>
    <row r="6" spans="1:8" s="206" customFormat="1" ht="13.5" customHeight="1">
      <c r="A6" s="732" t="s">
        <v>1472</v>
      </c>
      <c r="B6" s="207" t="s">
        <v>1473</v>
      </c>
      <c r="C6" s="208">
        <f>ROUND(5834*'数据-取费表'!K6,0)</f>
        <v>1193286</v>
      </c>
      <c r="D6" s="209"/>
      <c r="E6" s="210"/>
      <c r="F6" s="210"/>
      <c r="G6" s="211"/>
    </row>
    <row r="7" spans="1:8" s="206" customFormat="1" ht="13.5" customHeight="1">
      <c r="A7" s="732" t="s">
        <v>1474</v>
      </c>
      <c r="B7" s="207" t="s">
        <v>1475</v>
      </c>
      <c r="C7" s="212">
        <f>ROUND(C6*F7,0)</f>
        <v>36395</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32726</v>
      </c>
      <c r="D8" s="214"/>
      <c r="E8" s="212"/>
      <c r="F8" s="213"/>
      <c r="G8" s="1713" t="s">
        <v>3397</v>
      </c>
    </row>
    <row r="9" spans="1:8" s="206" customFormat="1" ht="13.5" customHeight="1">
      <c r="A9" s="733" t="s">
        <v>355</v>
      </c>
      <c r="B9" s="216" t="s">
        <v>1478</v>
      </c>
      <c r="C9" s="217">
        <f ca="1">ROUND(D9*E9,0)</f>
        <v>32726</v>
      </c>
      <c r="D9" s="795">
        <f ca="1">IF(B1="",'数据-汇总表'!E5,IF(INDIRECT("'数据-取费表'!c"&amp;$G$1)="住宅",INDIRECT("'数据-取费表'!k"&amp;$G$1),0))</f>
        <v>204.54</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204.54</v>
      </c>
      <c r="E19" s="203">
        <f>'数据-取费表'!B31</f>
        <v>200</v>
      </c>
      <c r="F19" s="223"/>
      <c r="G19" s="1713" t="s">
        <v>3398</v>
      </c>
    </row>
    <row r="20" spans="1:7" s="206" customFormat="1" ht="13.5" customHeight="1">
      <c r="A20" s="247" t="s">
        <v>1574</v>
      </c>
      <c r="B20" s="202" t="s">
        <v>1575</v>
      </c>
      <c r="C20" s="224">
        <f ca="1">ROUND((C5+C19)*F20,0)</f>
        <v>25248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74590</v>
      </c>
      <c r="D22" s="227">
        <f ca="1">C26</f>
        <v>5.9999999999999995E-4</v>
      </c>
      <c r="E22" s="228" t="s">
        <v>1579</v>
      </c>
      <c r="F22" s="229">
        <f ca="1">'数据-取费表'!B40</f>
        <v>5.8499999999999996E-2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73851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739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257531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257531</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1759861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600837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511350</v>
      </c>
      <c r="D34" s="209"/>
      <c r="E34" s="212"/>
      <c r="F34" s="249"/>
      <c r="G34" s="211"/>
    </row>
    <row r="35" spans="1:7" ht="13.5" customHeight="1">
      <c r="A35" s="734" t="s">
        <v>351</v>
      </c>
      <c r="B35" s="207" t="s">
        <v>1527</v>
      </c>
      <c r="C35" s="212">
        <f ca="1">ROUND(C34*F35,0)</f>
        <v>15341</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25568</v>
      </c>
      <c r="D36" s="212"/>
      <c r="E36" s="212"/>
      <c r="F36" s="251">
        <f>'数据-取费表'!B34</f>
        <v>0.05</v>
      </c>
      <c r="G36" s="252" t="s">
        <v>1530</v>
      </c>
    </row>
    <row r="37" spans="1:7" s="250" customFormat="1" ht="13.5" customHeight="1">
      <c r="A37" s="734" t="s">
        <v>353</v>
      </c>
      <c r="B37" s="207" t="s">
        <v>1531</v>
      </c>
      <c r="C37" s="241">
        <f ca="1">ROUND(E37*D37,0)</f>
        <v>40908</v>
      </c>
      <c r="D37" s="209">
        <f ca="1">D19</f>
        <v>204.54</v>
      </c>
      <c r="E37" s="241">
        <f>'数据-取费表'!B35</f>
        <v>200</v>
      </c>
      <c r="F37" s="251"/>
      <c r="G37" s="253"/>
    </row>
    <row r="38" spans="1:7" ht="13.5" customHeight="1">
      <c r="A38" s="734" t="s">
        <v>354</v>
      </c>
      <c r="B38" s="207" t="s">
        <v>1533</v>
      </c>
      <c r="C38" s="212">
        <f ca="1">ROUND(C34*F38,0)</f>
        <v>7670</v>
      </c>
      <c r="D38" s="212"/>
      <c r="E38" s="212"/>
      <c r="F38" s="251">
        <f>'数据-取费表'!B36</f>
        <v>1.4999999999999999E-2</v>
      </c>
      <c r="G38" s="211" t="s">
        <v>1528</v>
      </c>
    </row>
    <row r="39" spans="1:7" s="206" customFormat="1" ht="13.5" customHeight="1">
      <c r="A39" s="247" t="s">
        <v>1534</v>
      </c>
      <c r="B39" s="202" t="s">
        <v>1535</v>
      </c>
      <c r="C39" s="224">
        <f ca="1">ROUND(C33*F20,0)</f>
        <v>12017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17925</v>
      </c>
      <c r="D41" s="227">
        <f ca="1">C44</f>
        <v>5.9999999999999995E-4</v>
      </c>
      <c r="E41" s="228" t="s">
        <v>1539</v>
      </c>
      <c r="F41" s="229">
        <f ca="1">F22</f>
        <v>5.8499999999999996E-2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17574</v>
      </c>
      <c r="D42" s="230"/>
      <c r="E42" s="230"/>
      <c r="F42" s="231"/>
      <c r="G42" s="3793" t="s">
        <v>1591</v>
      </c>
    </row>
    <row r="43" spans="1:7" ht="13.5" customHeight="1">
      <c r="A43" s="734" t="s">
        <v>347</v>
      </c>
      <c r="B43" s="207" t="s">
        <v>1545</v>
      </c>
      <c r="C43" s="230">
        <f ca="1">ROUND(IF('数据-取费表'!B22&lt;=1,C39*F22*'数据-取费表'!B20/2,C39*(POWER((1+F22),'数据-取费表'!B20/2)-1)),0)</f>
        <v>351</v>
      </c>
      <c r="D43" s="230"/>
      <c r="E43" s="230"/>
      <c r="F43" s="231"/>
      <c r="G43" s="3794"/>
    </row>
    <row r="44" spans="1:7" ht="13.5" customHeight="1">
      <c r="A44" s="734" t="s">
        <v>348</v>
      </c>
      <c r="B44" s="207" t="s">
        <v>1546</v>
      </c>
      <c r="C44" s="230">
        <f ca="1">ROUND(IF('数据-取费表'!B22&lt;=1,C40*F22*'数据-取费表'!B20/2,C40*(POWER((1+F22),'数据-取费表'!B20/2)-1)),4)</f>
        <v>5.9999999999999995E-4</v>
      </c>
      <c r="D44" s="230"/>
      <c r="E44" s="230"/>
      <c r="F44" s="231"/>
      <c r="G44" s="3795"/>
    </row>
    <row r="45" spans="1:7" s="206" customFormat="1" ht="13.5" customHeight="1">
      <c r="A45" s="247" t="s">
        <v>1547</v>
      </c>
      <c r="B45" s="236" t="s">
        <v>1513</v>
      </c>
      <c r="C45" s="237">
        <f ca="1">C46</f>
        <v>122571</v>
      </c>
      <c r="D45" s="227">
        <f ca="1">C47</f>
        <v>4.0000000000000001E-3</v>
      </c>
      <c r="E45" s="228" t="s">
        <v>1539</v>
      </c>
      <c r="F45" s="238">
        <f ca="1">F27</f>
        <v>0.2</v>
      </c>
      <c r="G45" s="239" t="s">
        <v>1548</v>
      </c>
    </row>
    <row r="46" spans="1:7" s="206" customFormat="1" ht="13.5" customHeight="1">
      <c r="A46" s="734" t="s">
        <v>346</v>
      </c>
      <c r="B46" s="240" t="s">
        <v>1549</v>
      </c>
      <c r="C46" s="241">
        <f ca="1">ROUND((C33+C39)*F27,0)</f>
        <v>122571</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5.5E-2</v>
      </c>
      <c r="D48" s="228" t="s">
        <v>1539</v>
      </c>
      <c r="E48" s="224"/>
      <c r="F48" s="229">
        <f>F30</f>
        <v>5.5000000000000007E-2</v>
      </c>
      <c r="G48" s="226" t="s">
        <v>1552</v>
      </c>
    </row>
    <row r="49" spans="1:7" ht="16.5" customHeight="1">
      <c r="A49" s="247" t="s">
        <v>1518</v>
      </c>
      <c r="B49" s="202" t="s">
        <v>1592</v>
      </c>
      <c r="C49" s="224">
        <f ca="1">ROUND((C33+C39+C41+C45)/(1-C40-D41-D45-C48),0)</f>
        <v>818503</v>
      </c>
      <c r="D49" s="224"/>
      <c r="E49" s="224"/>
      <c r="F49" s="256"/>
      <c r="G49" s="226" t="s">
        <v>1554</v>
      </c>
    </row>
    <row r="50" spans="1:7" s="250" customFormat="1">
      <c r="A50" s="247" t="s">
        <v>1555</v>
      </c>
      <c r="B50" s="202" t="s">
        <v>1556</v>
      </c>
      <c r="C50" s="224"/>
      <c r="D50" s="224"/>
      <c r="E50" s="224"/>
      <c r="F50" s="256">
        <f>IF('数据-取费表'!B24=0,'数据-取费表'!N16,1)</f>
        <v>0.93</v>
      </c>
      <c r="G50" s="239"/>
    </row>
    <row r="51" spans="1:7" ht="16.5" customHeight="1">
      <c r="A51" s="247" t="s">
        <v>1558</v>
      </c>
      <c r="B51" s="202" t="s">
        <v>1593</v>
      </c>
      <c r="C51" s="224">
        <f ca="1">ROUND(C49*F50,0)</f>
        <v>761208</v>
      </c>
      <c r="D51" s="224"/>
      <c r="E51" s="224"/>
      <c r="F51" s="256"/>
      <c r="G51" s="226" t="s">
        <v>1560</v>
      </c>
    </row>
    <row r="52" spans="1:7" s="200" customFormat="1" ht="16.5" thickBot="1">
      <c r="A52" s="257" t="s">
        <v>1561</v>
      </c>
      <c r="B52" s="258"/>
      <c r="C52" s="259">
        <f ca="1">C31+C51</f>
        <v>2521069</v>
      </c>
      <c r="D52" s="258"/>
      <c r="E52" s="258"/>
      <c r="F52" s="258"/>
      <c r="G52" s="260"/>
    </row>
    <row r="55" spans="1:7" ht="15">
      <c r="B55" s="262" t="s">
        <v>1562</v>
      </c>
      <c r="C55" s="263"/>
    </row>
    <row r="56" spans="1:7">
      <c r="B56" s="265" t="s">
        <v>802</v>
      </c>
      <c r="C56" s="267">
        <f ca="1">1-C57</f>
        <v>0.69799999999999995</v>
      </c>
    </row>
    <row r="57" spans="1:7">
      <c r="B57" s="265" t="s">
        <v>803</v>
      </c>
      <c r="C57" s="266">
        <f ca="1">ROUND(C51/C52,3)</f>
        <v>0.30199999999999999</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sheetPr>
    <tabColor rgb="FF92D050"/>
  </sheetPr>
  <dimension ref="A1:AK122"/>
  <sheetViews>
    <sheetView view="pageBreakPreview" topLeftCell="A13" zoomScale="90" zoomScaleNormal="80" zoomScaleSheetLayoutView="90" workbookViewId="0">
      <selection activeCell="D34" sqref="D34"/>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8" customWidth="1"/>
    <col min="33" max="36" width="9.375" style="1891" customWidth="1"/>
    <col min="37" max="38" width="9.375" style="1841" customWidth="1"/>
    <col min="39" max="16384" width="12" style="1841"/>
  </cols>
  <sheetData>
    <row r="1" spans="1:36" ht="28.5">
      <c r="A1" s="188" t="s">
        <v>1923</v>
      </c>
      <c r="B1" s="189"/>
      <c r="C1" s="193" t="s">
        <v>1924</v>
      </c>
      <c r="D1" s="333">
        <f>SUM(D33:D34,D37:D42)</f>
        <v>204.54</v>
      </c>
      <c r="E1" s="1838"/>
      <c r="F1" s="1838"/>
      <c r="G1" s="1838"/>
      <c r="H1" s="1838"/>
      <c r="I1" s="1838"/>
      <c r="J1" s="1838"/>
      <c r="K1" s="1056"/>
      <c r="L1" s="1839" t="s">
        <v>1925</v>
      </c>
      <c r="M1" s="810">
        <f>SUMPRODUCT((区片价!B5:B9=I2)*(区片价!C3:G3=E2)*(区片价!C5:G9))</f>
        <v>0</v>
      </c>
      <c r="N1" s="813">
        <f>SUMPRODUCT((因素修正幅度!B5:B9=I2)*(因素修正幅度!C3:G3=E2)*(因素修正幅度!C5:G9))</f>
        <v>0</v>
      </c>
      <c r="O1" s="1840"/>
      <c r="P1" s="1840"/>
      <c r="Q1" s="1056"/>
      <c r="R1" s="1128" t="s">
        <v>1926</v>
      </c>
      <c r="S1" s="1128" t="s">
        <v>1927</v>
      </c>
      <c r="T1" s="1128" t="s">
        <v>1928</v>
      </c>
      <c r="U1" s="1128" t="s">
        <v>1929</v>
      </c>
      <c r="V1" s="1128" t="s">
        <v>1930</v>
      </c>
      <c r="W1" s="1132"/>
      <c r="X1" s="1132"/>
      <c r="Y1" s="1132"/>
      <c r="Z1" s="1132"/>
      <c r="AA1" s="1132"/>
      <c r="AB1" s="1132"/>
      <c r="AC1" s="1133"/>
      <c r="AD1" s="1134"/>
      <c r="AE1" s="1134"/>
      <c r="AF1" s="1134"/>
      <c r="AG1" s="1134"/>
      <c r="AH1" s="1134"/>
      <c r="AI1" s="1134"/>
      <c r="AJ1" s="1135"/>
    </row>
    <row r="2" spans="1:36" ht="15.75">
      <c r="A2" s="193" t="s">
        <v>1931</v>
      </c>
      <c r="B2" s="196">
        <f>C30</f>
        <v>0</v>
      </c>
      <c r="C2" s="1842" t="s">
        <v>1932</v>
      </c>
      <c r="D2" s="162" t="s">
        <v>1933</v>
      </c>
      <c r="E2" s="3116" t="s">
        <v>3375</v>
      </c>
      <c r="F2" s="162" t="s">
        <v>1934</v>
      </c>
      <c r="G2" s="163" t="str">
        <f>IF(E2="商业",项目基本情况!B37,IF(E2="办公",项目基本情况!C37,IF(E2="住宅",项目基本情况!D37,IF(E2="工业",项目基本情况!E37,项目基本情况!F37))))</f>
        <v>二级</v>
      </c>
      <c r="H2" s="162" t="s">
        <v>1935</v>
      </c>
      <c r="I2" s="163" t="str">
        <f>IF(E2="商业",项目基本情况!B38,IF(E2="办公",项目基本情况!C38,IF(E2="住宅",项目基本情况!D38,IF(E2="工业",项目基本情况!E38,项目基本情况!F38))))</f>
        <v>Ⅱ—15</v>
      </c>
      <c r="J2" s="1838"/>
      <c r="K2" s="1056"/>
      <c r="L2" s="1843" t="s">
        <v>1936</v>
      </c>
      <c r="M2" s="811">
        <f>SUMPRODUCT((区片价!B10:B29=I2)*(区片价!C3:G3=E2)*(区片价!C10:G29))</f>
        <v>32120</v>
      </c>
      <c r="N2" s="813">
        <f>SUMPRODUCT((因素修正幅度!B10:B29=I2)*(因素修正幅度!C3:G3=E2)*(因素修正幅度!C10:G29))</f>
        <v>9.8000000000000004E-2</v>
      </c>
      <c r="O2" s="1056"/>
      <c r="P2" s="1056"/>
      <c r="Q2" s="1056"/>
      <c r="R2" s="1128">
        <v>1</v>
      </c>
      <c r="S2" s="3059">
        <f>ROUND(SUMPRODUCT((B106:B110=R2)*(C105:N105=G2)*(C106:N110)),4)</f>
        <v>1.5206</v>
      </c>
      <c r="T2" s="3059">
        <f t="shared" ref="T2:T16" si="0">ROUND($C$5*$C$22*$C$23*$C$24*S2*$C$28,0)</f>
        <v>0</v>
      </c>
      <c r="U2" s="1129"/>
      <c r="V2" s="3059">
        <f>ROUND(T2*U2/10000,0)</f>
        <v>0</v>
      </c>
      <c r="W2" s="1132"/>
      <c r="X2" s="1132"/>
      <c r="Y2" s="1132"/>
      <c r="Z2" s="1132"/>
      <c r="AA2" s="1132"/>
      <c r="AB2" s="1132"/>
      <c r="AC2" s="1133"/>
      <c r="AD2" s="1134"/>
      <c r="AE2" s="1134"/>
      <c r="AF2" s="1134"/>
      <c r="AG2" s="1134"/>
      <c r="AH2" s="1134"/>
      <c r="AI2" s="1134"/>
      <c r="AJ2" s="1135"/>
    </row>
    <row r="3" spans="1:36" ht="15.75">
      <c r="A3" s="195" t="s">
        <v>1937</v>
      </c>
      <c r="B3" s="196">
        <f>ROUND(B2*10000/D1,0)</f>
        <v>0</v>
      </c>
      <c r="C3" s="1842" t="s">
        <v>1938</v>
      </c>
      <c r="D3" s="162" t="s">
        <v>1939</v>
      </c>
      <c r="E3" s="3114" t="s">
        <v>3392</v>
      </c>
      <c r="F3" s="1844" t="s">
        <v>3393</v>
      </c>
      <c r="G3" s="708">
        <f>IF(F3="宗地容积率",'数据-汇总表'!I4,IF(F3="估价对象容积率",'数据-汇总表'!I6,'数据-汇总表'!I7))</f>
        <v>3.35</v>
      </c>
      <c r="H3" s="162" t="s">
        <v>1940</v>
      </c>
      <c r="I3" s="729"/>
      <c r="J3" s="1838" t="s">
        <v>1941</v>
      </c>
      <c r="K3" s="1056"/>
      <c r="L3" s="1843" t="s">
        <v>1942</v>
      </c>
      <c r="M3" s="811">
        <f>SUMPRODUCT((区片价!B30:B54=I2)*(区片价!C3:G3=E2)*(区片价!C30:G54))</f>
        <v>0</v>
      </c>
      <c r="N3" s="813">
        <f>SUMPRODUCT((因素修正幅度!B30:B54=I2)*(因素修正幅度!C3:G3=E2)*(因素修正幅度!C30:G54))</f>
        <v>0</v>
      </c>
      <c r="O3" s="1056"/>
      <c r="P3" s="1056"/>
      <c r="Q3" s="1056"/>
      <c r="R3" s="1128">
        <v>2</v>
      </c>
      <c r="S3" s="3059">
        <f>ROUND(SUMPRODUCT((B106:B110=R3)*(C105:N105=G2)*(C106:N110)),4)</f>
        <v>1.2072000000000001</v>
      </c>
      <c r="T3" s="3059">
        <f t="shared" si="0"/>
        <v>0</v>
      </c>
      <c r="U3" s="1129"/>
      <c r="V3" s="3059">
        <f t="shared" ref="V3:V16" si="1">ROUND(T3*U3/10000,0)</f>
        <v>0</v>
      </c>
      <c r="W3" s="1132"/>
      <c r="X3" s="1132"/>
      <c r="Y3" s="1132"/>
      <c r="Z3" s="1132"/>
      <c r="AA3" s="1132"/>
      <c r="AB3" s="1132"/>
      <c r="AC3" s="1133"/>
      <c r="AD3" s="1134"/>
      <c r="AE3" s="1134"/>
      <c r="AF3" s="1134"/>
      <c r="AG3" s="1134"/>
      <c r="AH3" s="1134"/>
      <c r="AI3" s="1134"/>
      <c r="AJ3" s="1135"/>
    </row>
    <row r="4" spans="1:36" ht="15.75">
      <c r="A4" s="3924"/>
      <c r="B4" s="3925"/>
      <c r="C4" s="3925"/>
      <c r="D4" s="3926"/>
      <c r="E4" s="3926"/>
      <c r="F4" s="3926"/>
      <c r="G4" s="3926"/>
      <c r="H4" s="3926"/>
      <c r="I4" s="3926"/>
      <c r="J4" s="3927"/>
      <c r="K4" s="1056"/>
      <c r="L4" s="1843" t="s">
        <v>1943</v>
      </c>
      <c r="M4" s="811">
        <f>SUMPRODUCT((区片价!B55:B86=I2)*(区片价!C3:G3=E2)*(区片价!C55:G86))</f>
        <v>0</v>
      </c>
      <c r="N4" s="813">
        <f>SUMPRODUCT((因素修正幅度!B55:B86=I2)*(因素修正幅度!C3:G3=E2)*(因素修正幅度!C55:G86))</f>
        <v>0</v>
      </c>
      <c r="O4" s="1056"/>
      <c r="P4" s="1056"/>
      <c r="Q4" s="1056"/>
      <c r="R4" s="1128">
        <v>3</v>
      </c>
      <c r="S4" s="3059">
        <f>ROUND(SUMPRODUCT((B106:B110=R4)*(C105:N105=G2)*(C106:N110)),4)</f>
        <v>1.0430999999999999</v>
      </c>
      <c r="T4" s="3059">
        <f t="shared" si="0"/>
        <v>0</v>
      </c>
      <c r="U4" s="1129"/>
      <c r="V4" s="3059">
        <f t="shared" si="1"/>
        <v>0</v>
      </c>
      <c r="W4" s="1132"/>
      <c r="X4" s="1132"/>
      <c r="Y4" s="1132"/>
      <c r="Z4" s="1132"/>
      <c r="AA4" s="1132"/>
      <c r="AB4" s="1132"/>
      <c r="AC4" s="1133"/>
      <c r="AD4" s="1134"/>
      <c r="AE4" s="1134"/>
      <c r="AF4" s="1134"/>
      <c r="AG4" s="1134"/>
      <c r="AH4" s="1134"/>
      <c r="AI4" s="1134"/>
      <c r="AJ4" s="1135"/>
    </row>
    <row r="5" spans="1:36" s="1854" customFormat="1" ht="15.75" thickBot="1">
      <c r="A5" s="1845" t="s">
        <v>362</v>
      </c>
      <c r="B5" s="1846" t="s">
        <v>1944</v>
      </c>
      <c r="C5" s="709">
        <f>ROUND(IF(E2="商业",C6*C7*C17+C20,(IF(E2="住宅",C6*C13*C17+C20,IF(E2="办公",C6*C12*C17+C20,C6+C20)))),0)</f>
        <v>33726</v>
      </c>
      <c r="D5" s="1251">
        <f>ROUND(C6*C17+C20,0)</f>
        <v>32120</v>
      </c>
      <c r="E5" s="1251"/>
      <c r="F5" s="1847"/>
      <c r="G5" s="1848"/>
      <c r="H5" s="1848"/>
      <c r="I5" s="1848"/>
      <c r="J5" s="1849"/>
      <c r="K5" s="1850"/>
      <c r="L5" s="1843" t="s">
        <v>1945</v>
      </c>
      <c r="M5" s="811">
        <f>SUMPRODUCT((区片价!B87:B126=I2)*(区片价!C3:G3=E2)*(区片价!C87:G126))</f>
        <v>0</v>
      </c>
      <c r="N5" s="813">
        <f>SUMPRODUCT((因素修正幅度!B87:B126=I2)*(因素修正幅度!C3:G3=E2)*(因素修正幅度!C87:G126))</f>
        <v>0</v>
      </c>
      <c r="O5" s="1056"/>
      <c r="P5" s="1056"/>
      <c r="Q5" s="1056"/>
      <c r="R5" s="1128">
        <v>4</v>
      </c>
      <c r="S5" s="3059">
        <f>ROUND(SUMPRODUCT((B106:B110=R5)*(C105:N105=G2)*(C106:N110)),4)</f>
        <v>0.94389999999999996</v>
      </c>
      <c r="T5" s="3059">
        <f t="shared" si="0"/>
        <v>0</v>
      </c>
      <c r="U5" s="1129"/>
      <c r="V5" s="3059">
        <f t="shared" si="1"/>
        <v>0</v>
      </c>
      <c r="W5" s="1132"/>
      <c r="X5" s="1132"/>
      <c r="Y5" s="1132"/>
      <c r="Z5" s="1132"/>
      <c r="AA5" s="1132"/>
      <c r="AB5" s="1132"/>
      <c r="AC5" s="1851"/>
      <c r="AD5" s="1852"/>
      <c r="AE5" s="1852"/>
      <c r="AF5" s="1852"/>
      <c r="AG5" s="1852"/>
      <c r="AH5" s="1852"/>
      <c r="AI5" s="1852"/>
      <c r="AJ5" s="1853"/>
    </row>
    <row r="6" spans="1:36" ht="15.75" thickBot="1">
      <c r="A6" s="1855" t="s">
        <v>1946</v>
      </c>
      <c r="B6" s="1856" t="s">
        <v>1947</v>
      </c>
      <c r="C6" s="710">
        <f>SUMIF(L1:L12,G2,M1:M12)</f>
        <v>32120</v>
      </c>
      <c r="D6" s="1857"/>
      <c r="E6" s="1858"/>
      <c r="F6" s="1858"/>
      <c r="G6" s="1859"/>
      <c r="H6" s="1859"/>
      <c r="I6" s="1859"/>
      <c r="J6" s="1860"/>
      <c r="K6" s="1291"/>
      <c r="L6" s="1843" t="s">
        <v>1948</v>
      </c>
      <c r="M6" s="811">
        <f>SUMPRODUCT((区片价!B127:B189=I2)*(区片价!C3:G3=E2)*(区片价!C127:G189))</f>
        <v>0</v>
      </c>
      <c r="N6" s="813">
        <f>SUMPRODUCT((因素修正幅度!B127:B189=I2)*(因素修正幅度!C3:G3=E2)*(因素修正幅度!C127:G189))</f>
        <v>0</v>
      </c>
      <c r="O6" s="1056"/>
      <c r="P6" s="1056"/>
      <c r="Q6" s="1056"/>
      <c r="R6" s="1128">
        <v>5</v>
      </c>
      <c r="S6" s="3059">
        <f>ROUND(SUMPRODUCT((B106:B110=R6)*(C105:N105=G2)*(C106:N110)),4)</f>
        <v>0.89959999999999996</v>
      </c>
      <c r="T6" s="3059">
        <f t="shared" si="0"/>
        <v>0</v>
      </c>
      <c r="U6" s="1129"/>
      <c r="V6" s="3059">
        <f t="shared" si="1"/>
        <v>0</v>
      </c>
      <c r="W6" s="1132"/>
      <c r="X6" s="1132"/>
      <c r="Y6" s="1132"/>
      <c r="Z6" s="1132"/>
      <c r="AA6" s="1132"/>
      <c r="AB6" s="1132"/>
      <c r="AC6" s="1851"/>
      <c r="AD6" s="1852"/>
      <c r="AE6" s="1852"/>
      <c r="AF6" s="1852"/>
      <c r="AG6" s="1852"/>
      <c r="AH6" s="1852"/>
      <c r="AI6" s="1852"/>
      <c r="AJ6" s="1853"/>
    </row>
    <row r="7" spans="1:36" ht="24.75" thickBot="1">
      <c r="A7" s="3008" t="s">
        <v>3237</v>
      </c>
      <c r="B7" s="1861" t="s">
        <v>1949</v>
      </c>
      <c r="C7" s="711" t="e">
        <f>IF(C8="不临65条商业街",1,ROUND(1+(1.6*E8+1.2*E9+0.8*E10+0.4*E11)*C9,4))</f>
        <v>#DIV/0!</v>
      </c>
      <c r="D7" s="1862" t="s">
        <v>1950</v>
      </c>
      <c r="E7" s="730"/>
      <c r="F7" s="1863"/>
      <c r="G7" s="1864"/>
      <c r="H7" s="1864"/>
      <c r="I7" s="1864"/>
      <c r="J7" s="1865"/>
      <c r="K7" s="1291"/>
      <c r="L7" s="1843" t="s">
        <v>1951</v>
      </c>
      <c r="M7" s="811">
        <f>SUMPRODUCT((区片价!B190:B233=I2)*(区片价!C3:G3=E2)*(区片价!C190:G233))</f>
        <v>0</v>
      </c>
      <c r="N7" s="813">
        <f>SUMPRODUCT((因素修正幅度!B190:B233=I2)*(因素修正幅度!C3:G3=E2)*(因素修正幅度!C190:G233))</f>
        <v>0</v>
      </c>
      <c r="O7" s="1056"/>
      <c r="P7" s="1056"/>
      <c r="Q7" s="1056"/>
      <c r="R7" s="1128">
        <v>6</v>
      </c>
      <c r="S7" s="3113"/>
      <c r="T7" s="3059">
        <f t="shared" si="0"/>
        <v>0</v>
      </c>
      <c r="U7" s="1129"/>
      <c r="V7" s="3059">
        <f t="shared" si="1"/>
        <v>0</v>
      </c>
      <c r="W7" s="1266" t="s">
        <v>1952</v>
      </c>
      <c r="X7" s="1130" t="str">
        <f>G2</f>
        <v>二级</v>
      </c>
      <c r="Y7" s="1130" t="s">
        <v>1953</v>
      </c>
      <c r="Z7" s="1131">
        <f>G3</f>
        <v>3.35</v>
      </c>
      <c r="AA7" s="1132"/>
      <c r="AB7" s="1132"/>
      <c r="AC7" s="1133"/>
      <c r="AD7" s="1134"/>
      <c r="AE7" s="1134"/>
      <c r="AF7" s="1134"/>
      <c r="AG7" s="1134"/>
      <c r="AH7" s="1134"/>
      <c r="AI7" s="1134"/>
      <c r="AJ7" s="1135"/>
    </row>
    <row r="8" spans="1:36" ht="15">
      <c r="A8" s="3005"/>
      <c r="B8" s="162" t="s">
        <v>1954</v>
      </c>
      <c r="C8" s="1866"/>
      <c r="D8" s="712" t="s">
        <v>112</v>
      </c>
      <c r="E8" s="713" t="e">
        <f>ROUND(C11/E7,4)</f>
        <v>#DIV/0!</v>
      </c>
      <c r="F8" s="1867" t="s">
        <v>1955</v>
      </c>
      <c r="G8" s="1868"/>
      <c r="H8" s="1868"/>
      <c r="I8" s="1868"/>
      <c r="J8" s="1869"/>
      <c r="K8" s="1056"/>
      <c r="L8" s="1843" t="s">
        <v>1956</v>
      </c>
      <c r="M8" s="811">
        <f>SUMPRODUCT((区片价!B234:B276=I2)*(区片价!C3:G3=E2)*(区片价!C234:G276))</f>
        <v>0</v>
      </c>
      <c r="N8" s="813">
        <f>SUMPRODUCT((因素修正幅度!B234:B276=I2)*(因素修正幅度!C3:G3=E2)*(因素修正幅度!C234:G276))</f>
        <v>0</v>
      </c>
      <c r="O8" s="1056"/>
      <c r="P8" s="1056"/>
      <c r="Q8" s="1056"/>
      <c r="R8" s="1128">
        <v>7</v>
      </c>
      <c r="S8" s="1129"/>
      <c r="T8" s="3059">
        <f t="shared" si="0"/>
        <v>0</v>
      </c>
      <c r="U8" s="1129"/>
      <c r="V8" s="3059">
        <f t="shared" si="1"/>
        <v>0</v>
      </c>
      <c r="W8" s="3921" t="s">
        <v>1957</v>
      </c>
      <c r="X8" s="3922"/>
      <c r="Y8" s="1136" t="s">
        <v>1958</v>
      </c>
      <c r="Z8" s="1136" t="s">
        <v>1959</v>
      </c>
      <c r="AA8" s="1136" t="s">
        <v>1960</v>
      </c>
      <c r="AB8" s="1136" t="s">
        <v>1961</v>
      </c>
      <c r="AC8" s="1136" t="s">
        <v>1962</v>
      </c>
      <c r="AD8" s="1136" t="s">
        <v>1963</v>
      </c>
      <c r="AE8" s="1136" t="s">
        <v>1964</v>
      </c>
      <c r="AF8" s="1136" t="s">
        <v>1965</v>
      </c>
      <c r="AG8" s="1136" t="s">
        <v>1966</v>
      </c>
      <c r="AH8" s="1136" t="s">
        <v>1967</v>
      </c>
      <c r="AI8" s="1136" t="s">
        <v>1968</v>
      </c>
      <c r="AJ8" s="1136" t="s">
        <v>1969</v>
      </c>
    </row>
    <row r="9" spans="1:36" ht="15">
      <c r="A9" s="3005"/>
      <c r="B9" s="162" t="s">
        <v>1970</v>
      </c>
      <c r="C9" s="714">
        <f>SUMIF(修正!C71:C138,C8,修正!E71:E138)</f>
        <v>0</v>
      </c>
      <c r="D9" s="163" t="s">
        <v>113</v>
      </c>
      <c r="E9" s="163" t="e">
        <f>ROUND(C11/E7,4)</f>
        <v>#DIV/0!</v>
      </c>
      <c r="F9" s="1867" t="s">
        <v>1971</v>
      </c>
      <c r="G9" s="1868"/>
      <c r="H9" s="1868"/>
      <c r="I9" s="1868"/>
      <c r="J9" s="1869"/>
      <c r="K9" s="1056"/>
      <c r="L9" s="1843" t="s">
        <v>1972</v>
      </c>
      <c r="M9" s="811">
        <f>SUMPRODUCT((区片价!B277:B326=I2)*(区片价!C3:G3=E2)*(区片价!C277:G326))</f>
        <v>0</v>
      </c>
      <c r="N9" s="813">
        <f>SUMPRODUCT((因素修正幅度!B277:B326=I2)*(因素修正幅度!C3:G3=E2)*(因素修正幅度!C277:G326))</f>
        <v>0</v>
      </c>
      <c r="O9" s="1056"/>
      <c r="P9" s="1056"/>
      <c r="Q9" s="1056"/>
      <c r="R9" s="1128">
        <v>8</v>
      </c>
      <c r="S9" s="1129"/>
      <c r="T9" s="3059">
        <f t="shared" si="0"/>
        <v>0</v>
      </c>
      <c r="U9" s="1129"/>
      <c r="V9" s="3059">
        <f t="shared" si="1"/>
        <v>0</v>
      </c>
      <c r="W9" s="3923"/>
      <c r="X9" s="3060" t="s">
        <v>3268</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1973</v>
      </c>
      <c r="C10" s="163">
        <f>SUMIF(修正!C71:C138,C8,修正!F71:F138)</f>
        <v>0</v>
      </c>
      <c r="D10" s="163" t="s">
        <v>114</v>
      </c>
      <c r="E10" s="163" t="e">
        <f>ROUND(C11/E7,4)</f>
        <v>#DIV/0!</v>
      </c>
      <c r="F10" s="1867" t="s">
        <v>1974</v>
      </c>
      <c r="G10" s="1868"/>
      <c r="H10" s="1868"/>
      <c r="I10" s="1868"/>
      <c r="J10" s="1869"/>
      <c r="K10" s="1056"/>
      <c r="L10" s="1843" t="s">
        <v>1975</v>
      </c>
      <c r="M10" s="811">
        <f>SUMPRODUCT((区片价!B327:B357=I2)*(区片价!C3:G3=E2)*(区片价!C327:G357))</f>
        <v>0</v>
      </c>
      <c r="N10" s="813">
        <f>SUMPRODUCT((因素修正幅度!B327:B357=I2)*(因素修正幅度!C3:G3=E2)*(因素修正幅度!C327:G357))</f>
        <v>0</v>
      </c>
      <c r="O10" s="1056"/>
      <c r="P10" s="1056"/>
      <c r="Q10" s="1056"/>
      <c r="R10" s="1128">
        <v>9</v>
      </c>
      <c r="S10" s="1129"/>
      <c r="T10" s="3059">
        <f t="shared" si="0"/>
        <v>0</v>
      </c>
      <c r="U10" s="1129"/>
      <c r="V10" s="3059">
        <f t="shared" si="1"/>
        <v>0</v>
      </c>
      <c r="W10" s="3923"/>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0" t="s">
        <v>1976</v>
      </c>
      <c r="C11" s="715">
        <f>C10/4</f>
        <v>0</v>
      </c>
      <c r="D11" s="715" t="s">
        <v>115</v>
      </c>
      <c r="E11" s="715" t="e">
        <f>ROUND(C11/E7,4)</f>
        <v>#DIV/0!</v>
      </c>
      <c r="F11" s="1871" t="s">
        <v>1977</v>
      </c>
      <c r="G11" s="1872"/>
      <c r="H11" s="1872"/>
      <c r="I11" s="1872"/>
      <c r="J11" s="1873"/>
      <c r="K11" s="1056"/>
      <c r="L11" s="1843" t="s">
        <v>1978</v>
      </c>
      <c r="M11" s="811">
        <f>SUMPRODUCT((区片价!B358:B377=I2)*(区片价!C3:G3=E2)*(区片价!C358:G377))</f>
        <v>0</v>
      </c>
      <c r="N11" s="813">
        <f>SUMPRODUCT((因素修正幅度!B358:B377=I2)*(因素修正幅度!C3:G3=E2)*(因素修正幅度!C358:G377))</f>
        <v>0</v>
      </c>
      <c r="O11" s="1056"/>
      <c r="P11" s="1056"/>
      <c r="Q11" s="1056"/>
      <c r="R11" s="1128">
        <v>10</v>
      </c>
      <c r="S11" s="1129"/>
      <c r="T11" s="3059">
        <f t="shared" si="0"/>
        <v>0</v>
      </c>
      <c r="U11" s="1129"/>
      <c r="V11" s="3059">
        <f t="shared" si="1"/>
        <v>0</v>
      </c>
      <c r="W11" s="1132"/>
      <c r="X11" s="1132"/>
      <c r="Y11" s="1132"/>
      <c r="Z11" s="1132"/>
      <c r="AA11" s="1132"/>
      <c r="AB11" s="1132"/>
      <c r="AC11" s="1133"/>
      <c r="AD11" s="2549"/>
      <c r="AE11" s="2549"/>
      <c r="AF11" s="2549"/>
      <c r="AG11" s="2549"/>
      <c r="AH11" s="2549"/>
      <c r="AI11" s="2549"/>
      <c r="AJ11" s="2550"/>
    </row>
    <row r="12" spans="1:36" ht="25.5" thickBot="1">
      <c r="A12" s="3008" t="s">
        <v>3238</v>
      </c>
      <c r="B12" s="3009" t="s">
        <v>3239</v>
      </c>
      <c r="C12" s="3010"/>
      <c r="D12" s="3011" t="s">
        <v>3240</v>
      </c>
      <c r="E12" s="3012" t="s">
        <v>3241</v>
      </c>
      <c r="F12" s="3013"/>
      <c r="G12" s="3014"/>
      <c r="H12" s="3014"/>
      <c r="I12" s="3014"/>
      <c r="J12" s="3015"/>
      <c r="K12" s="1056"/>
      <c r="L12" s="1792" t="s">
        <v>1981</v>
      </c>
      <c r="M12" s="812">
        <f>SUMPRODUCT((区片价!B378:B384=I2)*(区片价!C3:G3=E2)*(区片价!C378:G384))</f>
        <v>0</v>
      </c>
      <c r="N12" s="813">
        <f>SUMPRODUCT((因素修正幅度!B378:B384=I2)*(因素修正幅度!C3:G3=E2)*(因素修正幅度!C378:G384))</f>
        <v>0</v>
      </c>
      <c r="O12" s="1056"/>
      <c r="P12" s="1056"/>
      <c r="Q12" s="1056"/>
      <c r="R12" s="1128">
        <v>11</v>
      </c>
      <c r="S12" s="1129"/>
      <c r="T12" s="3059">
        <f t="shared" si="0"/>
        <v>0</v>
      </c>
      <c r="U12" s="1129"/>
      <c r="V12" s="3059">
        <f t="shared" si="1"/>
        <v>0</v>
      </c>
      <c r="W12" s="1132"/>
      <c r="X12" s="1132"/>
      <c r="Y12" s="1132"/>
      <c r="Z12" s="1132"/>
      <c r="AA12" s="1132"/>
      <c r="AB12" s="1132"/>
      <c r="AC12" s="1133"/>
      <c r="AD12" s="2549"/>
      <c r="AE12" s="2549"/>
      <c r="AF12" s="2549"/>
      <c r="AG12" s="2549"/>
      <c r="AH12" s="2549"/>
      <c r="AI12" s="2549"/>
      <c r="AJ12" s="2550"/>
    </row>
    <row r="13" spans="1:36" ht="15.75" thickBot="1">
      <c r="A13" s="3008" t="s">
        <v>3242</v>
      </c>
      <c r="B13" s="1874" t="s">
        <v>1979</v>
      </c>
      <c r="C13" s="711">
        <f>ROUND(C16*D16*E16*F16*G16*H16*I16*J16,4)</f>
        <v>1.05</v>
      </c>
      <c r="D13" s="1875" t="s">
        <v>1980</v>
      </c>
      <c r="E13" s="1876"/>
      <c r="F13" s="1876"/>
      <c r="G13" s="1877"/>
      <c r="H13" s="1877"/>
      <c r="I13" s="1877"/>
      <c r="J13" s="1878"/>
      <c r="K13" s="1056"/>
      <c r="L13" s="3"/>
      <c r="M13" s="4"/>
      <c r="N13" s="3006"/>
      <c r="O13" s="1056"/>
      <c r="P13" s="1056"/>
      <c r="Q13" s="1056"/>
      <c r="R13" s="1128">
        <v>12</v>
      </c>
      <c r="S13" s="1129"/>
      <c r="T13" s="3059">
        <f t="shared" si="0"/>
        <v>0</v>
      </c>
      <c r="U13" s="1129"/>
      <c r="V13" s="3059">
        <f t="shared" si="1"/>
        <v>0</v>
      </c>
      <c r="W13" s="1132"/>
      <c r="X13" s="1132"/>
      <c r="Y13" s="1132"/>
      <c r="Z13" s="1132"/>
      <c r="AA13" s="1132"/>
      <c r="AB13" s="1132"/>
      <c r="AC13" s="1133"/>
      <c r="AD13" s="2549"/>
      <c r="AE13" s="2549"/>
      <c r="AF13" s="2549"/>
      <c r="AG13" s="2549"/>
      <c r="AH13" s="2549"/>
      <c r="AI13" s="2549"/>
      <c r="AJ13" s="2550"/>
    </row>
    <row r="14" spans="1:36" ht="15">
      <c r="A14" s="3004"/>
      <c r="B14" s="1879" t="s">
        <v>1982</v>
      </c>
      <c r="C14" s="1880" t="s">
        <v>1983</v>
      </c>
      <c r="D14" s="1260" t="s">
        <v>1984</v>
      </c>
      <c r="E14" s="27" t="s">
        <v>1985</v>
      </c>
      <c r="F14" s="3016" t="s">
        <v>3243</v>
      </c>
      <c r="G14" s="3016" t="s">
        <v>3243</v>
      </c>
      <c r="H14" s="3016" t="s">
        <v>3243</v>
      </c>
      <c r="I14" s="3016" t="s">
        <v>3243</v>
      </c>
      <c r="J14" s="3016" t="s">
        <v>3243</v>
      </c>
      <c r="K14" s="1056"/>
      <c r="L14" s="1056"/>
      <c r="M14" s="1056"/>
      <c r="N14" s="1056"/>
      <c r="O14" s="1056"/>
      <c r="P14" s="1056"/>
      <c r="Q14" s="1056"/>
      <c r="R14" s="1128">
        <v>13</v>
      </c>
      <c r="S14" s="1129"/>
      <c r="T14" s="3059">
        <f t="shared" si="0"/>
        <v>0</v>
      </c>
      <c r="U14" s="1129"/>
      <c r="V14" s="3059">
        <f t="shared" si="1"/>
        <v>0</v>
      </c>
      <c r="W14" s="1132"/>
      <c r="X14" s="1132"/>
      <c r="Y14" s="1132"/>
      <c r="Z14" s="1132"/>
      <c r="AA14" s="1132"/>
      <c r="AB14" s="1132"/>
      <c r="AC14" s="1133"/>
      <c r="AD14" s="2549"/>
      <c r="AE14" s="2549"/>
      <c r="AF14" s="2549"/>
      <c r="AG14" s="2549"/>
      <c r="AH14" s="2549"/>
      <c r="AI14" s="2549"/>
      <c r="AJ14" s="2550"/>
    </row>
    <row r="15" spans="1:36" ht="15">
      <c r="A15" s="3004"/>
      <c r="B15" s="1881"/>
      <c r="C15" s="1882" t="s">
        <v>3389</v>
      </c>
      <c r="D15" s="1883" t="s">
        <v>3389</v>
      </c>
      <c r="E15" s="1884" t="s">
        <v>3390</v>
      </c>
      <c r="F15" s="1469" t="s">
        <v>3244</v>
      </c>
      <c r="G15" s="1924"/>
      <c r="H15" s="3017"/>
      <c r="I15" s="3018"/>
      <c r="J15" s="3019"/>
      <c r="K15" s="1056"/>
      <c r="L15" s="1056"/>
      <c r="M15" s="1056"/>
      <c r="N15" s="1056"/>
      <c r="O15" s="1056"/>
      <c r="P15" s="1056"/>
      <c r="Q15" s="1056"/>
      <c r="R15" s="1128">
        <v>14</v>
      </c>
      <c r="S15" s="1129"/>
      <c r="T15" s="3059">
        <f t="shared" si="0"/>
        <v>0</v>
      </c>
      <c r="U15" s="1129"/>
      <c r="V15" s="3059">
        <f t="shared" si="1"/>
        <v>0</v>
      </c>
      <c r="W15" s="1132"/>
      <c r="X15" s="1132"/>
      <c r="Y15" s="1132"/>
      <c r="Z15" s="1132"/>
      <c r="AA15" s="1132"/>
      <c r="AB15" s="1132"/>
      <c r="AC15" s="1133"/>
      <c r="AD15" s="2549"/>
      <c r="AE15" s="2549"/>
      <c r="AF15" s="2549"/>
      <c r="AG15" s="2549"/>
      <c r="AH15" s="2549"/>
      <c r="AI15" s="2549"/>
      <c r="AJ15" s="2550"/>
    </row>
    <row r="16" spans="1:36" ht="15.75" thickBot="1">
      <c r="A16" s="3004"/>
      <c r="B16" s="3022" t="s">
        <v>1986</v>
      </c>
      <c r="C16" s="3020">
        <v>1</v>
      </c>
      <c r="D16" s="3020">
        <v>1</v>
      </c>
      <c r="E16" s="3020">
        <v>1.05</v>
      </c>
      <c r="F16" s="3020">
        <v>1</v>
      </c>
      <c r="G16" s="3020">
        <v>1</v>
      </c>
      <c r="H16" s="3020">
        <v>1</v>
      </c>
      <c r="I16" s="3020">
        <v>1</v>
      </c>
      <c r="J16" s="3021">
        <v>1</v>
      </c>
      <c r="K16" s="1056"/>
      <c r="L16" s="1840"/>
      <c r="M16" s="1840"/>
      <c r="N16" s="1840"/>
      <c r="O16" s="1840"/>
      <c r="P16" s="1840"/>
      <c r="Q16" s="1056"/>
      <c r="R16" s="1128">
        <v>15</v>
      </c>
      <c r="S16" s="1129"/>
      <c r="T16" s="3059">
        <f t="shared" si="0"/>
        <v>0</v>
      </c>
      <c r="U16" s="1129"/>
      <c r="V16" s="3059">
        <f t="shared" si="1"/>
        <v>0</v>
      </c>
      <c r="W16" s="1132"/>
      <c r="X16" s="1132"/>
      <c r="Y16" s="1132"/>
      <c r="Z16" s="1132"/>
      <c r="AA16" s="1132"/>
      <c r="AB16" s="1132"/>
      <c r="AC16" s="1133"/>
      <c r="AD16" s="2549"/>
      <c r="AE16" s="2549"/>
      <c r="AF16" s="2549"/>
      <c r="AG16" s="2549"/>
      <c r="AH16" s="2549"/>
      <c r="AI16" s="2549"/>
      <c r="AJ16" s="2550"/>
    </row>
    <row r="17" spans="1:37">
      <c r="A17" s="3031" t="s">
        <v>3245</v>
      </c>
      <c r="B17" s="3023" t="s">
        <v>3246</v>
      </c>
      <c r="C17" s="3032">
        <f>ROUND(IF(OR(E2="工业",E2="公共服务"),1,IF(AND(E18=0,E19=0),1,IF(AND(E18=J24,E19=G19),0.8,IF(E19=0,1+E17*(-0.2),1+E17*G17*(-0.2))))),4)</f>
        <v>1</v>
      </c>
      <c r="D17" s="3024" t="s">
        <v>3247</v>
      </c>
      <c r="E17" s="3032">
        <f>ROUND(G18/I18,2)</f>
        <v>0</v>
      </c>
      <c r="F17" s="3024" t="s">
        <v>3250</v>
      </c>
      <c r="G17" s="3032" t="e">
        <f>ROUND(E19/G19,2)</f>
        <v>#DIV/0!</v>
      </c>
      <c r="H17" s="3032"/>
      <c r="I17" s="3032"/>
      <c r="J17" s="3033"/>
      <c r="K17" s="1056"/>
      <c r="L17" s="1840"/>
      <c r="M17" s="1840"/>
      <c r="N17" s="1840"/>
      <c r="O17" s="1840"/>
      <c r="P17" s="1840"/>
      <c r="Q17" s="1056"/>
      <c r="R17" s="1056"/>
      <c r="S17" s="1056"/>
      <c r="T17" s="1056"/>
      <c r="U17" s="1056"/>
      <c r="V17" s="1056"/>
      <c r="W17" s="1056"/>
      <c r="X17" s="1056"/>
      <c r="Y17" s="1056"/>
      <c r="Z17" s="1057"/>
      <c r="AA17" s="1057"/>
      <c r="AB17" s="1057"/>
      <c r="AC17" s="1057"/>
      <c r="AD17" s="1057"/>
      <c r="AE17" s="1056"/>
      <c r="AF17" s="1056"/>
      <c r="AG17" s="1840"/>
      <c r="AH17" s="1840"/>
      <c r="AI17" s="1840"/>
      <c r="AJ17" s="1840"/>
    </row>
    <row r="18" spans="1:37" s="1854" customFormat="1" ht="14.25">
      <c r="A18" s="3034"/>
      <c r="B18" s="2305"/>
      <c r="C18" s="3030"/>
      <c r="D18" s="3025" t="s">
        <v>3248</v>
      </c>
      <c r="E18" s="2352"/>
      <c r="F18" s="3026" t="s">
        <v>3251</v>
      </c>
      <c r="G18" s="3030">
        <f>ROUND(1-(1/(POWER(1+G24,E18))),4)</f>
        <v>0</v>
      </c>
      <c r="H18" s="3026" t="s">
        <v>3253</v>
      </c>
      <c r="I18" s="3030">
        <f>ROUND(1-(1/(POWER(1+G24,J24))),4)</f>
        <v>0.96709999999999996</v>
      </c>
      <c r="J18" s="3035"/>
      <c r="K18" s="1056"/>
      <c r="L18" s="1840"/>
      <c r="M18" s="1840"/>
      <c r="N18" s="1840"/>
      <c r="O18" s="1840"/>
      <c r="P18" s="1840"/>
      <c r="Q18" s="1056"/>
      <c r="R18" s="1060"/>
      <c r="S18" s="1060"/>
      <c r="T18" s="1057"/>
      <c r="U18" s="1057"/>
      <c r="V18" s="1057"/>
      <c r="W18" s="1056"/>
      <c r="X18" s="1056"/>
      <c r="Y18" s="1056"/>
      <c r="Z18" s="1061"/>
      <c r="AA18" s="1061"/>
      <c r="AB18" s="1061"/>
      <c r="AC18" s="1061"/>
      <c r="AD18" s="1061"/>
      <c r="AE18" s="1057"/>
      <c r="AF18" s="1057"/>
      <c r="AG18" s="1976"/>
      <c r="AH18" s="1976"/>
      <c r="AI18" s="1976"/>
      <c r="AJ18" s="2548"/>
    </row>
    <row r="19" spans="1:37" s="1854" customFormat="1" ht="15" thickBot="1">
      <c r="A19" s="3036"/>
      <c r="B19" s="3037"/>
      <c r="C19" s="3038"/>
      <c r="D19" s="3038" t="s">
        <v>3249</v>
      </c>
      <c r="E19" s="3039"/>
      <c r="F19" s="3040" t="s">
        <v>3252</v>
      </c>
      <c r="G19" s="3039"/>
      <c r="H19" s="3038"/>
      <c r="I19" s="3038"/>
      <c r="J19" s="3041"/>
      <c r="K19" s="1056"/>
      <c r="L19" s="1840"/>
      <c r="M19" s="1840"/>
      <c r="N19" s="1840"/>
      <c r="O19" s="1840"/>
      <c r="P19" s="1840"/>
      <c r="Q19" s="1060"/>
      <c r="R19" s="1060"/>
      <c r="S19" s="1060"/>
      <c r="T19" s="1057"/>
      <c r="U19" s="1057"/>
      <c r="V19" s="1057"/>
      <c r="W19" s="1056"/>
      <c r="X19" s="1056"/>
      <c r="Y19" s="1056"/>
      <c r="Z19" s="1061"/>
      <c r="AA19" s="1061"/>
      <c r="AB19" s="1061"/>
      <c r="AC19" s="1061"/>
      <c r="AD19" s="1061"/>
      <c r="AE19" s="1061"/>
      <c r="AF19" s="1060"/>
      <c r="AG19" s="2551"/>
      <c r="AH19" s="1976"/>
      <c r="AI19" s="561"/>
      <c r="AJ19" s="561"/>
      <c r="AK19" s="1895"/>
    </row>
    <row r="20" spans="1:37" s="1854" customFormat="1" ht="14.25">
      <c r="A20" s="3928" t="s">
        <v>3254</v>
      </c>
      <c r="B20" s="159" t="s">
        <v>1991</v>
      </c>
      <c r="C20" s="3027">
        <f>ROUND(IF(F21="与级别开发程度一致",0,(G21-E21)/C21),0)</f>
        <v>0</v>
      </c>
      <c r="D20" s="3042" t="s">
        <v>1995</v>
      </c>
      <c r="E20" s="3043"/>
      <c r="F20" s="3934" t="s">
        <v>1992</v>
      </c>
      <c r="G20" s="3935"/>
      <c r="H20" s="3028"/>
      <c r="I20" s="3028"/>
      <c r="J20" s="3029"/>
      <c r="K20" s="1885"/>
      <c r="L20" s="1885"/>
      <c r="M20" s="1885"/>
      <c r="N20" s="1885"/>
      <c r="O20" s="1886"/>
      <c r="P20" s="1840"/>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4" customFormat="1" ht="26.25" thickBot="1">
      <c r="A21" s="3929"/>
      <c r="B21" s="1998" t="s">
        <v>1994</v>
      </c>
      <c r="C21" s="1999">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375</v>
      </c>
      <c r="F21" s="1990" t="s">
        <v>3391</v>
      </c>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4" customFormat="1" ht="15.75" thickBot="1">
      <c r="A22" s="1992" t="s">
        <v>363</v>
      </c>
      <c r="B22" s="1993" t="s">
        <v>1997</v>
      </c>
      <c r="C22" s="1994">
        <f>SUMIF(修正!C20:C51,E3,修正!E20:E51)</f>
        <v>1</v>
      </c>
      <c r="D22" s="1995"/>
      <c r="E22" s="1996"/>
      <c r="F22" s="1996"/>
      <c r="G22" s="1996"/>
      <c r="H22" s="1996"/>
      <c r="I22" s="1996"/>
      <c r="J22" s="1997"/>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6.25" thickBot="1">
      <c r="A23" s="1888" t="s">
        <v>364</v>
      </c>
      <c r="B23" s="1889" t="s">
        <v>1998</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2" t="s">
        <v>1999</v>
      </c>
      <c r="E23" s="717">
        <v>44197</v>
      </c>
      <c r="F23" s="1892" t="s">
        <v>2000</v>
      </c>
      <c r="G23" s="718">
        <f>'数据-取费表'!B2</f>
        <v>38867</v>
      </c>
      <c r="H23" s="3044" t="s">
        <v>3256</v>
      </c>
      <c r="I23" s="3045" t="str">
        <f>IF(H23="季度增幅（自定义）",SUMIF(N25:N28,E2,O25:O28),"")</f>
        <v/>
      </c>
      <c r="J23" s="3137" t="s">
        <v>3255</v>
      </c>
      <c r="K23" s="1061"/>
      <c r="L23" s="1893" t="s">
        <v>2001</v>
      </c>
      <c r="M23" s="1240">
        <f>ROUND(SUMIF(地价!B2:G2,E2,地价!B16:G16),0)</f>
        <v>687</v>
      </c>
      <c r="N23" s="1894" t="s">
        <v>2002</v>
      </c>
      <c r="O23" s="719" t="e">
        <f>ROUNDDOWN(DATEDIF(E23,G23,"M")/3,0)</f>
        <v>#NUM!</v>
      </c>
      <c r="P23" s="1057"/>
      <c r="Q23" s="2548"/>
      <c r="R23" s="1060"/>
      <c r="S23" s="1060"/>
      <c r="T23" s="1057"/>
      <c r="U23" s="1057"/>
      <c r="V23" s="1057"/>
      <c r="W23" s="1056"/>
      <c r="X23" s="1056"/>
      <c r="Y23" s="1056"/>
      <c r="Z23" s="1061"/>
      <c r="AA23" s="1061"/>
      <c r="AB23" s="1061"/>
      <c r="AC23" s="1061"/>
      <c r="AD23" s="1061"/>
      <c r="AE23" s="1057"/>
      <c r="AF23" s="1057"/>
      <c r="AG23" s="1976"/>
      <c r="AH23" s="1976"/>
      <c r="AI23" s="1976"/>
      <c r="AJ23" s="1976"/>
      <c r="AK23" s="1891"/>
    </row>
    <row r="24" spans="1:37" s="1854" customFormat="1" ht="24.75" thickBot="1">
      <c r="A24" s="1896" t="s">
        <v>365</v>
      </c>
      <c r="B24" s="1897" t="s">
        <v>2003</v>
      </c>
      <c r="C24" s="720">
        <f>ROUND(POWER(1+G24,J24-I24)*(POWER(1+G24,I24)-1)/(POWER(1+G24,J24)-1),4)</f>
        <v>1</v>
      </c>
      <c r="D24" s="1898" t="s">
        <v>2004</v>
      </c>
      <c r="E24" s="1247">
        <f>存贷款利率!E22/100</f>
        <v>4.3499999999999997E-2</v>
      </c>
      <c r="F24" s="1898" t="s">
        <v>1996</v>
      </c>
      <c r="G24" s="724">
        <f>SUMIF(M30:Q30,E2,M33:Q33)</f>
        <v>0.05</v>
      </c>
      <c r="H24" s="1898" t="s">
        <v>2005</v>
      </c>
      <c r="I24" s="725">
        <f>SUMIF('数据-取费表'!C6:C15,E2,'数据-取费表'!F6:F15)/COUNTIF('数据-取费表'!C6:C15,E2)</f>
        <v>70</v>
      </c>
      <c r="J24" s="726">
        <f>IF(E2="住宅",70,IF(E2="商业",40,50))</f>
        <v>70</v>
      </c>
      <c r="K24" s="1061"/>
      <c r="L24" s="1899" t="s">
        <v>2006</v>
      </c>
      <c r="M24" s="1241">
        <f>ROUND(SUMPRODUCT((地价!A4:A16=YEAR(G23)&amp;"-"&amp;ROUNDUP(MONTH(G23)/3,0))*(地价!B2:G2=E2)*(地价!B4:G16)),0)</f>
        <v>0</v>
      </c>
      <c r="N24" s="1900" t="s">
        <v>2007</v>
      </c>
      <c r="O24" s="1901" t="s">
        <v>2008</v>
      </c>
      <c r="P24" s="1902" t="s">
        <v>2009</v>
      </c>
      <c r="Q24" s="1840"/>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5">
      <c r="A25" s="1903" t="s">
        <v>366</v>
      </c>
      <c r="B25" s="1904" t="s">
        <v>3335</v>
      </c>
      <c r="C25" s="461">
        <f>IF(B25="容积率修正",IF(G3&lt;10,D26,J26),C27)</f>
        <v>0.95130000000000003</v>
      </c>
      <c r="D25" s="1905"/>
      <c r="E25" s="1905"/>
      <c r="F25" s="1905"/>
      <c r="G25" s="1905"/>
      <c r="H25" s="1905"/>
      <c r="I25" s="1905"/>
      <c r="J25" s="1906"/>
      <c r="K25" s="1061"/>
      <c r="L25" s="2548"/>
      <c r="M25" s="2548"/>
      <c r="N25" s="1907" t="s">
        <v>2010</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76"/>
      <c r="AH25" s="1976"/>
      <c r="AI25" s="1976"/>
      <c r="AJ25" s="1976"/>
    </row>
    <row r="26" spans="1:37" ht="14.25">
      <c r="A26" s="1802" t="s">
        <v>2011</v>
      </c>
      <c r="B26" s="1908" t="s">
        <v>2012</v>
      </c>
      <c r="C26" s="1908" t="s">
        <v>3257</v>
      </c>
      <c r="D26" s="1262">
        <f>IF(E26=G26,F26,IF(G3&lt;10,ROUND(F26+(H26-F26)*(G3-E26)/(G26-E26),4),"——"))</f>
        <v>0.95130000000000003</v>
      </c>
      <c r="E26" s="708">
        <f>ROUNDDOWN(G3,1)</f>
        <v>3.3</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0.95340000000000003</v>
      </c>
      <c r="G26" s="708">
        <f>ROUNDUP(G3,1)</f>
        <v>3.4</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0.94920000000000004</v>
      </c>
      <c r="I26" s="1908" t="s">
        <v>3258</v>
      </c>
      <c r="J26" s="374" t="str">
        <f>IF(G3&gt;=10,D115,"——")</f>
        <v>——</v>
      </c>
      <c r="K26" s="1061"/>
      <c r="L26" s="2548"/>
      <c r="M26" s="2548"/>
      <c r="N26" s="1907" t="s">
        <v>2013</v>
      </c>
      <c r="O26" s="1093"/>
      <c r="P26" s="1094">
        <f>SUMPRODUCT((地价!A3:A40=YEAR(G23)&amp;"-"&amp;ROUNDUP(MONTH(G23)/3,0))*(地价!AD2:AH2=N26)*(地价!AD3:AH40))</f>
        <v>0</v>
      </c>
      <c r="Q26" s="1840"/>
      <c r="R26" s="1060"/>
      <c r="S26" s="1060"/>
      <c r="T26" s="1057"/>
      <c r="U26" s="1057"/>
      <c r="V26" s="1057"/>
      <c r="W26" s="1056"/>
      <c r="X26" s="1056"/>
      <c r="Y26" s="1056"/>
      <c r="Z26" s="1061"/>
      <c r="AA26" s="1061"/>
      <c r="AB26" s="1061"/>
      <c r="AC26" s="1061"/>
      <c r="AD26" s="1061"/>
      <c r="AE26" s="1057"/>
      <c r="AF26" s="1057"/>
      <c r="AG26" s="1976"/>
      <c r="AH26" s="1976"/>
      <c r="AI26" s="1976"/>
      <c r="AJ26" s="1976"/>
    </row>
    <row r="27" spans="1:37" ht="15.75" thickBot="1">
      <c r="A27" s="1802" t="s">
        <v>2014</v>
      </c>
      <c r="B27" s="1909" t="s">
        <v>2015</v>
      </c>
      <c r="C27" s="791">
        <f>ROUND(IF(I3&lt;6,SUMPRODUCT((B106:B110=I3)*(C105:N105=G2)*(C106:N110)),SUMIF(C105:N105,G2,C112:N112)),4)</f>
        <v>0</v>
      </c>
      <c r="D27" s="1838"/>
      <c r="E27" s="1838"/>
      <c r="F27" s="1910"/>
      <c r="G27" s="1911"/>
      <c r="H27" s="1912"/>
      <c r="I27" s="1913"/>
      <c r="J27" s="1914"/>
      <c r="K27" s="1056"/>
      <c r="L27" s="1840"/>
      <c r="M27" s="1840"/>
      <c r="N27" s="1907" t="s">
        <v>2016</v>
      </c>
      <c r="O27" s="1093"/>
      <c r="P27" s="1094">
        <f>SUMPRODUCT((地价!A3:A40=YEAR(G23)&amp;"-"&amp;ROUNDUP(MONTH(G23)/3,0))*(地价!AD2:AH2=N27)*(地价!AD3:AH40))</f>
        <v>0</v>
      </c>
      <c r="Q27" s="1840"/>
      <c r="R27" s="1060"/>
      <c r="S27" s="1060"/>
      <c r="T27" s="1057"/>
      <c r="U27" s="1057"/>
      <c r="V27" s="1057"/>
      <c r="W27" s="1056"/>
      <c r="X27" s="1056"/>
      <c r="Y27" s="1056"/>
      <c r="Z27" s="1061"/>
      <c r="AA27" s="1061"/>
      <c r="AB27" s="1061"/>
      <c r="AC27" s="1061"/>
      <c r="AD27" s="1061"/>
      <c r="AE27" s="1057"/>
      <c r="AF27" s="1057"/>
      <c r="AG27" s="1976"/>
      <c r="AH27" s="1976"/>
      <c r="AI27" s="1976"/>
      <c r="AJ27" s="1976"/>
    </row>
    <row r="28" spans="1:37" ht="15.75" thickBot="1">
      <c r="A28" s="1896" t="s">
        <v>367</v>
      </c>
      <c r="B28" s="1889" t="s">
        <v>2017</v>
      </c>
      <c r="C28" s="716">
        <f>SUMIF(A47:A101,E2,B47:B101)</f>
        <v>1.0448999999999999</v>
      </c>
      <c r="D28" s="1890"/>
      <c r="E28" s="1915"/>
      <c r="F28" s="1915"/>
      <c r="G28" s="1915"/>
      <c r="H28" s="1915"/>
      <c r="I28" s="1915"/>
      <c r="J28" s="1916"/>
      <c r="K28" s="1061"/>
      <c r="L28" s="2548"/>
      <c r="M28" s="2548"/>
      <c r="N28" s="1917" t="s">
        <v>2018</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6"/>
      <c r="AH28" s="1976"/>
      <c r="AI28" s="1976"/>
      <c r="AJ28" s="1976"/>
    </row>
    <row r="29" spans="1:37" ht="15.75" thickBot="1">
      <c r="A29" s="1896" t="s">
        <v>368</v>
      </c>
      <c r="B29" s="1918" t="s">
        <v>2019</v>
      </c>
      <c r="C29" s="721"/>
      <c r="D29" s="1864"/>
      <c r="E29" s="1864"/>
      <c r="F29" s="1919"/>
      <c r="G29" s="1864"/>
      <c r="H29" s="1864"/>
      <c r="I29" s="1864"/>
      <c r="J29" s="1865"/>
      <c r="K29" s="1056"/>
      <c r="L29" s="1840"/>
      <c r="M29" s="1840"/>
      <c r="N29" s="2545" t="s">
        <v>2020</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0"/>
      <c r="AH29" s="1840"/>
      <c r="AI29" s="1840"/>
      <c r="AJ29" s="1840"/>
    </row>
    <row r="30" spans="1:37" ht="15">
      <c r="A30" s="1920"/>
      <c r="B30" s="1908" t="s">
        <v>2021</v>
      </c>
      <c r="C30" s="2141">
        <f>IF(B25="容积率修正",E33+SUM(E37:E42),SUM(V2:V16)+SUM(E37:E42))</f>
        <v>0</v>
      </c>
      <c r="D30" s="1921"/>
      <c r="E30" s="1838"/>
      <c r="F30" s="1922"/>
      <c r="G30" s="1838"/>
      <c r="H30" s="1838"/>
      <c r="I30" s="1838"/>
      <c r="J30" s="1923"/>
      <c r="K30" s="1056"/>
      <c r="L30" s="3051" t="s">
        <v>1933</v>
      </c>
      <c r="M30" s="3052" t="s">
        <v>1987</v>
      </c>
      <c r="N30" s="3052" t="s">
        <v>1988</v>
      </c>
      <c r="O30" s="3052" t="s">
        <v>1989</v>
      </c>
      <c r="P30" s="3052" t="s">
        <v>1990</v>
      </c>
      <c r="Q30" s="3055" t="s">
        <v>3262</v>
      </c>
      <c r="R30" s="1060"/>
      <c r="S30" s="1060"/>
      <c r="T30" s="1057"/>
      <c r="U30" s="1057"/>
      <c r="V30" s="1057"/>
      <c r="W30" s="1056"/>
      <c r="X30" s="1056"/>
      <c r="Y30" s="1056"/>
      <c r="Z30" s="1061"/>
      <c r="AA30" s="1061"/>
      <c r="AB30" s="1061"/>
      <c r="AC30" s="1061"/>
      <c r="AD30" s="1061"/>
      <c r="AE30" s="1056"/>
      <c r="AF30" s="1056"/>
      <c r="AG30" s="1840"/>
      <c r="AH30" s="1840"/>
      <c r="AI30" s="1840"/>
      <c r="AJ30" s="1840"/>
    </row>
    <row r="31" spans="1:37" ht="15.75" thickBot="1">
      <c r="A31" s="1920"/>
      <c r="B31" s="1924" t="s">
        <v>2022</v>
      </c>
      <c r="C31" s="722">
        <f>E34+SUM(I37:I42)</f>
        <v>0</v>
      </c>
      <c r="D31" s="1925"/>
      <c r="E31" s="1926"/>
      <c r="F31" s="1927"/>
      <c r="G31" s="1926"/>
      <c r="H31" s="1926"/>
      <c r="I31" s="1926"/>
      <c r="J31" s="1928"/>
      <c r="K31" s="1056"/>
      <c r="L31" s="3053" t="s">
        <v>1993</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0"/>
      <c r="AH31" s="1840"/>
      <c r="AI31" s="1840"/>
      <c r="AJ31" s="1840"/>
    </row>
    <row r="32" spans="1:37" ht="15.75" thickBot="1">
      <c r="A32" s="1929"/>
      <c r="B32" s="1930" t="s">
        <v>2023</v>
      </c>
      <c r="C32" s="1931" t="s">
        <v>2024</v>
      </c>
      <c r="D32" s="1931" t="s">
        <v>2025</v>
      </c>
      <c r="E32" s="1932" t="s">
        <v>2026</v>
      </c>
      <c r="F32" s="1933"/>
      <c r="G32" s="1877"/>
      <c r="H32" s="1877"/>
      <c r="I32" s="1877"/>
      <c r="J32" s="1878"/>
      <c r="K32" s="1056"/>
      <c r="L32" s="3054" t="s">
        <v>1996</v>
      </c>
      <c r="M32" s="2351">
        <f>ROUND($E$24*(1+M31),3)</f>
        <v>5.3999999999999999E-2</v>
      </c>
      <c r="N32" s="2351">
        <f>ROUND($E$24*(1+N31),3)</f>
        <v>5.1999999999999998E-2</v>
      </c>
      <c r="O32" s="2351">
        <f>ROUND($E$24*(1+O31),3)</f>
        <v>0.05</v>
      </c>
      <c r="P32" s="2351">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0"/>
      <c r="AH32" s="1840"/>
      <c r="AI32" s="1840"/>
      <c r="AJ32" s="1840"/>
    </row>
    <row r="33" spans="1:37" ht="14.25">
      <c r="A33" s="1934"/>
      <c r="B33" s="1935" t="s">
        <v>2027</v>
      </c>
      <c r="C33" s="167">
        <f>ROUND(C5*C22*C23*C24*C25*C28,0)</f>
        <v>0</v>
      </c>
      <c r="D33" s="1936">
        <f>'数据-汇总表'!F19</f>
        <v>204.54</v>
      </c>
      <c r="E33" s="727">
        <f>ROUND(C33*D33/10000,0)</f>
        <v>0</v>
      </c>
      <c r="F33" s="3046" t="s">
        <v>3260</v>
      </c>
      <c r="G33" s="1937"/>
      <c r="H33" s="1937"/>
      <c r="I33" s="1937"/>
      <c r="J33" s="1938"/>
      <c r="K33" s="1056"/>
      <c r="L33" s="3049" t="s">
        <v>3263</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76"/>
      <c r="AH33" s="1976"/>
      <c r="AI33" s="1976"/>
      <c r="AJ33" s="1976"/>
    </row>
    <row r="34" spans="1:37" ht="25.5" thickBot="1">
      <c r="A34" s="1939"/>
      <c r="B34" s="1940" t="s">
        <v>2028</v>
      </c>
      <c r="C34" s="179">
        <f>ROUND(IF(E2="工业",C33*M42,IF(B25="楼层修正",SUM(V2:V16)*M41*10000/D34,C33*M41)),0)</f>
        <v>0</v>
      </c>
      <c r="D34" s="1941"/>
      <c r="E34" s="727">
        <f>ROUND(IF(B25="楼层修正",SUM(V2:V16)*M40,C34*D34/10000),0)</f>
        <v>0</v>
      </c>
      <c r="F34" s="1942" t="s">
        <v>2029</v>
      </c>
      <c r="G34" s="1943"/>
      <c r="H34" s="1943"/>
      <c r="I34" s="1943"/>
      <c r="J34" s="1944"/>
      <c r="K34" s="1056"/>
      <c r="L34" s="3049" t="s">
        <v>3264</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76"/>
      <c r="AH34" s="1976"/>
      <c r="AI34" s="1976"/>
      <c r="AJ34" s="1976"/>
    </row>
    <row r="35" spans="1:37">
      <c r="A35" s="1945"/>
      <c r="B35" s="1946" t="s">
        <v>2030</v>
      </c>
      <c r="C35" s="3047" t="s">
        <v>3261</v>
      </c>
      <c r="D35" s="1877"/>
      <c r="E35" s="1947"/>
      <c r="F35" s="1947"/>
      <c r="G35" s="1875" t="s">
        <v>2031</v>
      </c>
      <c r="H35" s="1877"/>
      <c r="I35" s="1948"/>
      <c r="J35" s="1878"/>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6"/>
      <c r="AH35" s="1976"/>
      <c r="AI35" s="1976"/>
      <c r="AJ35" s="1976"/>
    </row>
    <row r="36" spans="1:37" ht="24.75" thickBot="1">
      <c r="A36" s="1934"/>
      <c r="B36" s="1949"/>
      <c r="C36" s="436" t="s">
        <v>2024</v>
      </c>
      <c r="D36" s="433" t="s">
        <v>2025</v>
      </c>
      <c r="E36" s="433" t="s">
        <v>2026</v>
      </c>
      <c r="F36" s="333" t="s">
        <v>2032</v>
      </c>
      <c r="G36" s="1950" t="s">
        <v>2024</v>
      </c>
      <c r="H36" s="1950" t="s">
        <v>2025</v>
      </c>
      <c r="I36" s="1950" t="s">
        <v>2026</v>
      </c>
      <c r="J36" s="235"/>
      <c r="K36" s="1960" t="s">
        <v>3265</v>
      </c>
      <c r="L36" s="3138">
        <f ca="1">'数据-取费表'!B40</f>
        <v>5.8499999999999996E-2</v>
      </c>
      <c r="M36" s="2361">
        <f ca="1">ROUND($L$36*(1+M31),3)</f>
        <v>7.2999999999999995E-2</v>
      </c>
      <c r="N36" s="2361">
        <f ca="1">ROUND($L$36*(1+N31),3)</f>
        <v>7.0000000000000007E-2</v>
      </c>
      <c r="O36" s="2361">
        <f ca="1">ROUND($L$36*(1+O31),3)</f>
        <v>6.7000000000000004E-2</v>
      </c>
      <c r="P36" s="2361">
        <f ca="1">ROUND($L$36*(1+P31),3)</f>
        <v>6.4000000000000001E-2</v>
      </c>
      <c r="Q36" s="2361">
        <f ca="1">ROUND($L$36*(1+Q31),3)</f>
        <v>6.7000000000000004E-2</v>
      </c>
      <c r="R36" s="1056"/>
      <c r="S36" s="1056"/>
      <c r="T36" s="1056"/>
      <c r="U36" s="1056"/>
      <c r="V36" s="1056"/>
      <c r="W36" s="1056"/>
      <c r="X36" s="1056"/>
      <c r="Y36" s="1056"/>
      <c r="Z36" s="1057"/>
      <c r="AA36" s="1057"/>
      <c r="AB36" s="1057"/>
      <c r="AC36" s="1057"/>
      <c r="AD36" s="1057"/>
      <c r="AE36" s="1057"/>
      <c r="AF36" s="1057"/>
      <c r="AG36" s="1976"/>
      <c r="AH36" s="1976"/>
      <c r="AI36" s="1976"/>
      <c r="AJ36" s="1976"/>
    </row>
    <row r="37" spans="1:37" ht="24.75" thickBot="1">
      <c r="A37" s="3932"/>
      <c r="B37" s="1951" t="s">
        <v>2033</v>
      </c>
      <c r="C37" s="167">
        <f>ROUND(D5*C22*C23*C24*C28*F37,0)</f>
        <v>0</v>
      </c>
      <c r="D37" s="1936"/>
      <c r="E37" s="163">
        <f>ROUND(C37*D37/10000,0)</f>
        <v>0</v>
      </c>
      <c r="F37" s="163">
        <f>SUMIF(修正!A57:A68,G2,修正!B57:B68)</f>
        <v>0.7</v>
      </c>
      <c r="G37" s="163">
        <f>ROUND(IF(E2="工业",C37*$M$42,C37*$M$41),0)</f>
        <v>0</v>
      </c>
      <c r="H37" s="163">
        <f>D37</f>
        <v>0</v>
      </c>
      <c r="I37" s="163">
        <f>ROUND(G37*H37/10000,0)</f>
        <v>0</v>
      </c>
      <c r="J37" s="2750"/>
      <c r="K37" s="3057" t="s">
        <v>3266</v>
      </c>
      <c r="L37" s="1960">
        <f ca="1">L36+K38</f>
        <v>6.3500000000000001E-2</v>
      </c>
      <c r="M37" s="2361">
        <f ca="1">ROUND($L$37*(1+M31),3)</f>
        <v>7.9000000000000001E-2</v>
      </c>
      <c r="N37" s="2361">
        <f t="shared" ref="N37:Q37" ca="1" si="3">ROUND($L$37*(1+N31),3)</f>
        <v>7.5999999999999998E-2</v>
      </c>
      <c r="O37" s="2361">
        <f t="shared" ca="1" si="3"/>
        <v>7.2999999999999995E-2</v>
      </c>
      <c r="P37" s="2361">
        <f t="shared" ca="1" si="3"/>
        <v>7.0000000000000007E-2</v>
      </c>
      <c r="Q37" s="2361">
        <f t="shared" ca="1" si="3"/>
        <v>7.2999999999999995E-2</v>
      </c>
      <c r="R37" s="1056"/>
      <c r="S37" s="1056"/>
      <c r="T37" s="1056"/>
      <c r="U37" s="1056"/>
      <c r="V37" s="1056"/>
      <c r="W37" s="1056"/>
      <c r="X37" s="1056"/>
      <c r="Y37" s="1056"/>
      <c r="Z37" s="1057"/>
      <c r="AA37" s="1057"/>
      <c r="AB37" s="1057"/>
      <c r="AC37" s="1057"/>
      <c r="AD37" s="1057"/>
      <c r="AE37" s="1057"/>
      <c r="AF37" s="1057"/>
      <c r="AG37" s="1976"/>
      <c r="AH37" s="1976"/>
      <c r="AI37" s="1976"/>
      <c r="AJ37" s="1976"/>
    </row>
    <row r="38" spans="1:37">
      <c r="A38" s="3933"/>
      <c r="B38" s="1880" t="s">
        <v>2034</v>
      </c>
      <c r="C38" s="167">
        <f>ROUND(D5*C22*C23*C24*C28*F38,0)</f>
        <v>0</v>
      </c>
      <c r="D38" s="1936"/>
      <c r="E38" s="163">
        <f t="shared" ref="E38:E42" si="4">ROUND(C38*D38/10000,0)</f>
        <v>0</v>
      </c>
      <c r="F38" s="163">
        <f>SUMIF(修正!A57:A68,G2,修正!C57:C68)</f>
        <v>0.4</v>
      </c>
      <c r="G38" s="163">
        <f>ROUND(IF(E2="工业",C38*$M$42,C38*$M$41),0)</f>
        <v>0</v>
      </c>
      <c r="H38" s="163">
        <f t="shared" ref="H38:H42" si="5">D38</f>
        <v>0</v>
      </c>
      <c r="I38" s="163">
        <f t="shared" ref="I38:I42" si="6">ROUND(G38*H38/10000,0)</f>
        <v>0</v>
      </c>
      <c r="J38" s="2749"/>
      <c r="K38" s="1960">
        <v>5.0000000000000001E-3</v>
      </c>
      <c r="L38" s="1960"/>
      <c r="M38" s="1960"/>
      <c r="N38" s="1960"/>
      <c r="O38" s="1960"/>
      <c r="P38" s="1960"/>
      <c r="Q38" s="1960"/>
      <c r="R38" s="1056"/>
      <c r="S38" s="1056"/>
      <c r="T38" s="1056"/>
      <c r="U38" s="1056"/>
      <c r="V38" s="1056"/>
      <c r="W38" s="1056"/>
      <c r="X38" s="1056"/>
      <c r="Y38" s="1056"/>
      <c r="Z38" s="1057"/>
      <c r="AA38" s="1057"/>
      <c r="AB38" s="1057"/>
      <c r="AC38" s="1057"/>
      <c r="AD38" s="1057"/>
    </row>
    <row r="39" spans="1:37" ht="13.5" thickBot="1">
      <c r="A39" s="3933"/>
      <c r="B39" s="1880" t="s">
        <v>3259</v>
      </c>
      <c r="C39" s="167">
        <f>ROUND(D5*C22*C23*C24*C28*F39,0)</f>
        <v>0</v>
      </c>
      <c r="D39" s="1936"/>
      <c r="E39" s="163">
        <f t="shared" si="4"/>
        <v>0</v>
      </c>
      <c r="F39" s="163">
        <f>SUMIF(修正!A57:A68,G2,修正!D57:D68)</f>
        <v>0.3</v>
      </c>
      <c r="G39" s="163">
        <f>ROUND(IF(E2="工业",C39*$M$42,C39*$M$41),0)</f>
        <v>0</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2"/>
      <c r="B40" s="1880" t="s">
        <v>2035</v>
      </c>
      <c r="C40" s="163">
        <f>ROUND(D5*C22*C23*C24*C28*F40,0)</f>
        <v>0</v>
      </c>
      <c r="D40" s="1936"/>
      <c r="E40" s="163">
        <f t="shared" si="4"/>
        <v>0</v>
      </c>
      <c r="F40" s="167">
        <f>SUMIF(修正!A57:A68,G2,修正!E57:E68)</f>
        <v>0.3</v>
      </c>
      <c r="G40" s="163">
        <f>ROUND(IF(E2="工业",C40*$M$42,C40*$M$41),0)</f>
        <v>0</v>
      </c>
      <c r="H40" s="163">
        <f t="shared" si="5"/>
        <v>0</v>
      </c>
      <c r="I40" s="163">
        <f t="shared" si="6"/>
        <v>0</v>
      </c>
      <c r="J40" s="939"/>
      <c r="L40" s="1953" t="s">
        <v>2036</v>
      </c>
      <c r="M40" s="1954"/>
      <c r="Z40" s="1057"/>
      <c r="AA40" s="1057"/>
      <c r="AB40" s="1057"/>
      <c r="AC40" s="1057"/>
      <c r="AD40" s="1057"/>
      <c r="AE40" s="1057"/>
      <c r="AF40" s="1057"/>
      <c r="AG40" s="1057"/>
      <c r="AH40" s="1057"/>
      <c r="AI40" s="1057"/>
      <c r="AJ40" s="1057"/>
    </row>
    <row r="41" spans="1:37" s="1056" customFormat="1">
      <c r="A41" s="1952"/>
      <c r="B41" s="1880" t="s">
        <v>2037</v>
      </c>
      <c r="C41" s="163">
        <f>ROUND(D5*C22*C23*C44*C28*F41,0)</f>
        <v>0</v>
      </c>
      <c r="D41" s="1936"/>
      <c r="E41" s="163">
        <f t="shared" si="4"/>
        <v>0</v>
      </c>
      <c r="F41" s="167">
        <f>SUMIF(修正!A57:A68,G2,修正!F57:F68)</f>
        <v>0.3</v>
      </c>
      <c r="G41" s="163">
        <f>ROUND(IF(E2="工业",C41*$M$42,C41*$M$41),0)</f>
        <v>0</v>
      </c>
      <c r="H41" s="163">
        <f t="shared" si="5"/>
        <v>0</v>
      </c>
      <c r="I41" s="163">
        <f t="shared" si="6"/>
        <v>0</v>
      </c>
      <c r="J41" s="939"/>
      <c r="L41" s="3058" t="s">
        <v>3267</v>
      </c>
      <c r="M41" s="1955">
        <v>0.25</v>
      </c>
      <c r="Z41" s="1057"/>
      <c r="AA41" s="1057"/>
      <c r="AB41" s="1057"/>
      <c r="AC41" s="1057"/>
      <c r="AD41" s="1057"/>
      <c r="AE41" s="1057"/>
      <c r="AF41" s="1057"/>
      <c r="AG41" s="1057"/>
      <c r="AH41" s="1057"/>
      <c r="AI41" s="1057"/>
      <c r="AJ41" s="1057"/>
    </row>
    <row r="42" spans="1:37" s="1056" customFormat="1" ht="13.5" thickBot="1">
      <c r="A42" s="1939"/>
      <c r="B42" s="1956" t="s">
        <v>2038</v>
      </c>
      <c r="C42" s="179">
        <f>ROUND(D5*C22*C23*C44*C28*F42,0)</f>
        <v>0</v>
      </c>
      <c r="D42" s="1941"/>
      <c r="E42" s="179">
        <f t="shared" si="4"/>
        <v>0</v>
      </c>
      <c r="F42" s="723">
        <f>SUMIF(修正!A57:A68,G2,修正!G57:G68)</f>
        <v>0.2</v>
      </c>
      <c r="G42" s="179">
        <f>ROUND(IF(E2="工业",C42*$M$42,C42*$M$41),0)</f>
        <v>0</v>
      </c>
      <c r="H42" s="179">
        <f t="shared" si="5"/>
        <v>0</v>
      </c>
      <c r="I42" s="179">
        <f t="shared" si="6"/>
        <v>0</v>
      </c>
      <c r="J42" s="1957"/>
      <c r="L42" s="1958" t="s">
        <v>1990</v>
      </c>
      <c r="M42" s="1959">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8" t="s">
        <v>2119</v>
      </c>
      <c r="C44" s="333">
        <f>ROUND(POWER(1+E44,H44-G44)*(POWER(1+E44,G44)-1)/(POWER(1+E44,H44)-1),4)</f>
        <v>0</v>
      </c>
      <c r="D44" s="163" t="s">
        <v>1996</v>
      </c>
      <c r="E44" s="1987">
        <f>G24</f>
        <v>0.05</v>
      </c>
      <c r="F44" s="163" t="s">
        <v>2005</v>
      </c>
      <c r="G44" s="175"/>
      <c r="H44" s="163">
        <v>50</v>
      </c>
      <c r="Z44" s="1057"/>
      <c r="AA44" s="1057"/>
      <c r="AB44" s="1057"/>
      <c r="AC44" s="1057"/>
      <c r="AD44" s="1057"/>
      <c r="AE44" s="1057"/>
      <c r="AF44" s="1057"/>
      <c r="AG44" s="1057"/>
      <c r="AH44" s="1057"/>
      <c r="AI44" s="1057"/>
      <c r="AJ44" s="1057"/>
    </row>
    <row r="45" spans="1:37" s="1056" customFormat="1">
      <c r="A45" s="1057"/>
      <c r="B45" s="1960"/>
      <c r="Z45" s="1057"/>
      <c r="AA45" s="1057"/>
      <c r="AB45" s="1057"/>
      <c r="AC45" s="1057"/>
      <c r="AD45" s="1057"/>
      <c r="AE45" s="1057"/>
      <c r="AF45" s="1057"/>
      <c r="AG45" s="1057"/>
      <c r="AH45" s="1057"/>
      <c r="AI45" s="1057"/>
      <c r="AJ45" s="1057"/>
    </row>
    <row r="46" spans="1:37" s="1056" customFormat="1">
      <c r="A46" s="1057"/>
      <c r="B46" s="1960"/>
      <c r="AA46" s="1057"/>
      <c r="AB46" s="1057"/>
      <c r="AC46" s="1057"/>
      <c r="AD46" s="1057"/>
      <c r="AE46" s="1057"/>
      <c r="AF46" s="1057"/>
      <c r="AG46" s="1057"/>
      <c r="AH46" s="1057"/>
      <c r="AI46" s="1057"/>
      <c r="AJ46" s="1057"/>
      <c r="AK46" s="1057"/>
    </row>
    <row r="47" spans="1:37" s="1056" customFormat="1" ht="15.75" thickBot="1">
      <c r="A47" s="1961" t="s">
        <v>2039</v>
      </c>
      <c r="B47" s="1962"/>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hidden="1">
      <c r="A48" s="1963" t="s">
        <v>2040</v>
      </c>
      <c r="B48" s="1964">
        <f>1+E50</f>
        <v>1</v>
      </c>
      <c r="C48" s="1725"/>
      <c r="D48" s="699"/>
      <c r="E48" s="700"/>
      <c r="F48" s="1965"/>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hidden="1">
      <c r="A49" s="1966" t="s">
        <v>2041</v>
      </c>
      <c r="B49" s="1261" t="s">
        <v>2042</v>
      </c>
      <c r="C49" s="1261" t="s">
        <v>2043</v>
      </c>
      <c r="D49" s="1261" t="s">
        <v>2044</v>
      </c>
      <c r="E49" s="701" t="s">
        <v>2045</v>
      </c>
      <c r="F49" s="1967" t="s">
        <v>2046</v>
      </c>
      <c r="G49" s="1261" t="s">
        <v>310</v>
      </c>
      <c r="H49" s="1968" t="s">
        <v>2047</v>
      </c>
      <c r="I49" s="1261" t="s">
        <v>2048</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hidden="1">
      <c r="A50" s="1966" t="s">
        <v>2049</v>
      </c>
      <c r="B50" s="1969" t="str">
        <f>估价对象房地状况!C4</f>
        <v>估价对象位于XX商圈，周边商业氛围成熟，人流量大，商业繁华度好</v>
      </c>
      <c r="C50" s="1883"/>
      <c r="D50" s="1002">
        <f t="shared" ref="D50:D58" si="7">SUMIF($J$49:$N$49,C50,J50:N50)</f>
        <v>0</v>
      </c>
      <c r="E50" s="702">
        <f>ROUND(SUM(D50:D58),4)</f>
        <v>0</v>
      </c>
      <c r="F50" s="1674"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66" t="s">
        <v>2050</v>
      </c>
      <c r="B51" s="1261" t="str">
        <f>估价对象房地状况!C18</f>
        <v>周边有601路、709路等多条公交线路，综合评价交通便捷度一般</v>
      </c>
      <c r="C51" s="1883"/>
      <c r="D51" s="1002">
        <f t="shared" si="7"/>
        <v>0</v>
      </c>
      <c r="E51" s="703"/>
      <c r="F51" s="1674"/>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66" t="s">
        <v>3269</v>
      </c>
      <c r="B52" s="1261">
        <f>估价对象房地状况!C19</f>
        <v>0</v>
      </c>
      <c r="C52" s="1883"/>
      <c r="D52" s="1002">
        <f t="shared" si="7"/>
        <v>0</v>
      </c>
      <c r="E52" s="703"/>
      <c r="F52" s="1674"/>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6" t="s">
        <v>2051</v>
      </c>
      <c r="B53" s="1970" t="s">
        <v>2052</v>
      </c>
      <c r="C53" s="1883"/>
      <c r="D53" s="1002">
        <f t="shared" si="7"/>
        <v>0</v>
      </c>
      <c r="E53" s="703"/>
      <c r="F53" s="1674"/>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6" t="s">
        <v>2053</v>
      </c>
      <c r="B54" s="1261">
        <f>估价对象房地状况!C24</f>
        <v>0</v>
      </c>
      <c r="C54" s="1883"/>
      <c r="D54" s="1002">
        <f t="shared" si="7"/>
        <v>0</v>
      </c>
      <c r="E54" s="703"/>
      <c r="F54" s="1674"/>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6" t="s">
        <v>2054</v>
      </c>
      <c r="B55" s="1971" t="s">
        <v>2055</v>
      </c>
      <c r="C55" s="1883"/>
      <c r="D55" s="1002">
        <f t="shared" si="7"/>
        <v>0</v>
      </c>
      <c r="E55" s="703"/>
      <c r="F55" s="1674"/>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102" hidden="1">
      <c r="A56" s="1972" t="s">
        <v>2056</v>
      </c>
      <c r="B56" s="1239" t="str">
        <f>估价对象房地状况!C21</f>
        <v>银行：等金融机构；
医院：中国人民解放军第304医院等医疗机构；
学校：首都师范大学、首都师范大学附属中学等教育机构；
商业：社区级商业设施；
综合评价公共服务设施齐备度一般。</v>
      </c>
      <c r="C56" s="1883"/>
      <c r="D56" s="1002">
        <f t="shared" si="7"/>
        <v>0</v>
      </c>
      <c r="E56" s="703"/>
      <c r="F56" s="1674"/>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2" t="s">
        <v>2057</v>
      </c>
      <c r="B57" s="1261" t="str">
        <f>估价对象房地状况!C22</f>
        <v>估价对象所在区域基础设施水平</v>
      </c>
      <c r="C57" s="1883"/>
      <c r="D57" s="1002">
        <f t="shared" si="7"/>
        <v>0</v>
      </c>
      <c r="E57" s="703"/>
      <c r="F57" s="1674"/>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9" hidden="1" thickBot="1">
      <c r="A58" s="1973" t="s">
        <v>2058</v>
      </c>
      <c r="B58" s="1974" t="str">
        <f>估价对象房地状况!C20</f>
        <v>人文环境：首都师范大学等人文场所；
综合评价环境状况一般。</v>
      </c>
      <c r="C58" s="1883"/>
      <c r="D58" s="1002">
        <f t="shared" si="7"/>
        <v>0</v>
      </c>
      <c r="E58" s="704"/>
      <c r="F58" s="1674"/>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3" t="s">
        <v>2059</v>
      </c>
      <c r="B59" s="1964">
        <f>1+E61</f>
        <v>1</v>
      </c>
      <c r="C59" s="699"/>
      <c r="D59" s="699"/>
      <c r="E59" s="700"/>
      <c r="F59" s="1965"/>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6" t="s">
        <v>2041</v>
      </c>
      <c r="B60" s="1261"/>
      <c r="C60" s="1261" t="s">
        <v>2043</v>
      </c>
      <c r="D60" s="1261" t="s">
        <v>2044</v>
      </c>
      <c r="E60" s="701" t="s">
        <v>2045</v>
      </c>
      <c r="F60" s="1967" t="s">
        <v>2060</v>
      </c>
      <c r="G60" s="1261" t="s">
        <v>310</v>
      </c>
      <c r="H60" s="1968" t="s">
        <v>2047</v>
      </c>
      <c r="I60" s="1261" t="s">
        <v>2048</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hidden="1">
      <c r="A61" s="1966" t="s">
        <v>2061</v>
      </c>
      <c r="B61" s="1969" t="str">
        <f>估价对象房地状况!C17</f>
        <v>估价对象位于XX商圈，周边办公楼项目较多，入驻率高，办公集聚程度较好</v>
      </c>
      <c r="C61" s="1883"/>
      <c r="D61" s="1002">
        <f t="shared" ref="D61:D69" si="12">SUMIF($J$60:$N$60,C61,J61:N61)</f>
        <v>0</v>
      </c>
      <c r="E61" s="702">
        <f>ROUND(SUM(D61:D69),4)</f>
        <v>0</v>
      </c>
      <c r="F61" s="1674" t="str">
        <f>IF(E2="办公",SUMIF(L1:L12,G2,N1:N12),"——")</f>
        <v>——</v>
      </c>
      <c r="G61" s="1000"/>
      <c r="H61" s="1003" t="str">
        <f t="shared" ref="H61:H69" si="13">IFERROR(ROUNDDOWN($F$61*I61/2,4),"——")</f>
        <v>——</v>
      </c>
      <c r="I61" s="3064">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66" t="s">
        <v>2050</v>
      </c>
      <c r="B62" s="1261" t="str">
        <f>估价对象房地状况!C18</f>
        <v>周边有601路、709路等多条公交线路，综合评价交通便捷度一般</v>
      </c>
      <c r="C62" s="1883"/>
      <c r="D62" s="1002">
        <f t="shared" si="12"/>
        <v>0</v>
      </c>
      <c r="E62" s="703"/>
      <c r="F62" s="1674"/>
      <c r="G62" s="1000"/>
      <c r="H62" s="1003" t="str">
        <f t="shared" si="13"/>
        <v>——</v>
      </c>
      <c r="I62" s="3064">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66" t="s">
        <v>3269</v>
      </c>
      <c r="B63" s="1261">
        <f>估价对象房地状况!C19</f>
        <v>0</v>
      </c>
      <c r="C63" s="1883"/>
      <c r="D63" s="1002">
        <f t="shared" si="12"/>
        <v>0</v>
      </c>
      <c r="E63" s="703"/>
      <c r="F63" s="1674"/>
      <c r="G63" s="1000"/>
      <c r="H63" s="1003" t="str">
        <f t="shared" si="13"/>
        <v>——</v>
      </c>
      <c r="I63" s="3064">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6" t="s">
        <v>2051</v>
      </c>
      <c r="B64" s="1970" t="s">
        <v>2052</v>
      </c>
      <c r="C64" s="1883"/>
      <c r="D64" s="1002">
        <f t="shared" si="12"/>
        <v>0</v>
      </c>
      <c r="E64" s="703"/>
      <c r="F64" s="1674"/>
      <c r="G64" s="1000"/>
      <c r="H64" s="1003" t="str">
        <f t="shared" si="13"/>
        <v>——</v>
      </c>
      <c r="I64" s="3064">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6" t="s">
        <v>2053</v>
      </c>
      <c r="B65" s="1261">
        <f>估价对象房地状况!C24</f>
        <v>0</v>
      </c>
      <c r="C65" s="1883"/>
      <c r="D65" s="1002">
        <f t="shared" si="12"/>
        <v>0</v>
      </c>
      <c r="E65" s="703"/>
      <c r="F65" s="1674"/>
      <c r="G65" s="1000"/>
      <c r="H65" s="1003" t="str">
        <f t="shared" si="13"/>
        <v>——</v>
      </c>
      <c r="I65" s="3064">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6" t="s">
        <v>2054</v>
      </c>
      <c r="B66" s="1971" t="s">
        <v>2055</v>
      </c>
      <c r="C66" s="1883"/>
      <c r="D66" s="1002">
        <f t="shared" si="12"/>
        <v>0</v>
      </c>
      <c r="E66" s="703"/>
      <c r="F66" s="1674"/>
      <c r="G66" s="1000"/>
      <c r="H66" s="1003" t="str">
        <f t="shared" si="13"/>
        <v>——</v>
      </c>
      <c r="I66" s="3064">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02" hidden="1">
      <c r="A67" s="1966" t="s">
        <v>2056</v>
      </c>
      <c r="B67" s="1239" t="str">
        <f>估价对象房地状况!C21</f>
        <v>银行：等金融机构；
医院：中国人民解放军第304医院等医疗机构；
学校：首都师范大学、首都师范大学附属中学等教育机构；
商业：社区级商业设施；
综合评价公共服务设施齐备度一般。</v>
      </c>
      <c r="C67" s="1883"/>
      <c r="D67" s="1002">
        <f t="shared" si="12"/>
        <v>0</v>
      </c>
      <c r="E67" s="703"/>
      <c r="F67" s="1674"/>
      <c r="G67" s="1000"/>
      <c r="H67" s="1003" t="str">
        <f t="shared" si="13"/>
        <v>——</v>
      </c>
      <c r="I67" s="3064">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6" t="s">
        <v>2057</v>
      </c>
      <c r="B68" s="1239" t="str">
        <f>估价对象房地状况!C22</f>
        <v>估价对象所在区域基础设施水平</v>
      </c>
      <c r="C68" s="1883"/>
      <c r="D68" s="1002">
        <f t="shared" si="12"/>
        <v>0</v>
      </c>
      <c r="E68" s="703"/>
      <c r="F68" s="1674"/>
      <c r="G68" s="1000"/>
      <c r="H68" s="1003" t="str">
        <f t="shared" si="13"/>
        <v>——</v>
      </c>
      <c r="I68" s="3064">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hidden="1" thickBot="1">
      <c r="A69" s="1973" t="s">
        <v>2058</v>
      </c>
      <c r="B69" s="1975" t="str">
        <f>估价对象房地状况!C20</f>
        <v>人文环境：首都师范大学等人文场所；
综合评价环境状况一般。</v>
      </c>
      <c r="C69" s="1883"/>
      <c r="D69" s="1002">
        <f t="shared" si="12"/>
        <v>0</v>
      </c>
      <c r="E69" s="704"/>
      <c r="F69" s="1674"/>
      <c r="G69" s="1000"/>
      <c r="H69" s="1003" t="str">
        <f t="shared" si="13"/>
        <v>——</v>
      </c>
      <c r="I69" s="3065">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3" t="s">
        <v>2062</v>
      </c>
      <c r="B70" s="1964">
        <f>1+E72</f>
        <v>1.0448999999999999</v>
      </c>
      <c r="C70" s="699"/>
      <c r="D70" s="699"/>
      <c r="E70" s="700"/>
      <c r="F70" s="1965"/>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6" t="s">
        <v>2041</v>
      </c>
      <c r="B71" s="1261"/>
      <c r="C71" s="1261" t="s">
        <v>2043</v>
      </c>
      <c r="D71" s="1261" t="s">
        <v>2044</v>
      </c>
      <c r="E71" s="701" t="s">
        <v>2045</v>
      </c>
      <c r="F71" s="1967" t="s">
        <v>2060</v>
      </c>
      <c r="G71" s="1261" t="s">
        <v>310</v>
      </c>
      <c r="H71" s="1968" t="s">
        <v>2047</v>
      </c>
      <c r="I71" s="1261" t="s">
        <v>2048</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38.25">
      <c r="A72" s="1966" t="s">
        <v>2063</v>
      </c>
      <c r="B72" s="1969" t="str">
        <f>估价对象房地状况!C15</f>
        <v>周边有中海雅园、北洼西里等住宅小区，居住社区成熟度较好。</v>
      </c>
      <c r="C72" s="1883" t="s">
        <v>3394</v>
      </c>
      <c r="D72" s="1002">
        <f t="shared" ref="D72:D80" si="17">SUMIF($J$71:$N$71,C72,J72:N72)</f>
        <v>9.7999999999999997E-3</v>
      </c>
      <c r="E72" s="702">
        <f>ROUND(SUM(D72:D80),4)</f>
        <v>4.4900000000000002E-2</v>
      </c>
      <c r="F72" s="1674">
        <f>IF(E2="住宅",SUMIF(L1:L12,G2,N1:N12),"——")</f>
        <v>9.8000000000000004E-2</v>
      </c>
      <c r="G72" s="1000">
        <v>9.7999999999999997E-3</v>
      </c>
      <c r="H72" s="1003">
        <f t="shared" ref="H72:H80" si="18">IFERROR(ROUNDDOWN($F$72*I72/2,4),"——")</f>
        <v>9.7999999999999997E-3</v>
      </c>
      <c r="I72" s="3064">
        <v>0.2</v>
      </c>
      <c r="J72" s="1001">
        <f t="shared" ref="J72:J80" si="19">K72+$G72</f>
        <v>1.9599999999999999E-2</v>
      </c>
      <c r="K72" s="1001">
        <f t="shared" ref="K72:K80" si="20">$L72+$G72</f>
        <v>9.7999999999999997E-3</v>
      </c>
      <c r="L72" s="1001">
        <v>0</v>
      </c>
      <c r="M72" s="1001">
        <f t="shared" ref="M72:N80" si="21">L72-$G72</f>
        <v>-9.7999999999999997E-3</v>
      </c>
      <c r="N72" s="1001">
        <f t="shared" si="21"/>
        <v>-1.9599999999999999E-2</v>
      </c>
      <c r="AA72" s="1057"/>
      <c r="AB72" s="1057"/>
      <c r="AC72" s="1057"/>
      <c r="AD72" s="1057"/>
      <c r="AE72" s="1057"/>
      <c r="AF72" s="1057"/>
      <c r="AG72" s="1057"/>
      <c r="AH72" s="1057"/>
      <c r="AI72" s="1057"/>
      <c r="AJ72" s="1057"/>
      <c r="AK72" s="1057"/>
    </row>
    <row r="73" spans="1:37" s="1056" customFormat="1" ht="38.25">
      <c r="A73" s="1966" t="s">
        <v>2050</v>
      </c>
      <c r="B73" s="1261" t="str">
        <f>估价对象房地状况!C18</f>
        <v>周边有601路、709路等多条公交线路，综合评价交通便捷度一般</v>
      </c>
      <c r="C73" s="1883" t="s">
        <v>3394</v>
      </c>
      <c r="D73" s="1002">
        <f t="shared" si="17"/>
        <v>1.2699999999999999E-2</v>
      </c>
      <c r="E73" s="705"/>
      <c r="F73" s="1674"/>
      <c r="G73" s="1000">
        <v>1.2699999999999999E-2</v>
      </c>
      <c r="H73" s="1003">
        <f t="shared" si="18"/>
        <v>1.2699999999999999E-2</v>
      </c>
      <c r="I73" s="3064">
        <v>0.26</v>
      </c>
      <c r="J73" s="1001">
        <f t="shared" si="19"/>
        <v>2.5399999999999999E-2</v>
      </c>
      <c r="K73" s="1001">
        <f t="shared" si="20"/>
        <v>1.2699999999999999E-2</v>
      </c>
      <c r="L73" s="1001">
        <v>0</v>
      </c>
      <c r="M73" s="1001">
        <f t="shared" si="21"/>
        <v>-1.2699999999999999E-2</v>
      </c>
      <c r="N73" s="1001">
        <f t="shared" si="21"/>
        <v>-2.5399999999999999E-2</v>
      </c>
      <c r="AA73" s="1057"/>
      <c r="AB73" s="1057"/>
      <c r="AC73" s="1057"/>
      <c r="AD73" s="1057"/>
      <c r="AE73" s="1057"/>
      <c r="AF73" s="1057"/>
      <c r="AG73" s="1057"/>
      <c r="AH73" s="1057"/>
      <c r="AI73" s="1057"/>
      <c r="AJ73" s="1057"/>
      <c r="AK73" s="1057"/>
    </row>
    <row r="74" spans="1:37" s="1840" customFormat="1" ht="36">
      <c r="A74" s="3066" t="s">
        <v>3269</v>
      </c>
      <c r="B74" s="1261">
        <f>估价对象房地状况!C19</f>
        <v>0</v>
      </c>
      <c r="C74" s="1883" t="s">
        <v>3394</v>
      </c>
      <c r="D74" s="1002">
        <f t="shared" si="17"/>
        <v>4.8999999999999998E-3</v>
      </c>
      <c r="E74" s="705"/>
      <c r="F74" s="1674"/>
      <c r="G74" s="1000">
        <v>4.8999999999999998E-3</v>
      </c>
      <c r="H74" s="1003">
        <f t="shared" si="18"/>
        <v>4.8999999999999998E-3</v>
      </c>
      <c r="I74" s="3064">
        <v>0.1</v>
      </c>
      <c r="J74" s="1001">
        <f t="shared" si="19"/>
        <v>9.7999999999999997E-3</v>
      </c>
      <c r="K74" s="1001">
        <f t="shared" si="20"/>
        <v>4.8999999999999998E-3</v>
      </c>
      <c r="L74" s="1001">
        <v>0</v>
      </c>
      <c r="M74" s="1001">
        <f t="shared" si="21"/>
        <v>-4.8999999999999998E-3</v>
      </c>
      <c r="N74" s="1001">
        <f t="shared" si="21"/>
        <v>-9.7999999999999997E-3</v>
      </c>
      <c r="O74" s="1056"/>
      <c r="P74" s="1056"/>
      <c r="Q74" s="1056"/>
      <c r="AA74" s="1976"/>
      <c r="AB74" s="1057"/>
      <c r="AC74" s="1057"/>
      <c r="AD74" s="1057"/>
      <c r="AE74" s="1057"/>
      <c r="AF74" s="1057"/>
      <c r="AG74" s="1057"/>
      <c r="AH74" s="1976"/>
      <c r="AI74" s="1976"/>
      <c r="AJ74" s="1976"/>
      <c r="AK74" s="1976"/>
    </row>
    <row r="75" spans="1:37" ht="14.25">
      <c r="A75" s="1966" t="s">
        <v>2064</v>
      </c>
      <c r="B75" s="1261">
        <f>估价对象房地状况!C24</f>
        <v>0</v>
      </c>
      <c r="C75" s="1883" t="s">
        <v>3395</v>
      </c>
      <c r="D75" s="1002">
        <f t="shared" si="17"/>
        <v>0</v>
      </c>
      <c r="E75" s="705"/>
      <c r="F75" s="1674"/>
      <c r="G75" s="1000">
        <v>2.3999999999999998E-3</v>
      </c>
      <c r="H75" s="1003">
        <f t="shared" si="18"/>
        <v>2.3999999999999998E-3</v>
      </c>
      <c r="I75" s="3064">
        <v>0.05</v>
      </c>
      <c r="J75" s="1001">
        <f t="shared" si="19"/>
        <v>4.7999999999999996E-3</v>
      </c>
      <c r="K75" s="1001">
        <f t="shared" si="20"/>
        <v>2.3999999999999998E-3</v>
      </c>
      <c r="L75" s="1001">
        <v>0</v>
      </c>
      <c r="M75" s="1001">
        <f t="shared" si="21"/>
        <v>-2.3999999999999998E-3</v>
      </c>
      <c r="N75" s="1001">
        <f t="shared" si="21"/>
        <v>-4.7999999999999996E-3</v>
      </c>
      <c r="O75" s="1056"/>
      <c r="P75" s="1056"/>
      <c r="Q75" s="1840"/>
      <c r="Z75" s="1841"/>
      <c r="AA75" s="1891"/>
      <c r="AG75" s="1058"/>
      <c r="AK75" s="1891"/>
    </row>
    <row r="76" spans="1:37" ht="102">
      <c r="A76" s="1966" t="s">
        <v>2056</v>
      </c>
      <c r="B76" s="1239" t="str">
        <f>估价对象房地状况!C21</f>
        <v>银行：等金融机构；
医院：中国人民解放军第304医院等医疗机构；
学校：首都师范大学、首都师范大学附属中学等教育机构；
商业：社区级商业设施；
综合评价公共服务设施齐备度一般。</v>
      </c>
      <c r="C76" s="1883" t="s">
        <v>3394</v>
      </c>
      <c r="D76" s="1002">
        <f t="shared" si="17"/>
        <v>3.8999999999999998E-3</v>
      </c>
      <c r="E76" s="705"/>
      <c r="F76" s="1674"/>
      <c r="G76" s="1000">
        <v>3.8999999999999998E-3</v>
      </c>
      <c r="H76" s="1003">
        <f t="shared" si="18"/>
        <v>3.8999999999999998E-3</v>
      </c>
      <c r="I76" s="3064">
        <v>0.08</v>
      </c>
      <c r="J76" s="1001">
        <f t="shared" si="19"/>
        <v>7.7999999999999996E-3</v>
      </c>
      <c r="K76" s="1001">
        <f t="shared" si="20"/>
        <v>3.8999999999999998E-3</v>
      </c>
      <c r="L76" s="1001">
        <v>0</v>
      </c>
      <c r="M76" s="1001">
        <f t="shared" si="21"/>
        <v>-3.8999999999999998E-3</v>
      </c>
      <c r="N76" s="1001">
        <f t="shared" si="21"/>
        <v>-7.7999999999999996E-3</v>
      </c>
      <c r="O76" s="1056"/>
      <c r="P76" s="1056"/>
      <c r="Z76" s="1841"/>
      <c r="AA76" s="1891"/>
      <c r="AG76" s="1058"/>
      <c r="AK76" s="1891"/>
    </row>
    <row r="77" spans="1:37" ht="25.5">
      <c r="A77" s="1966" t="s">
        <v>2057</v>
      </c>
      <c r="B77" s="1239" t="str">
        <f>估价对象房地状况!C22</f>
        <v>估价对象所在区域基础设施水平</v>
      </c>
      <c r="C77" s="1883" t="s">
        <v>3396</v>
      </c>
      <c r="D77" s="1002">
        <f t="shared" si="17"/>
        <v>8.8000000000000005E-3</v>
      </c>
      <c r="E77" s="705"/>
      <c r="F77" s="1674"/>
      <c r="G77" s="1000">
        <v>4.4000000000000003E-3</v>
      </c>
      <c r="H77" s="1003">
        <f t="shared" si="18"/>
        <v>4.4000000000000003E-3</v>
      </c>
      <c r="I77" s="3064">
        <v>0.09</v>
      </c>
      <c r="J77" s="1001">
        <f t="shared" si="19"/>
        <v>8.8000000000000005E-3</v>
      </c>
      <c r="K77" s="1001">
        <f t="shared" si="20"/>
        <v>4.4000000000000003E-3</v>
      </c>
      <c r="L77" s="1001">
        <v>0</v>
      </c>
      <c r="M77" s="1001">
        <f t="shared" si="21"/>
        <v>-4.4000000000000003E-3</v>
      </c>
      <c r="N77" s="1001">
        <f t="shared" si="21"/>
        <v>-8.8000000000000005E-3</v>
      </c>
      <c r="O77" s="1056"/>
      <c r="P77" s="1056"/>
      <c r="Z77" s="1841"/>
      <c r="AA77" s="1891"/>
      <c r="AG77" s="1058"/>
      <c r="AK77" s="1891"/>
    </row>
    <row r="78" spans="1:37" ht="24">
      <c r="A78" s="1966" t="s">
        <v>2054</v>
      </c>
      <c r="B78" s="1971" t="s">
        <v>2055</v>
      </c>
      <c r="C78" s="1883" t="s">
        <v>3394</v>
      </c>
      <c r="D78" s="1002">
        <f t="shared" si="17"/>
        <v>2.3999999999999998E-3</v>
      </c>
      <c r="E78" s="705"/>
      <c r="F78" s="1674"/>
      <c r="G78" s="1000">
        <v>2.3999999999999998E-3</v>
      </c>
      <c r="H78" s="1003">
        <f t="shared" si="18"/>
        <v>2.3999999999999998E-3</v>
      </c>
      <c r="I78" s="3064">
        <v>0.05</v>
      </c>
      <c r="J78" s="1001">
        <f t="shared" si="19"/>
        <v>4.7999999999999996E-3</v>
      </c>
      <c r="K78" s="1001">
        <f t="shared" si="20"/>
        <v>2.3999999999999998E-3</v>
      </c>
      <c r="L78" s="1001">
        <v>0</v>
      </c>
      <c r="M78" s="1001">
        <f t="shared" si="21"/>
        <v>-2.3999999999999998E-3</v>
      </c>
      <c r="N78" s="1001">
        <f t="shared" si="21"/>
        <v>-4.7999999999999996E-3</v>
      </c>
      <c r="O78" s="1840"/>
      <c r="P78" s="1840"/>
      <c r="Z78" s="1841"/>
      <c r="AA78" s="1891"/>
      <c r="AG78" s="1058"/>
      <c r="AK78" s="1891"/>
    </row>
    <row r="79" spans="1:37" ht="38.25">
      <c r="A79" s="1966" t="s">
        <v>2058</v>
      </c>
      <c r="B79" s="1969" t="str">
        <f>估价对象房地状况!C20</f>
        <v>人文环境：首都师范大学等人文场所；
综合评价环境状况一般。</v>
      </c>
      <c r="C79" s="1883" t="s">
        <v>3395</v>
      </c>
      <c r="D79" s="1002">
        <f t="shared" si="17"/>
        <v>0</v>
      </c>
      <c r="E79" s="705"/>
      <c r="F79" s="1674"/>
      <c r="G79" s="1000">
        <v>5.7999999999999996E-3</v>
      </c>
      <c r="H79" s="1003">
        <f t="shared" si="18"/>
        <v>5.7999999999999996E-3</v>
      </c>
      <c r="I79" s="3064">
        <v>0.12</v>
      </c>
      <c r="J79" s="1001">
        <f t="shared" si="19"/>
        <v>1.1599999999999999E-2</v>
      </c>
      <c r="K79" s="1001">
        <f t="shared" si="20"/>
        <v>5.7999999999999996E-3</v>
      </c>
      <c r="L79" s="1001">
        <v>0</v>
      </c>
      <c r="M79" s="1001">
        <f t="shared" si="21"/>
        <v>-5.7999999999999996E-3</v>
      </c>
      <c r="N79" s="1001">
        <f t="shared" si="21"/>
        <v>-1.1599999999999999E-2</v>
      </c>
      <c r="Z79" s="1841"/>
      <c r="AA79" s="1891"/>
      <c r="AG79" s="1058"/>
      <c r="AK79" s="1891"/>
    </row>
    <row r="80" spans="1:37" ht="24.75" thickBot="1">
      <c r="A80" s="1973" t="s">
        <v>2065</v>
      </c>
      <c r="B80" s="1977"/>
      <c r="C80" s="1883" t="s">
        <v>3394</v>
      </c>
      <c r="D80" s="1002">
        <f t="shared" si="17"/>
        <v>2.3999999999999998E-3</v>
      </c>
      <c r="E80" s="706"/>
      <c r="F80" s="1674"/>
      <c r="G80" s="1000">
        <v>2.3999999999999998E-3</v>
      </c>
      <c r="H80" s="1003">
        <f t="shared" si="18"/>
        <v>2.3999999999999998E-3</v>
      </c>
      <c r="I80" s="3065">
        <v>0.05</v>
      </c>
      <c r="J80" s="1001">
        <f t="shared" si="19"/>
        <v>4.7999999999999996E-3</v>
      </c>
      <c r="K80" s="1001">
        <f t="shared" si="20"/>
        <v>2.3999999999999998E-3</v>
      </c>
      <c r="L80" s="1001">
        <v>0</v>
      </c>
      <c r="M80" s="1001">
        <f t="shared" si="21"/>
        <v>-2.3999999999999998E-3</v>
      </c>
      <c r="N80" s="1001">
        <f t="shared" si="21"/>
        <v>-4.7999999999999996E-3</v>
      </c>
      <c r="Z80" s="1841"/>
      <c r="AA80" s="1891"/>
      <c r="AG80" s="1058"/>
      <c r="AK80" s="1891"/>
    </row>
    <row r="81" spans="1:37" ht="15">
      <c r="A81" s="1963" t="s">
        <v>2066</v>
      </c>
      <c r="B81" s="1964">
        <f>1+E83</f>
        <v>1</v>
      </c>
      <c r="C81" s="699"/>
      <c r="D81" s="699"/>
      <c r="E81" s="700"/>
      <c r="F81" s="1965"/>
      <c r="G81" s="3"/>
      <c r="H81" s="3"/>
      <c r="I81" s="3"/>
      <c r="J81" s="4"/>
      <c r="K81" s="4"/>
      <c r="L81" s="4"/>
      <c r="M81" s="4"/>
      <c r="N81" s="4"/>
      <c r="Z81" s="1841"/>
      <c r="AA81" s="1891"/>
      <c r="AG81" s="1058"/>
      <c r="AK81" s="1891"/>
    </row>
    <row r="82" spans="1:37" ht="24.75">
      <c r="A82" s="1966" t="s">
        <v>2041</v>
      </c>
      <c r="B82" s="1261"/>
      <c r="C82" s="1261" t="s">
        <v>2043</v>
      </c>
      <c r="D82" s="1261" t="s">
        <v>2044</v>
      </c>
      <c r="E82" s="701" t="s">
        <v>2045</v>
      </c>
      <c r="F82" s="1967" t="s">
        <v>2060</v>
      </c>
      <c r="G82" s="1261" t="s">
        <v>310</v>
      </c>
      <c r="H82" s="1968" t="s">
        <v>2047</v>
      </c>
      <c r="I82" s="1261" t="s">
        <v>2048</v>
      </c>
      <c r="J82" s="530" t="s">
        <v>1719</v>
      </c>
      <c r="K82" s="530" t="s">
        <v>1720</v>
      </c>
      <c r="L82" s="530" t="s">
        <v>1721</v>
      </c>
      <c r="M82" s="530" t="s">
        <v>1722</v>
      </c>
      <c r="N82" s="530" t="s">
        <v>1723</v>
      </c>
      <c r="Z82" s="1841"/>
      <c r="AA82" s="1891"/>
      <c r="AG82" s="1058"/>
      <c r="AK82" s="1891"/>
    </row>
    <row r="83" spans="1:37" ht="38.25">
      <c r="A83" s="1966" t="s">
        <v>2067</v>
      </c>
      <c r="B83" s="1261" t="str">
        <f>估价对象房地状况!G15</f>
        <v>估价对象位于XX开发区，园区建设成熟度XX，产业集聚程度XX</v>
      </c>
      <c r="C83" s="1883"/>
      <c r="D83" s="1002">
        <f t="shared" ref="D83:D90" si="22">SUMIF($J$82:$N$82,C83,J83:N83)</f>
        <v>0</v>
      </c>
      <c r="E83" s="702">
        <f>ROUND(SUM(D83:D90),4)</f>
        <v>0</v>
      </c>
      <c r="F83" s="1674" t="str">
        <f>IF(E2="工业",SUMIF(L1:L12,G2,N1:N12),"——")</f>
        <v>——</v>
      </c>
      <c r="G83" s="1000"/>
      <c r="H83" s="1003" t="str">
        <f t="shared" ref="H83:H90" si="23">IFERROR(ROUNDDOWN($F$83*I83/2,4),"——")</f>
        <v>——</v>
      </c>
      <c r="I83" s="3064">
        <v>0.26</v>
      </c>
      <c r="J83" s="1001">
        <f t="shared" ref="J83:J90" si="24">K83+$G83</f>
        <v>0</v>
      </c>
      <c r="K83" s="1001">
        <f t="shared" ref="K83:K90" si="25">$L83+$G83</f>
        <v>0</v>
      </c>
      <c r="L83" s="1001">
        <v>0</v>
      </c>
      <c r="M83" s="1001">
        <f t="shared" ref="M83:N90" si="26">L83-$G83</f>
        <v>0</v>
      </c>
      <c r="N83" s="1001">
        <f t="shared" si="26"/>
        <v>0</v>
      </c>
      <c r="Z83" s="1841"/>
      <c r="AA83" s="1891"/>
      <c r="AG83" s="1058"/>
      <c r="AK83" s="1891"/>
    </row>
    <row r="84" spans="1:37" ht="38.25">
      <c r="A84" s="1966" t="s">
        <v>2050</v>
      </c>
      <c r="B84" s="1261" t="str">
        <f>估价对象房地状况!G16</f>
        <v>估价对象周边道路状况、公共交通通达情况、停车便捷程度，综合评价交通便捷度较好</v>
      </c>
      <c r="C84" s="1883"/>
      <c r="D84" s="1002">
        <f t="shared" si="22"/>
        <v>0</v>
      </c>
      <c r="E84" s="705"/>
      <c r="F84" s="1674"/>
      <c r="G84" s="1000"/>
      <c r="H84" s="1003" t="str">
        <f t="shared" si="23"/>
        <v>——</v>
      </c>
      <c r="I84" s="3064">
        <v>0.3</v>
      </c>
      <c r="J84" s="1001">
        <f t="shared" si="24"/>
        <v>0</v>
      </c>
      <c r="K84" s="1001">
        <f t="shared" si="25"/>
        <v>0</v>
      </c>
      <c r="L84" s="1001">
        <v>0</v>
      </c>
      <c r="M84" s="1001">
        <f t="shared" si="26"/>
        <v>0</v>
      </c>
      <c r="N84" s="1001">
        <f t="shared" si="26"/>
        <v>0</v>
      </c>
      <c r="Z84" s="1841"/>
      <c r="AA84" s="1891"/>
      <c r="AG84" s="1058"/>
      <c r="AK84" s="1891"/>
    </row>
    <row r="85" spans="1:37" ht="36">
      <c r="A85" s="3066" t="s">
        <v>3270</v>
      </c>
      <c r="B85" s="1261">
        <f>估价对象房地状况!G17</f>
        <v>0</v>
      </c>
      <c r="C85" s="1883"/>
      <c r="D85" s="1002">
        <f t="shared" si="22"/>
        <v>0</v>
      </c>
      <c r="E85" s="705"/>
      <c r="F85" s="1674"/>
      <c r="G85" s="1000"/>
      <c r="H85" s="1003" t="str">
        <f t="shared" si="23"/>
        <v>——</v>
      </c>
      <c r="I85" s="3064">
        <v>0.1</v>
      </c>
      <c r="J85" s="1001">
        <f t="shared" si="24"/>
        <v>0</v>
      </c>
      <c r="K85" s="1001">
        <f t="shared" si="25"/>
        <v>0</v>
      </c>
      <c r="L85" s="1001">
        <v>0</v>
      </c>
      <c r="M85" s="1001">
        <f t="shared" si="26"/>
        <v>0</v>
      </c>
      <c r="N85" s="1001">
        <f t="shared" si="26"/>
        <v>0</v>
      </c>
      <c r="Z85" s="1841"/>
      <c r="AA85" s="1891"/>
      <c r="AG85" s="1058"/>
      <c r="AK85" s="1891"/>
    </row>
    <row r="86" spans="1:37" ht="14.25">
      <c r="A86" s="1966" t="s">
        <v>2064</v>
      </c>
      <c r="B86" s="1261">
        <f>估价对象房地状况!G22</f>
        <v>0</v>
      </c>
      <c r="C86" s="1883"/>
      <c r="D86" s="1002">
        <f t="shared" si="22"/>
        <v>0</v>
      </c>
      <c r="E86" s="705"/>
      <c r="F86" s="1674"/>
      <c r="G86" s="1000"/>
      <c r="H86" s="1003" t="str">
        <f t="shared" si="23"/>
        <v>——</v>
      </c>
      <c r="I86" s="3064">
        <v>0.05</v>
      </c>
      <c r="J86" s="1001">
        <f t="shared" si="24"/>
        <v>0</v>
      </c>
      <c r="K86" s="1001">
        <f t="shared" si="25"/>
        <v>0</v>
      </c>
      <c r="L86" s="1001">
        <v>0</v>
      </c>
      <c r="M86" s="1001">
        <f t="shared" si="26"/>
        <v>0</v>
      </c>
      <c r="N86" s="1001">
        <f t="shared" si="26"/>
        <v>0</v>
      </c>
      <c r="Z86" s="1841"/>
      <c r="AA86" s="1891"/>
      <c r="AG86" s="1058"/>
      <c r="AK86" s="1891"/>
    </row>
    <row r="87" spans="1:37" ht="25.5">
      <c r="A87" s="1966" t="s">
        <v>2056</v>
      </c>
      <c r="B87" s="1239" t="str">
        <f>估价对象房地状况!G19</f>
        <v>估价对象所在区域公共配套设施齐备情况</v>
      </c>
      <c r="C87" s="1883"/>
      <c r="D87" s="1002">
        <f t="shared" si="22"/>
        <v>0</v>
      </c>
      <c r="E87" s="705"/>
      <c r="F87" s="1674"/>
      <c r="G87" s="1000"/>
      <c r="H87" s="1003" t="str">
        <f t="shared" si="23"/>
        <v>——</v>
      </c>
      <c r="I87" s="3064">
        <v>0.06</v>
      </c>
      <c r="J87" s="1001">
        <f t="shared" si="24"/>
        <v>0</v>
      </c>
      <c r="K87" s="1001">
        <f t="shared" si="25"/>
        <v>0</v>
      </c>
      <c r="L87" s="1001">
        <v>0</v>
      </c>
      <c r="M87" s="1001">
        <f t="shared" si="26"/>
        <v>0</v>
      </c>
      <c r="N87" s="1001">
        <f t="shared" si="26"/>
        <v>0</v>
      </c>
    </row>
    <row r="88" spans="1:37" ht="25.5">
      <c r="A88" s="1966" t="s">
        <v>2057</v>
      </c>
      <c r="B88" s="1239" t="str">
        <f>估价对象房地状况!G20</f>
        <v>估价对象所在区域基础设施水平</v>
      </c>
      <c r="C88" s="1883"/>
      <c r="D88" s="1002">
        <f t="shared" si="22"/>
        <v>0</v>
      </c>
      <c r="E88" s="705"/>
      <c r="F88" s="1674"/>
      <c r="G88" s="1000"/>
      <c r="H88" s="1003" t="str">
        <f t="shared" si="23"/>
        <v>——</v>
      </c>
      <c r="I88" s="3064">
        <v>0.12</v>
      </c>
      <c r="J88" s="1001">
        <f t="shared" si="24"/>
        <v>0</v>
      </c>
      <c r="K88" s="1001">
        <f t="shared" si="25"/>
        <v>0</v>
      </c>
      <c r="L88" s="1001">
        <v>0</v>
      </c>
      <c r="M88" s="1001">
        <f t="shared" si="26"/>
        <v>0</v>
      </c>
      <c r="N88" s="1001">
        <f t="shared" si="26"/>
        <v>0</v>
      </c>
    </row>
    <row r="89" spans="1:37" ht="24">
      <c r="A89" s="1966" t="s">
        <v>2054</v>
      </c>
      <c r="B89" s="1971" t="s">
        <v>2068</v>
      </c>
      <c r="C89" s="1883"/>
      <c r="D89" s="1002">
        <f t="shared" si="22"/>
        <v>0</v>
      </c>
      <c r="E89" s="705"/>
      <c r="F89" s="1674"/>
      <c r="G89" s="1000"/>
      <c r="H89" s="1003" t="str">
        <f t="shared" si="23"/>
        <v>——</v>
      </c>
      <c r="I89" s="3064">
        <v>0.06</v>
      </c>
      <c r="J89" s="1001">
        <f t="shared" si="24"/>
        <v>0</v>
      </c>
      <c r="K89" s="1001">
        <f t="shared" si="25"/>
        <v>0</v>
      </c>
      <c r="L89" s="1001">
        <v>0</v>
      </c>
      <c r="M89" s="1001">
        <f t="shared" si="26"/>
        <v>0</v>
      </c>
      <c r="N89" s="1001">
        <f t="shared" si="26"/>
        <v>0</v>
      </c>
    </row>
    <row r="90" spans="1:37" ht="39" thickBot="1">
      <c r="A90" s="1973" t="s">
        <v>2069</v>
      </c>
      <c r="B90" s="1978" t="str">
        <f>估价对象房地状况!G18</f>
        <v>该园区内是否有污染型企业，绿化情况，卫生条件，整体环境状况判断</v>
      </c>
      <c r="C90" s="1883"/>
      <c r="D90" s="1002">
        <f t="shared" si="22"/>
        <v>0</v>
      </c>
      <c r="E90" s="706"/>
      <c r="F90" s="1674"/>
      <c r="G90" s="1000"/>
      <c r="H90" s="1003" t="str">
        <f t="shared" si="23"/>
        <v>——</v>
      </c>
      <c r="I90" s="3065">
        <v>0.05</v>
      </c>
      <c r="J90" s="1001">
        <f t="shared" si="24"/>
        <v>0</v>
      </c>
      <c r="K90" s="1001">
        <f t="shared" si="25"/>
        <v>0</v>
      </c>
      <c r="L90" s="1001">
        <v>0</v>
      </c>
      <c r="M90" s="1001">
        <f t="shared" si="26"/>
        <v>0</v>
      </c>
      <c r="N90" s="1001">
        <f t="shared" si="26"/>
        <v>0</v>
      </c>
    </row>
    <row r="91" spans="1:37" ht="15">
      <c r="A91" s="3074" t="s">
        <v>2610</v>
      </c>
      <c r="B91" s="3075">
        <f>1+E93</f>
        <v>1</v>
      </c>
      <c r="C91" s="3068"/>
      <c r="D91" s="3069"/>
      <c r="E91" s="1674"/>
      <c r="F91" s="1674"/>
      <c r="G91" s="3070"/>
      <c r="H91" s="3071"/>
      <c r="I91" s="3072"/>
      <c r="J91" s="3073"/>
      <c r="K91" s="3073"/>
      <c r="L91" s="3073"/>
      <c r="M91" s="3073"/>
      <c r="N91" s="3073"/>
    </row>
    <row r="92" spans="1:37" ht="24.75">
      <c r="A92" s="3076" t="s">
        <v>3271</v>
      </c>
      <c r="B92" s="2305"/>
      <c r="C92" s="2305" t="s">
        <v>3280</v>
      </c>
      <c r="D92" s="2305" t="s">
        <v>3281</v>
      </c>
      <c r="E92" s="3048" t="s">
        <v>3282</v>
      </c>
      <c r="F92" s="3078" t="s">
        <v>3283</v>
      </c>
      <c r="G92" s="2305" t="s">
        <v>3284</v>
      </c>
      <c r="H92" s="3085" t="s">
        <v>3287</v>
      </c>
      <c r="I92" s="2305" t="s">
        <v>3288</v>
      </c>
      <c r="J92" s="2146" t="s">
        <v>3289</v>
      </c>
      <c r="K92" s="2146" t="s">
        <v>3290</v>
      </c>
      <c r="L92" s="2146" t="s">
        <v>3291</v>
      </c>
      <c r="M92" s="2146" t="s">
        <v>3292</v>
      </c>
      <c r="N92" s="2146" t="s">
        <v>3293</v>
      </c>
    </row>
    <row r="93" spans="1:37" ht="24">
      <c r="A93" s="3066" t="s">
        <v>3272</v>
      </c>
      <c r="B93" s="1220"/>
      <c r="C93" s="1883"/>
      <c r="D93" s="2305">
        <f>SUMIF($J$92:$N$92,C93,J93:N93)</f>
        <v>0</v>
      </c>
      <c r="E93" s="3079">
        <f>ROUND(SUM(D93:D101),4)</f>
        <v>0</v>
      </c>
      <c r="F93" s="1674" t="str">
        <f>IF(E2="公共服务",SUMIF(L1:L12,G2,N1:N12),"——")</f>
        <v>——</v>
      </c>
      <c r="G93" s="3070"/>
      <c r="H93" s="3115" t="str">
        <f>IFERROR(ROUNDDOWN($F$93*I93/2,4),"——")</f>
        <v>——</v>
      </c>
      <c r="I93" s="3064">
        <v>0.25</v>
      </c>
      <c r="J93" s="1908">
        <f t="shared" ref="J93:J101" si="27">K93+$G93</f>
        <v>0</v>
      </c>
      <c r="K93" s="1908">
        <f t="shared" ref="K93:K101" si="28">$L93+$G93</f>
        <v>0</v>
      </c>
      <c r="L93" s="1908">
        <v>0</v>
      </c>
      <c r="M93" s="1908">
        <f t="shared" ref="M93:N101" si="29">L93-$G93</f>
        <v>0</v>
      </c>
      <c r="N93" s="1908">
        <f t="shared" si="29"/>
        <v>0</v>
      </c>
    </row>
    <row r="94" spans="1:37" ht="38.25">
      <c r="A94" s="3076" t="s">
        <v>3273</v>
      </c>
      <c r="B94" s="3067" t="str">
        <f>估价对象房地状况!C18</f>
        <v>周边有601路、709路等多条公交线路，综合评价交通便捷度一般</v>
      </c>
      <c r="C94" s="1883"/>
      <c r="D94" s="2305">
        <f t="shared" ref="D94:D101" si="30">SUMIF($J$60:$N$60,C94,J94:N94)</f>
        <v>0</v>
      </c>
      <c r="E94" s="3080"/>
      <c r="F94" s="1674"/>
      <c r="G94" s="3070"/>
      <c r="H94" s="3115" t="str">
        <f>IFERROR(ROUNDDOWN($F$93*I94/2,4),"——")</f>
        <v>——</v>
      </c>
      <c r="I94" s="3064">
        <v>0.26</v>
      </c>
      <c r="J94" s="1908">
        <f t="shared" si="27"/>
        <v>0</v>
      </c>
      <c r="K94" s="1908">
        <f t="shared" si="28"/>
        <v>0</v>
      </c>
      <c r="L94" s="1908">
        <v>0</v>
      </c>
      <c r="M94" s="1908">
        <f t="shared" si="29"/>
        <v>0</v>
      </c>
      <c r="N94" s="1908">
        <f t="shared" si="29"/>
        <v>0</v>
      </c>
    </row>
    <row r="95" spans="1:37" ht="36">
      <c r="A95" s="3066" t="s">
        <v>3269</v>
      </c>
      <c r="B95" s="3067">
        <f>估价对象房地状况!C19</f>
        <v>0</v>
      </c>
      <c r="C95" s="1883"/>
      <c r="D95" s="2305">
        <f t="shared" si="30"/>
        <v>0</v>
      </c>
      <c r="E95" s="3080"/>
      <c r="F95" s="1674"/>
      <c r="G95" s="3070"/>
      <c r="H95" s="3115" t="str">
        <f t="shared" ref="H95:H101" si="31">IFERROR(ROUNDDOWN($F$93*I95/2,4),"——")</f>
        <v>——</v>
      </c>
      <c r="I95" s="3064">
        <v>0.11</v>
      </c>
      <c r="J95" s="1908">
        <f t="shared" si="27"/>
        <v>0</v>
      </c>
      <c r="K95" s="1908">
        <f t="shared" si="28"/>
        <v>0</v>
      </c>
      <c r="L95" s="1908">
        <v>0</v>
      </c>
      <c r="M95" s="1908">
        <f t="shared" si="29"/>
        <v>0</v>
      </c>
      <c r="N95" s="1908">
        <f t="shared" si="29"/>
        <v>0</v>
      </c>
    </row>
    <row r="96" spans="1:37" ht="36.75">
      <c r="A96" s="3076" t="s">
        <v>3274</v>
      </c>
      <c r="B96" s="3082" t="s">
        <v>3285</v>
      </c>
      <c r="C96" s="1883"/>
      <c r="D96" s="2305">
        <f t="shared" si="30"/>
        <v>0</v>
      </c>
      <c r="E96" s="3080"/>
      <c r="F96" s="1674"/>
      <c r="G96" s="3070"/>
      <c r="H96" s="3115" t="str">
        <f t="shared" si="31"/>
        <v>——</v>
      </c>
      <c r="I96" s="3064">
        <v>0.05</v>
      </c>
      <c r="J96" s="1908">
        <f t="shared" si="27"/>
        <v>0</v>
      </c>
      <c r="K96" s="1908">
        <f t="shared" si="28"/>
        <v>0</v>
      </c>
      <c r="L96" s="1908">
        <v>0</v>
      </c>
      <c r="M96" s="1908">
        <f t="shared" si="29"/>
        <v>0</v>
      </c>
      <c r="N96" s="1908">
        <f t="shared" si="29"/>
        <v>0</v>
      </c>
    </row>
    <row r="97" spans="1:14" ht="24">
      <c r="A97" s="3076" t="s">
        <v>3275</v>
      </c>
      <c r="B97" s="3067">
        <f>估价对象房地状况!C24</f>
        <v>0</v>
      </c>
      <c r="C97" s="1883"/>
      <c r="D97" s="2305">
        <f t="shared" si="30"/>
        <v>0</v>
      </c>
      <c r="E97" s="3080"/>
      <c r="F97" s="1674"/>
      <c r="G97" s="3070"/>
      <c r="H97" s="3115" t="str">
        <f t="shared" si="31"/>
        <v>——</v>
      </c>
      <c r="I97" s="3064">
        <v>0.05</v>
      </c>
      <c r="J97" s="1908">
        <f t="shared" si="27"/>
        <v>0</v>
      </c>
      <c r="K97" s="1908">
        <f t="shared" si="28"/>
        <v>0</v>
      </c>
      <c r="L97" s="1908">
        <v>0</v>
      </c>
      <c r="M97" s="1908">
        <f t="shared" si="29"/>
        <v>0</v>
      </c>
      <c r="N97" s="1908">
        <f t="shared" si="29"/>
        <v>0</v>
      </c>
    </row>
    <row r="98" spans="1:14" ht="24">
      <c r="A98" s="3076" t="s">
        <v>3276</v>
      </c>
      <c r="B98" s="3083" t="s">
        <v>3286</v>
      </c>
      <c r="C98" s="1883"/>
      <c r="D98" s="2305">
        <f t="shared" si="30"/>
        <v>0</v>
      </c>
      <c r="E98" s="3080"/>
      <c r="F98" s="1674"/>
      <c r="G98" s="3070"/>
      <c r="H98" s="3115" t="str">
        <f t="shared" si="31"/>
        <v>——</v>
      </c>
      <c r="I98" s="3064">
        <v>0.06</v>
      </c>
      <c r="J98" s="1908">
        <f t="shared" si="27"/>
        <v>0</v>
      </c>
      <c r="K98" s="1908">
        <f t="shared" si="28"/>
        <v>0</v>
      </c>
      <c r="L98" s="1908">
        <v>0</v>
      </c>
      <c r="M98" s="1908">
        <f t="shared" si="29"/>
        <v>0</v>
      </c>
      <c r="N98" s="1908">
        <f t="shared" si="29"/>
        <v>0</v>
      </c>
    </row>
    <row r="99" spans="1:14" ht="102">
      <c r="A99" s="3076" t="s">
        <v>3277</v>
      </c>
      <c r="B99" s="3067" t="str">
        <f>估价对象房地状况!C21</f>
        <v>银行：等金融机构；
医院：中国人民解放军第304医院等医疗机构；
学校：首都师范大学、首都师范大学附属中学等教育机构；
商业：社区级商业设施；
综合评价公共服务设施齐备度一般。</v>
      </c>
      <c r="C99" s="1883"/>
      <c r="D99" s="2305">
        <f t="shared" si="30"/>
        <v>0</v>
      </c>
      <c r="E99" s="3080"/>
      <c r="F99" s="1674"/>
      <c r="G99" s="3070"/>
      <c r="H99" s="3115" t="str">
        <f t="shared" si="31"/>
        <v>——</v>
      </c>
      <c r="I99" s="3064">
        <v>0.06</v>
      </c>
      <c r="J99" s="1908">
        <f t="shared" si="27"/>
        <v>0</v>
      </c>
      <c r="K99" s="1908">
        <f t="shared" si="28"/>
        <v>0</v>
      </c>
      <c r="L99" s="1908">
        <v>0</v>
      </c>
      <c r="M99" s="1908">
        <f t="shared" si="29"/>
        <v>0</v>
      </c>
      <c r="N99" s="1908">
        <f t="shared" si="29"/>
        <v>0</v>
      </c>
    </row>
    <row r="100" spans="1:14" ht="25.5">
      <c r="A100" s="3076" t="s">
        <v>3278</v>
      </c>
      <c r="B100" s="3067" t="str">
        <f>估价对象房地状况!C22</f>
        <v>估价对象所在区域基础设施水平</v>
      </c>
      <c r="C100" s="1883"/>
      <c r="D100" s="2305">
        <f t="shared" si="30"/>
        <v>0</v>
      </c>
      <c r="E100" s="3080"/>
      <c r="F100" s="1674"/>
      <c r="G100" s="3070"/>
      <c r="H100" s="3115" t="str">
        <f t="shared" si="31"/>
        <v>——</v>
      </c>
      <c r="I100" s="3064">
        <v>0.09</v>
      </c>
      <c r="J100" s="1908">
        <f t="shared" si="27"/>
        <v>0</v>
      </c>
      <c r="K100" s="1908">
        <f t="shared" si="28"/>
        <v>0</v>
      </c>
      <c r="L100" s="1908">
        <v>0</v>
      </c>
      <c r="M100" s="1908">
        <f t="shared" si="29"/>
        <v>0</v>
      </c>
      <c r="N100" s="1908">
        <f t="shared" si="29"/>
        <v>0</v>
      </c>
    </row>
    <row r="101" spans="1:14" ht="39" thickBot="1">
      <c r="A101" s="3077" t="s">
        <v>3279</v>
      </c>
      <c r="B101" s="3084" t="str">
        <f>估价对象房地状况!C20</f>
        <v>人文环境：首都师范大学等人文场所；
综合评价环境状况一般。</v>
      </c>
      <c r="C101" s="1883"/>
      <c r="D101" s="2305">
        <f t="shared" si="30"/>
        <v>0</v>
      </c>
      <c r="E101" s="3081"/>
      <c r="F101" s="1674"/>
      <c r="G101" s="3070"/>
      <c r="H101" s="3115" t="str">
        <f t="shared" si="31"/>
        <v>——</v>
      </c>
      <c r="I101" s="3065">
        <v>7.0000000000000007E-2</v>
      </c>
      <c r="J101" s="1908">
        <f t="shared" si="27"/>
        <v>0</v>
      </c>
      <c r="K101" s="1908">
        <f t="shared" si="28"/>
        <v>0</v>
      </c>
      <c r="L101" s="1908">
        <v>0</v>
      </c>
      <c r="M101" s="1908">
        <f t="shared" si="29"/>
        <v>0</v>
      </c>
      <c r="N101" s="1908">
        <f t="shared" si="29"/>
        <v>0</v>
      </c>
    </row>
    <row r="103" spans="1:14">
      <c r="A103" s="3930" t="s">
        <v>3294</v>
      </c>
      <c r="B103" s="3930"/>
      <c r="C103" s="3930"/>
      <c r="D103" s="3930"/>
      <c r="E103" s="3930"/>
      <c r="F103" s="3930"/>
      <c r="G103" s="3930"/>
      <c r="H103" s="3930"/>
      <c r="I103" s="3930"/>
      <c r="J103" s="3930"/>
      <c r="K103" s="1666"/>
      <c r="L103" s="1666"/>
      <c r="M103" s="1666"/>
      <c r="N103" s="1666"/>
    </row>
    <row r="104" spans="1:14">
      <c r="A104" s="3931" t="s">
        <v>3295</v>
      </c>
      <c r="B104" s="3931" t="s">
        <v>3296</v>
      </c>
      <c r="C104" s="3086" t="s">
        <v>3297</v>
      </c>
      <c r="D104" s="3087"/>
      <c r="E104" s="3087"/>
      <c r="F104" s="3087"/>
      <c r="G104" s="3087"/>
      <c r="H104" s="3087"/>
      <c r="I104" s="3087"/>
      <c r="J104" s="3088"/>
      <c r="K104" s="3089"/>
      <c r="L104" s="3089"/>
      <c r="M104" s="3089"/>
      <c r="N104" s="3089"/>
    </row>
    <row r="105" spans="1:14">
      <c r="A105" s="3931"/>
      <c r="B105" s="3931"/>
      <c r="C105" s="3090" t="s">
        <v>3298</v>
      </c>
      <c r="D105" s="3090" t="s">
        <v>3299</v>
      </c>
      <c r="E105" s="3090" t="s">
        <v>3300</v>
      </c>
      <c r="F105" s="3090" t="s">
        <v>3301</v>
      </c>
      <c r="G105" s="3090" t="s">
        <v>3302</v>
      </c>
      <c r="H105" s="3090" t="s">
        <v>3303</v>
      </c>
      <c r="I105" s="3090" t="s">
        <v>3304</v>
      </c>
      <c r="J105" s="3090" t="s">
        <v>3305</v>
      </c>
      <c r="K105" s="3090" t="s">
        <v>3306</v>
      </c>
      <c r="L105" s="3090" t="s">
        <v>3307</v>
      </c>
      <c r="M105" s="3090" t="s">
        <v>3308</v>
      </c>
      <c r="N105" s="3090" t="s">
        <v>3309</v>
      </c>
    </row>
    <row r="106" spans="1:14">
      <c r="A106" s="3917" t="s">
        <v>3310</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918"/>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918"/>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918"/>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918"/>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918"/>
      <c r="B111" s="3090" t="s">
        <v>3268</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919"/>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920" t="s">
        <v>3311</v>
      </c>
      <c r="B113" s="3920"/>
      <c r="C113" s="3920"/>
      <c r="D113" s="3920"/>
      <c r="E113" s="3920"/>
      <c r="F113" s="3920"/>
      <c r="G113" s="3920"/>
      <c r="H113" s="3920"/>
      <c r="I113" s="3920"/>
      <c r="J113" s="3920"/>
      <c r="K113" s="3092"/>
      <c r="L113" s="3092"/>
      <c r="M113" s="3092"/>
      <c r="N113" s="3092"/>
    </row>
    <row r="114" spans="1:14">
      <c r="A114" s="3093"/>
      <c r="B114" s="3093"/>
      <c r="C114" s="3093"/>
      <c r="D114" s="3093"/>
      <c r="E114" s="3093"/>
      <c r="F114" s="3093"/>
      <c r="G114" s="3093"/>
      <c r="H114" s="3093"/>
      <c r="I114" s="3093"/>
      <c r="J114" s="3093"/>
      <c r="K114" s="1960"/>
      <c r="L114" s="3093"/>
      <c r="M114" s="3093"/>
      <c r="N114" s="3093"/>
    </row>
    <row r="115" spans="1:14" ht="13.5" thickBot="1">
      <c r="A115" s="3093"/>
      <c r="B115" s="3093"/>
      <c r="C115" s="3093"/>
      <c r="D115" s="3093"/>
      <c r="E115" s="3093"/>
      <c r="F115" s="3093"/>
      <c r="G115" s="3093"/>
      <c r="H115" s="3093"/>
      <c r="I115" s="3093"/>
      <c r="J115" s="3093"/>
      <c r="K115" s="1960"/>
      <c r="L115" s="3093"/>
      <c r="M115" s="3093"/>
      <c r="N115" s="3093"/>
    </row>
    <row r="116" spans="1:14" ht="25.5" thickBot="1">
      <c r="A116" s="3094" t="s">
        <v>3312</v>
      </c>
      <c r="B116" s="3110">
        <f>G3</f>
        <v>3.35</v>
      </c>
      <c r="C116" s="3095" t="s">
        <v>3313</v>
      </c>
      <c r="D116" s="3096">
        <f>SUMPRODUCT((A118:A122=F116)*(B117:M117=H116)*B118:M122)</f>
        <v>0.90629999999999999</v>
      </c>
      <c r="E116" s="162" t="s">
        <v>3314</v>
      </c>
      <c r="F116" s="3097" t="str">
        <f>E2</f>
        <v>住宅</v>
      </c>
      <c r="G116" s="162" t="s">
        <v>3315</v>
      </c>
      <c r="H116" s="3097" t="str">
        <f>G2</f>
        <v>二级</v>
      </c>
      <c r="I116" s="162"/>
      <c r="J116" s="3098"/>
      <c r="K116" s="3098"/>
      <c r="L116" s="3098"/>
      <c r="M116" s="3098"/>
      <c r="N116" s="3093"/>
    </row>
    <row r="117" spans="1:14">
      <c r="A117" s="3099"/>
      <c r="B117" s="3100" t="s">
        <v>3316</v>
      </c>
      <c r="C117" s="3100" t="s">
        <v>3317</v>
      </c>
      <c r="D117" s="3100" t="s">
        <v>3318</v>
      </c>
      <c r="E117" s="3101" t="s">
        <v>3319</v>
      </c>
      <c r="F117" s="3101" t="s">
        <v>3320</v>
      </c>
      <c r="G117" s="3101" t="s">
        <v>3321</v>
      </c>
      <c r="H117" s="3102" t="s">
        <v>3322</v>
      </c>
      <c r="I117" s="3102" t="s">
        <v>3323</v>
      </c>
      <c r="J117" s="3103" t="s">
        <v>3324</v>
      </c>
      <c r="K117" s="3103" t="s">
        <v>3325</v>
      </c>
      <c r="L117" s="3103" t="s">
        <v>3326</v>
      </c>
      <c r="M117" s="3104" t="s">
        <v>3327</v>
      </c>
      <c r="N117" s="3093"/>
    </row>
    <row r="118" spans="1:14">
      <c r="A118" s="3053" t="s">
        <v>3328</v>
      </c>
      <c r="B118" s="3085">
        <f>ROUND(0.9968-0.011*B116,4)</f>
        <v>0.96</v>
      </c>
      <c r="C118" s="3085">
        <f>B118</f>
        <v>0.96</v>
      </c>
      <c r="D118" s="3085">
        <f>ROUND(0.949-0.014*B116,4)</f>
        <v>0.90210000000000001</v>
      </c>
      <c r="E118" s="3085">
        <f>D118</f>
        <v>0.90210000000000001</v>
      </c>
      <c r="F118" s="3085">
        <f>E118</f>
        <v>0.90210000000000001</v>
      </c>
      <c r="G118" s="3085">
        <f>F118</f>
        <v>0.90210000000000001</v>
      </c>
      <c r="H118" s="3085">
        <f>G118</f>
        <v>0.90210000000000001</v>
      </c>
      <c r="I118" s="3085">
        <f>ROUND(0.8486-0.018*B116,4)</f>
        <v>0.7883</v>
      </c>
      <c r="J118" s="3085">
        <f t="shared" ref="J118:M122" si="35">I118</f>
        <v>0.7883</v>
      </c>
      <c r="K118" s="3085">
        <f t="shared" si="35"/>
        <v>0.7883</v>
      </c>
      <c r="L118" s="3085">
        <f t="shared" si="35"/>
        <v>0.7883</v>
      </c>
      <c r="M118" s="3105">
        <f t="shared" si="35"/>
        <v>0.7883</v>
      </c>
      <c r="N118" s="3093"/>
    </row>
    <row r="119" spans="1:14">
      <c r="A119" s="3053" t="s">
        <v>3329</v>
      </c>
      <c r="B119" s="3085">
        <f>ROUND(0.993-0.0112*B116,4)</f>
        <v>0.95550000000000002</v>
      </c>
      <c r="C119" s="3085">
        <f>B119</f>
        <v>0.95550000000000002</v>
      </c>
      <c r="D119" s="3085">
        <f>ROUND(0.9415-0.0142*B116,4)</f>
        <v>0.89390000000000003</v>
      </c>
      <c r="E119" s="3085">
        <f t="shared" ref="E119:H120" si="36">D119</f>
        <v>0.89390000000000003</v>
      </c>
      <c r="F119" s="3085">
        <f t="shared" si="36"/>
        <v>0.89390000000000003</v>
      </c>
      <c r="G119" s="3085">
        <f t="shared" si="36"/>
        <v>0.89390000000000003</v>
      </c>
      <c r="H119" s="3085">
        <f t="shared" si="36"/>
        <v>0.89390000000000003</v>
      </c>
      <c r="I119" s="3085">
        <f>ROUND(0.838-0.0182*B116,4)</f>
        <v>0.77700000000000002</v>
      </c>
      <c r="J119" s="3085">
        <f t="shared" si="35"/>
        <v>0.77700000000000002</v>
      </c>
      <c r="K119" s="3085">
        <f t="shared" si="35"/>
        <v>0.77700000000000002</v>
      </c>
      <c r="L119" s="3085">
        <f t="shared" si="35"/>
        <v>0.77700000000000002</v>
      </c>
      <c r="M119" s="3105">
        <f t="shared" si="35"/>
        <v>0.77700000000000002</v>
      </c>
      <c r="N119" s="3093"/>
    </row>
    <row r="120" spans="1:14">
      <c r="A120" s="3053" t="s">
        <v>3330</v>
      </c>
      <c r="B120" s="3085">
        <f>ROUND(0.9448-0.0115*B116,4)</f>
        <v>0.90629999999999999</v>
      </c>
      <c r="C120" s="3085">
        <f>B120</f>
        <v>0.90629999999999999</v>
      </c>
      <c r="D120" s="3085">
        <f>ROUND(0.937-0.0145*B116,4)</f>
        <v>0.88839999999999997</v>
      </c>
      <c r="E120" s="3085">
        <f t="shared" si="36"/>
        <v>0.88839999999999997</v>
      </c>
      <c r="F120" s="3085">
        <f t="shared" si="36"/>
        <v>0.88839999999999997</v>
      </c>
      <c r="G120" s="3085">
        <f t="shared" si="36"/>
        <v>0.88839999999999997</v>
      </c>
      <c r="H120" s="3085">
        <f t="shared" si="36"/>
        <v>0.88839999999999997</v>
      </c>
      <c r="I120" s="3085">
        <f>ROUND(0.7965-0.0185*B116,4)</f>
        <v>0.73450000000000004</v>
      </c>
      <c r="J120" s="3085">
        <f t="shared" si="35"/>
        <v>0.73450000000000004</v>
      </c>
      <c r="K120" s="3085">
        <f t="shared" si="35"/>
        <v>0.73450000000000004</v>
      </c>
      <c r="L120" s="3085">
        <f t="shared" si="35"/>
        <v>0.73450000000000004</v>
      </c>
      <c r="M120" s="3105">
        <f t="shared" si="35"/>
        <v>0.73450000000000004</v>
      </c>
      <c r="N120" s="3093"/>
    </row>
    <row r="121" spans="1:14" ht="13.5" thickBot="1">
      <c r="A121" s="3106" t="s">
        <v>3331</v>
      </c>
      <c r="B121" s="3107">
        <f>ROUND(0.7836-0.012*B116,4)</f>
        <v>0.74339999999999995</v>
      </c>
      <c r="C121" s="3107">
        <f>B121</f>
        <v>0.74339999999999995</v>
      </c>
      <c r="D121" s="3107">
        <f>ROUND(0.753-0.015*B116,4)</f>
        <v>0.70279999999999998</v>
      </c>
      <c r="E121" s="3107">
        <f>D121</f>
        <v>0.70279999999999998</v>
      </c>
      <c r="F121" s="3107">
        <f>E121</f>
        <v>0.70279999999999998</v>
      </c>
      <c r="G121" s="3107">
        <f>ROUND(0.6612-0.018*B116,4)</f>
        <v>0.60089999999999999</v>
      </c>
      <c r="H121" s="3107">
        <f>G121</f>
        <v>0.60089999999999999</v>
      </c>
      <c r="I121" s="3107">
        <f>ROUND(0.5905-0.019*B116,4)</f>
        <v>0.52690000000000003</v>
      </c>
      <c r="J121" s="3107">
        <f t="shared" si="35"/>
        <v>0.52690000000000003</v>
      </c>
      <c r="K121" s="3107">
        <f t="shared" si="35"/>
        <v>0.52690000000000003</v>
      </c>
      <c r="L121" s="3107">
        <f t="shared" si="35"/>
        <v>0.52690000000000003</v>
      </c>
      <c r="M121" s="3108">
        <f t="shared" si="35"/>
        <v>0.52690000000000003</v>
      </c>
      <c r="N121" s="3093"/>
    </row>
    <row r="122" spans="1:14">
      <c r="A122" s="3109" t="s">
        <v>2610</v>
      </c>
      <c r="B122" s="3085">
        <f>ROUND(0.9404-0.0106*B116,4)</f>
        <v>0.90490000000000004</v>
      </c>
      <c r="C122" s="3085">
        <f>B122</f>
        <v>0.90490000000000004</v>
      </c>
      <c r="D122" s="3085">
        <f>ROUND(0.8955-0.0135*B116,4)</f>
        <v>0.85029999999999994</v>
      </c>
      <c r="E122" s="3085">
        <f t="shared" ref="E122:H122" si="37">D122</f>
        <v>0.85029999999999994</v>
      </c>
      <c r="F122" s="3085">
        <f t="shared" si="37"/>
        <v>0.85029999999999994</v>
      </c>
      <c r="G122" s="3085">
        <f t="shared" si="37"/>
        <v>0.85029999999999994</v>
      </c>
      <c r="H122" s="3085">
        <f t="shared" si="37"/>
        <v>0.85029999999999994</v>
      </c>
      <c r="I122" s="3085">
        <f>ROUND(0.7632-0.0166*B116,4)</f>
        <v>0.70760000000000001</v>
      </c>
      <c r="J122" s="3085">
        <f t="shared" si="35"/>
        <v>0.70760000000000001</v>
      </c>
      <c r="K122" s="3085">
        <f t="shared" si="35"/>
        <v>0.70760000000000001</v>
      </c>
      <c r="L122" s="3085">
        <f t="shared" si="35"/>
        <v>0.70760000000000001</v>
      </c>
      <c r="M122" s="3105">
        <f t="shared" si="35"/>
        <v>0.70760000000000001</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6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16"/>
      <c r="C2" s="3616"/>
      <c r="D2" s="3616"/>
      <c r="E2" s="3616"/>
    </row>
    <row r="3" spans="1:5" ht="18">
      <c r="A3" s="3617" t="str">
        <f>IF(项目基本情况!B9="房地产市场价值","估价结果一览表（市场价值不需“结果表-1”）","估价结果一览表")</f>
        <v>估价结果一览表</v>
      </c>
      <c r="B3" s="3617"/>
      <c r="C3" s="3617"/>
      <c r="D3" s="3617"/>
      <c r="E3" s="3617"/>
    </row>
    <row r="4" spans="1:5" ht="19.5" thickBot="1">
      <c r="A4" s="1390"/>
      <c r="B4" s="3615" t="s">
        <v>917</v>
      </c>
      <c r="C4" s="3615"/>
      <c r="D4" s="3615"/>
      <c r="E4" s="1390"/>
    </row>
    <row r="5" spans="1:5" ht="16.5" thickTop="1">
      <c r="B5" s="3613" t="s">
        <v>909</v>
      </c>
      <c r="C5" s="1391" t="s">
        <v>910</v>
      </c>
      <c r="D5" s="797" t="e">
        <f ca="1">结果表!H101</f>
        <v>#REF!</v>
      </c>
    </row>
    <row r="6" spans="1:5" ht="15.75">
      <c r="B6" s="3613"/>
      <c r="C6" s="1391" t="s">
        <v>911</v>
      </c>
      <c r="D6" s="797" t="e">
        <f ca="1">NUMBERSTRING(INT(D5*10000),2)&amp;"元整"</f>
        <v>#REF!</v>
      </c>
    </row>
    <row r="7" spans="1:5" ht="15.75">
      <c r="B7" s="3618"/>
      <c r="C7" s="1392" t="s">
        <v>912</v>
      </c>
      <c r="D7" s="798" t="e">
        <f ca="1">结果表!H102</f>
        <v>#REF!</v>
      </c>
    </row>
    <row r="8" spans="1:5" ht="15.75">
      <c r="B8" s="3619" t="str">
        <f>结果表!E103</f>
        <v>2.估价师知悉的法定优先受偿款</v>
      </c>
      <c r="C8" s="1393" t="s">
        <v>913</v>
      </c>
      <c r="D8" s="798">
        <f>结果表!H103</f>
        <v>0</v>
      </c>
    </row>
    <row r="9" spans="1:5" ht="15.75">
      <c r="B9" s="3621"/>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612" t="str">
        <f>结果表!E107</f>
        <v>3.房地产抵押价值</v>
      </c>
      <c r="C13" s="1396" t="s">
        <v>910</v>
      </c>
      <c r="D13" s="800" t="e">
        <f ca="1">结果表!H107</f>
        <v>#REF!</v>
      </c>
    </row>
    <row r="14" spans="1:5" ht="15.75">
      <c r="B14" s="3613"/>
      <c r="C14" s="1391" t="s">
        <v>911</v>
      </c>
      <c r="D14" s="797" t="e">
        <f ca="1">NUMBERSTRING(INT(D13*10000),2)&amp;"元整"</f>
        <v>#REF!</v>
      </c>
    </row>
    <row r="15" spans="1:5" ht="15">
      <c r="B15" s="3618"/>
      <c r="C15" s="1392" t="s">
        <v>921</v>
      </c>
      <c r="D15" s="806" t="e">
        <f ca="1">结果表!H108</f>
        <v>#REF!</v>
      </c>
    </row>
    <row r="16" spans="1:5" ht="15">
      <c r="B16" s="3619" t="str">
        <f>结果表!E109</f>
        <v>——</v>
      </c>
      <c r="C16" s="1396" t="s">
        <v>922</v>
      </c>
      <c r="D16" s="1397" t="str">
        <f>结果表!H109</f>
        <v>——</v>
      </c>
    </row>
    <row r="17" spans="1:5" ht="15.75">
      <c r="B17" s="3620"/>
      <c r="C17" s="1391" t="s">
        <v>923</v>
      </c>
      <c r="D17" s="797" t="e">
        <f>NUMBERSTRING(INT(D16*10000),2)&amp;"元整"</f>
        <v>#VALUE!</v>
      </c>
    </row>
    <row r="18" spans="1:5" ht="15">
      <c r="B18" s="3621"/>
      <c r="C18" s="1392" t="s">
        <v>912</v>
      </c>
      <c r="D18" s="806" t="str">
        <f>结果表!H110</f>
        <v>——</v>
      </c>
    </row>
    <row r="19" spans="1:5" ht="15.75">
      <c r="B19" s="3612" t="str">
        <f>结果表!E111</f>
        <v>——</v>
      </c>
      <c r="C19" s="1396" t="s">
        <v>910</v>
      </c>
      <c r="D19" s="798" t="str">
        <f>结果表!H111</f>
        <v>——</v>
      </c>
    </row>
    <row r="20" spans="1:5" ht="15.75">
      <c r="B20" s="3613"/>
      <c r="C20" s="1391" t="s">
        <v>923</v>
      </c>
      <c r="D20" s="797" t="e">
        <f>NUMBERSTRING(INT(D19*10000),2)&amp;"元整"</f>
        <v>#VALUE!</v>
      </c>
    </row>
    <row r="21" spans="1:5" ht="15.75" thickBot="1">
      <c r="B21" s="3614"/>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2592</v>
      </c>
      <c r="B1" s="2807" t="s">
        <v>2593</v>
      </c>
      <c r="C1" s="2807" t="s">
        <v>2594</v>
      </c>
      <c r="D1" s="2807" t="s">
        <v>2595</v>
      </c>
      <c r="E1" s="2807" t="s">
        <v>2596</v>
      </c>
      <c r="F1" s="2807" t="s">
        <v>2597</v>
      </c>
      <c r="G1" s="2807" t="s">
        <v>2598</v>
      </c>
      <c r="H1" s="2807" t="s">
        <v>2599</v>
      </c>
      <c r="I1" s="2807" t="s">
        <v>2600</v>
      </c>
      <c r="J1" s="2807" t="s">
        <v>2601</v>
      </c>
      <c r="K1" s="2807" t="s">
        <v>2602</v>
      </c>
      <c r="L1" s="2807" t="s">
        <v>2603</v>
      </c>
      <c r="M1" s="2808" t="s">
        <v>2604</v>
      </c>
    </row>
    <row r="2" spans="1:13" ht="19.5" customHeight="1">
      <c r="A2" s="2810" t="s">
        <v>2605</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2606</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2607</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2608</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2609</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2610</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2611</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2612</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2613</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2614</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2615</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2616</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2617</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2618</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2619</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2620</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2621</v>
      </c>
      <c r="B18" s="2832"/>
      <c r="C18" s="2833"/>
      <c r="D18" s="2833"/>
      <c r="E18" s="2832"/>
      <c r="F18" s="2833"/>
      <c r="G18" s="2833"/>
    </row>
    <row r="19" spans="1:13" ht="19.5" customHeight="1" thickBot="1">
      <c r="A19" s="2830" t="s">
        <v>2622</v>
      </c>
      <c r="B19" s="2835" t="s">
        <v>2623</v>
      </c>
      <c r="C19" s="2835" t="s">
        <v>2624</v>
      </c>
      <c r="D19" s="2836"/>
      <c r="E19" s="2830" t="s">
        <v>2625</v>
      </c>
      <c r="F19" s="2837"/>
      <c r="G19" s="2837"/>
    </row>
    <row r="20" spans="1:13" ht="19.5" customHeight="1">
      <c r="A20" s="3943" t="s">
        <v>2605</v>
      </c>
      <c r="B20" s="3936" t="s">
        <v>2626</v>
      </c>
      <c r="C20" s="2838" t="s">
        <v>2437</v>
      </c>
      <c r="D20" s="2839"/>
      <c r="E20" s="2840">
        <v>1</v>
      </c>
      <c r="F20" s="2841" t="s">
        <v>2438</v>
      </c>
      <c r="G20" s="2841"/>
    </row>
    <row r="21" spans="1:13" ht="19.5" customHeight="1">
      <c r="A21" s="3944"/>
      <c r="B21" s="3937"/>
      <c r="C21" s="2842" t="s">
        <v>2439</v>
      </c>
      <c r="D21" s="2843"/>
      <c r="E21" s="2844">
        <v>1</v>
      </c>
      <c r="F21" s="2841" t="s">
        <v>2440</v>
      </c>
      <c r="G21" s="2841"/>
    </row>
    <row r="22" spans="1:13" ht="19.5" customHeight="1">
      <c r="A22" s="3944"/>
      <c r="B22" s="3937"/>
      <c r="C22" s="2842" t="s">
        <v>2441</v>
      </c>
      <c r="D22" s="2843"/>
      <c r="E22" s="2844">
        <v>0.9</v>
      </c>
      <c r="F22" s="2841" t="s">
        <v>2442</v>
      </c>
      <c r="G22" s="2841"/>
    </row>
    <row r="23" spans="1:13" ht="19.5" customHeight="1">
      <c r="A23" s="3944"/>
      <c r="B23" s="3937"/>
      <c r="C23" s="2842" t="s">
        <v>2443</v>
      </c>
      <c r="D23" s="2843"/>
      <c r="E23" s="2844">
        <v>0.9</v>
      </c>
      <c r="F23" s="2841" t="s">
        <v>2444</v>
      </c>
      <c r="G23" s="2841"/>
    </row>
    <row r="24" spans="1:13" ht="19.5" customHeight="1">
      <c r="A24" s="3944"/>
      <c r="B24" s="3937"/>
      <c r="C24" s="2842" t="s">
        <v>2445</v>
      </c>
      <c r="D24" s="2843"/>
      <c r="E24" s="2844">
        <v>0.8</v>
      </c>
      <c r="F24" s="2841" t="s">
        <v>2446</v>
      </c>
      <c r="G24" s="2841"/>
    </row>
    <row r="25" spans="1:13" ht="19.5" customHeight="1" thickBot="1">
      <c r="A25" s="3945"/>
      <c r="B25" s="3938"/>
      <c r="C25" s="2845" t="s">
        <v>2447</v>
      </c>
      <c r="D25" s="2846"/>
      <c r="E25" s="2847">
        <v>0.8</v>
      </c>
      <c r="F25" s="2841" t="s">
        <v>2448</v>
      </c>
      <c r="G25" s="2841"/>
    </row>
    <row r="26" spans="1:13" ht="19.5" customHeight="1" thickBot="1">
      <c r="A26" s="2848" t="s">
        <v>2627</v>
      </c>
      <c r="B26" s="2849" t="s">
        <v>2626</v>
      </c>
      <c r="C26" s="2850" t="s">
        <v>2628</v>
      </c>
      <c r="D26" s="2851"/>
      <c r="E26" s="2852">
        <v>1</v>
      </c>
      <c r="F26" s="2841" t="s">
        <v>2449</v>
      </c>
      <c r="G26" s="2841"/>
    </row>
    <row r="27" spans="1:13" ht="19.5" customHeight="1">
      <c r="A27" s="3939" t="s">
        <v>2629</v>
      </c>
      <c r="B27" s="3936" t="s">
        <v>2610</v>
      </c>
      <c r="C27" s="2838" t="s">
        <v>2450</v>
      </c>
      <c r="D27" s="2839"/>
      <c r="E27" s="2840">
        <v>1</v>
      </c>
      <c r="F27" s="2841" t="s">
        <v>2451</v>
      </c>
      <c r="G27" s="2841"/>
    </row>
    <row r="28" spans="1:13" ht="19.5" customHeight="1">
      <c r="A28" s="3940"/>
      <c r="B28" s="3937"/>
      <c r="C28" s="2842" t="s">
        <v>2452</v>
      </c>
      <c r="D28" s="2843"/>
      <c r="E28" s="2844">
        <v>1</v>
      </c>
      <c r="F28" s="2841" t="s">
        <v>2453</v>
      </c>
      <c r="G28" s="2841"/>
    </row>
    <row r="29" spans="1:13" ht="19.5" customHeight="1">
      <c r="A29" s="3940"/>
      <c r="B29" s="3937"/>
      <c r="C29" s="2842" t="s">
        <v>2454</v>
      </c>
      <c r="D29" s="2843"/>
      <c r="E29" s="2844">
        <v>0.8</v>
      </c>
      <c r="F29" s="2841" t="s">
        <v>2455</v>
      </c>
      <c r="G29" s="2841"/>
    </row>
    <row r="30" spans="1:13" ht="19.5" customHeight="1">
      <c r="A30" s="3940"/>
      <c r="B30" s="3937"/>
      <c r="C30" s="2842" t="s">
        <v>2456</v>
      </c>
      <c r="D30" s="2843"/>
      <c r="E30" s="2844">
        <v>0.8</v>
      </c>
      <c r="F30" s="2841" t="s">
        <v>2457</v>
      </c>
      <c r="G30" s="2841"/>
    </row>
    <row r="31" spans="1:13" ht="19.5" customHeight="1">
      <c r="A31" s="3940"/>
      <c r="B31" s="3937"/>
      <c r="C31" s="2842" t="s">
        <v>2458</v>
      </c>
      <c r="D31" s="2843"/>
      <c r="E31" s="2844">
        <v>0.8</v>
      </c>
      <c r="F31" s="2841" t="s">
        <v>2459</v>
      </c>
      <c r="G31" s="2841"/>
    </row>
    <row r="32" spans="1:13" ht="19.5" customHeight="1">
      <c r="A32" s="3940"/>
      <c r="B32" s="3937"/>
      <c r="C32" s="2842" t="s">
        <v>2460</v>
      </c>
      <c r="D32" s="2843"/>
      <c r="E32" s="2844">
        <v>0.7</v>
      </c>
      <c r="F32" s="2841" t="s">
        <v>2461</v>
      </c>
      <c r="G32" s="2841"/>
    </row>
    <row r="33" spans="1:7" ht="19.5" customHeight="1">
      <c r="A33" s="3940"/>
      <c r="B33" s="3937"/>
      <c r="C33" s="2842" t="s">
        <v>2462</v>
      </c>
      <c r="D33" s="2843"/>
      <c r="E33" s="2844">
        <v>0.8</v>
      </c>
      <c r="F33" s="2841" t="s">
        <v>2463</v>
      </c>
      <c r="G33" s="2841"/>
    </row>
    <row r="34" spans="1:7" ht="19.5" customHeight="1">
      <c r="A34" s="3940"/>
      <c r="B34" s="3937"/>
      <c r="C34" s="2842" t="s">
        <v>2464</v>
      </c>
      <c r="D34" s="2843"/>
      <c r="E34" s="2844">
        <v>0.6</v>
      </c>
      <c r="F34" s="2841" t="s">
        <v>2465</v>
      </c>
      <c r="G34" s="2841"/>
    </row>
    <row r="35" spans="1:7" ht="19.5" customHeight="1">
      <c r="A35" s="3940"/>
      <c r="B35" s="3937"/>
      <c r="C35" s="2842" t="s">
        <v>2466</v>
      </c>
      <c r="D35" s="2843"/>
      <c r="E35" s="2844">
        <v>0.2</v>
      </c>
      <c r="F35" s="2841" t="s">
        <v>2467</v>
      </c>
      <c r="G35" s="2841"/>
    </row>
    <row r="36" spans="1:7" ht="19.5" customHeight="1">
      <c r="A36" s="3940"/>
      <c r="B36" s="3937"/>
      <c r="C36" s="2842" t="s">
        <v>2468</v>
      </c>
      <c r="D36" s="2843"/>
      <c r="E36" s="2844">
        <v>0.2</v>
      </c>
      <c r="F36" s="2841" t="s">
        <v>2469</v>
      </c>
      <c r="G36" s="2841"/>
    </row>
    <row r="37" spans="1:7" ht="19.5" customHeight="1">
      <c r="A37" s="3940"/>
      <c r="B37" s="3942" t="s">
        <v>2630</v>
      </c>
      <c r="C37" s="2842" t="s">
        <v>2470</v>
      </c>
      <c r="D37" s="2843"/>
      <c r="E37" s="2844">
        <v>0.6</v>
      </c>
      <c r="F37" s="2841" t="s">
        <v>2471</v>
      </c>
      <c r="G37" s="2841"/>
    </row>
    <row r="38" spans="1:7" ht="19.5" customHeight="1">
      <c r="A38" s="3940"/>
      <c r="B38" s="3937"/>
      <c r="C38" s="2842" t="s">
        <v>2472</v>
      </c>
      <c r="D38" s="2843"/>
      <c r="E38" s="2844">
        <v>0.6</v>
      </c>
      <c r="F38" s="2841" t="s">
        <v>2473</v>
      </c>
      <c r="G38" s="2841"/>
    </row>
    <row r="39" spans="1:7" ht="19.5" customHeight="1" thickBot="1">
      <c r="A39" s="3941"/>
      <c r="B39" s="3938"/>
      <c r="C39" s="2845" t="s">
        <v>2474</v>
      </c>
      <c r="D39" s="2846"/>
      <c r="E39" s="2847">
        <v>0.6</v>
      </c>
      <c r="F39" s="2841" t="s">
        <v>2475</v>
      </c>
      <c r="G39" s="2841"/>
    </row>
    <row r="40" spans="1:7" ht="19.5" customHeight="1" thickBot="1">
      <c r="A40" s="2848" t="s">
        <v>2607</v>
      </c>
      <c r="B40" s="2849" t="s">
        <v>2607</v>
      </c>
      <c r="C40" s="2850" t="s">
        <v>2631</v>
      </c>
      <c r="D40" s="2851"/>
      <c r="E40" s="2852">
        <v>1</v>
      </c>
      <c r="F40" s="2841" t="s">
        <v>2476</v>
      </c>
      <c r="G40" s="2841"/>
    </row>
    <row r="41" spans="1:7" ht="19.5" customHeight="1">
      <c r="A41" s="3943" t="s">
        <v>2608</v>
      </c>
      <c r="B41" s="3936" t="s">
        <v>2632</v>
      </c>
      <c r="C41" s="2838" t="s">
        <v>2477</v>
      </c>
      <c r="D41" s="2839"/>
      <c r="E41" s="2840">
        <v>1</v>
      </c>
      <c r="F41" s="2841" t="s">
        <v>2478</v>
      </c>
      <c r="G41" s="2841"/>
    </row>
    <row r="42" spans="1:7" ht="19.5" customHeight="1">
      <c r="A42" s="3944"/>
      <c r="B42" s="3937"/>
      <c r="C42" s="2842" t="s">
        <v>2479</v>
      </c>
      <c r="D42" s="2843"/>
      <c r="E42" s="2844">
        <v>1</v>
      </c>
      <c r="F42" s="2841" t="s">
        <v>2480</v>
      </c>
      <c r="G42" s="2841"/>
    </row>
    <row r="43" spans="1:7" ht="19.5" customHeight="1">
      <c r="A43" s="3944"/>
      <c r="B43" s="3946"/>
      <c r="C43" s="2842" t="s">
        <v>2481</v>
      </c>
      <c r="D43" s="2843"/>
      <c r="E43" s="2844">
        <v>1.5</v>
      </c>
      <c r="F43" s="2841" t="s">
        <v>2482</v>
      </c>
      <c r="G43" s="2841"/>
    </row>
    <row r="44" spans="1:7" ht="19.5" customHeight="1">
      <c r="A44" s="3944"/>
      <c r="B44" s="2853" t="s">
        <v>2633</v>
      </c>
      <c r="C44" s="2842" t="s">
        <v>2634</v>
      </c>
      <c r="D44" s="2843"/>
      <c r="E44" s="2844">
        <v>2</v>
      </c>
      <c r="F44" s="2841" t="s">
        <v>2483</v>
      </c>
      <c r="G44" s="2841"/>
    </row>
    <row r="45" spans="1:7" ht="19.5" customHeight="1">
      <c r="A45" s="3944"/>
      <c r="B45" s="3942" t="s">
        <v>2635</v>
      </c>
      <c r="C45" s="2842" t="s">
        <v>2484</v>
      </c>
      <c r="D45" s="2843"/>
      <c r="E45" s="2844">
        <v>1</v>
      </c>
      <c r="F45" s="2841" t="s">
        <v>2485</v>
      </c>
      <c r="G45" s="2841"/>
    </row>
    <row r="46" spans="1:7" ht="19.5" customHeight="1">
      <c r="A46" s="3944"/>
      <c r="B46" s="3937"/>
      <c r="C46" s="2842" t="s">
        <v>2486</v>
      </c>
      <c r="D46" s="2843"/>
      <c r="E46" s="2844">
        <v>1</v>
      </c>
      <c r="F46" s="2841" t="s">
        <v>2487</v>
      </c>
      <c r="G46" s="2841"/>
    </row>
    <row r="47" spans="1:7" ht="19.5" customHeight="1">
      <c r="A47" s="3944"/>
      <c r="B47" s="3937"/>
      <c r="C47" s="2842" t="s">
        <v>2488</v>
      </c>
      <c r="D47" s="2843"/>
      <c r="E47" s="2844">
        <v>1</v>
      </c>
      <c r="F47" s="2841" t="s">
        <v>2489</v>
      </c>
      <c r="G47" s="2841"/>
    </row>
    <row r="48" spans="1:7" ht="19.5" customHeight="1">
      <c r="A48" s="3944"/>
      <c r="B48" s="3937"/>
      <c r="C48" s="2842" t="s">
        <v>2490</v>
      </c>
      <c r="D48" s="2843"/>
      <c r="E48" s="2844">
        <v>1</v>
      </c>
      <c r="F48" s="2841" t="s">
        <v>2491</v>
      </c>
      <c r="G48" s="2841"/>
    </row>
    <row r="49" spans="1:7" ht="19.5" customHeight="1">
      <c r="A49" s="3944"/>
      <c r="B49" s="3937"/>
      <c r="C49" s="2842" t="s">
        <v>2492</v>
      </c>
      <c r="D49" s="2843"/>
      <c r="E49" s="2844">
        <v>1</v>
      </c>
      <c r="F49" s="2841" t="s">
        <v>2493</v>
      </c>
      <c r="G49" s="2841"/>
    </row>
    <row r="50" spans="1:7" ht="19.5" customHeight="1">
      <c r="A50" s="3944"/>
      <c r="B50" s="3937"/>
      <c r="C50" s="2842" t="s">
        <v>2494</v>
      </c>
      <c r="D50" s="2843"/>
      <c r="E50" s="2844">
        <v>1</v>
      </c>
      <c r="F50" s="2841" t="s">
        <v>2495</v>
      </c>
      <c r="G50" s="2841"/>
    </row>
    <row r="51" spans="1:7" ht="19.5" customHeight="1" thickBot="1">
      <c r="A51" s="3945"/>
      <c r="B51" s="3938"/>
      <c r="C51" s="2845" t="s">
        <v>2496</v>
      </c>
      <c r="D51" s="2846"/>
      <c r="E51" s="2847">
        <v>1</v>
      </c>
      <c r="F51" s="2841" t="s">
        <v>2497</v>
      </c>
      <c r="G51" s="2841"/>
    </row>
    <row r="52" spans="1:7" ht="19.5" customHeight="1">
      <c r="A52" s="2854"/>
      <c r="B52" s="2854"/>
      <c r="C52" s="2854"/>
      <c r="D52" s="2854"/>
      <c r="E52" s="2854"/>
      <c r="F52" s="2854"/>
      <c r="G52" s="2854"/>
    </row>
    <row r="54" spans="1:7" ht="19.5" customHeight="1">
      <c r="A54" s="2855"/>
      <c r="B54" s="2827" t="s">
        <v>2636</v>
      </c>
      <c r="C54" s="2827" t="s">
        <v>2636</v>
      </c>
      <c r="D54" s="2827" t="s">
        <v>2636</v>
      </c>
      <c r="E54" s="2830" t="s">
        <v>2636</v>
      </c>
      <c r="F54" s="2830" t="s">
        <v>2637</v>
      </c>
      <c r="G54" s="2830" t="s">
        <v>2638</v>
      </c>
    </row>
    <row r="55" spans="1:7" ht="19.5" customHeight="1">
      <c r="A55" s="2856"/>
      <c r="B55" s="2830" t="s">
        <v>2605</v>
      </c>
      <c r="C55" s="2830" t="s">
        <v>2605</v>
      </c>
      <c r="D55" s="2830" t="s">
        <v>2605</v>
      </c>
      <c r="E55" s="2827" t="s">
        <v>2606</v>
      </c>
      <c r="F55" s="2827" t="s">
        <v>2608</v>
      </c>
      <c r="G55" s="2827" t="s">
        <v>2639</v>
      </c>
    </row>
    <row r="56" spans="1:7" ht="19.5" customHeight="1">
      <c r="A56" s="2857"/>
      <c r="B56" s="2827">
        <v>1</v>
      </c>
      <c r="C56" s="2827">
        <v>2</v>
      </c>
      <c r="D56" s="2827">
        <v>3</v>
      </c>
      <c r="E56" s="2858" t="s">
        <v>2640</v>
      </c>
      <c r="F56" s="2858" t="s">
        <v>2640</v>
      </c>
      <c r="G56" s="2858" t="s">
        <v>2640</v>
      </c>
    </row>
    <row r="57" spans="1:7" ht="19.5" customHeight="1">
      <c r="A57" s="2859" t="s">
        <v>2593</v>
      </c>
      <c r="B57" s="2827">
        <v>0.7</v>
      </c>
      <c r="C57" s="2827">
        <v>0.4</v>
      </c>
      <c r="D57" s="2827">
        <v>0.3</v>
      </c>
      <c r="E57" s="2858">
        <v>0.3</v>
      </c>
      <c r="F57" s="2827">
        <v>0.3</v>
      </c>
      <c r="G57" s="2827">
        <v>0.2</v>
      </c>
    </row>
    <row r="58" spans="1:7" ht="19.5" customHeight="1">
      <c r="A58" s="2859" t="s">
        <v>2594</v>
      </c>
      <c r="B58" s="2827">
        <v>0.7</v>
      </c>
      <c r="C58" s="2827">
        <v>0.4</v>
      </c>
      <c r="D58" s="2827">
        <v>0.3</v>
      </c>
      <c r="E58" s="2827">
        <v>0.3</v>
      </c>
      <c r="F58" s="2827">
        <v>0.3</v>
      </c>
      <c r="G58" s="2827">
        <v>0.2</v>
      </c>
    </row>
    <row r="59" spans="1:7" ht="19.5" customHeight="1">
      <c r="A59" s="2859" t="s">
        <v>2595</v>
      </c>
      <c r="B59" s="2827">
        <v>0.6</v>
      </c>
      <c r="C59" s="2827">
        <v>0.3</v>
      </c>
      <c r="D59" s="2827">
        <v>0.25</v>
      </c>
      <c r="E59" s="2827">
        <v>0.25</v>
      </c>
      <c r="F59" s="2827">
        <v>0.25</v>
      </c>
      <c r="G59" s="2827">
        <v>0.15</v>
      </c>
    </row>
    <row r="60" spans="1:7" ht="19.5" customHeight="1">
      <c r="A60" s="2859" t="s">
        <v>2596</v>
      </c>
      <c r="B60" s="2827">
        <v>0.6</v>
      </c>
      <c r="C60" s="2827">
        <v>0.3</v>
      </c>
      <c r="D60" s="2827">
        <v>0.25</v>
      </c>
      <c r="E60" s="2827">
        <v>0.25</v>
      </c>
      <c r="F60" s="2827">
        <v>0.25</v>
      </c>
      <c r="G60" s="2827">
        <v>0.15</v>
      </c>
    </row>
    <row r="61" spans="1:7" ht="19.5" customHeight="1">
      <c r="A61" s="2859" t="s">
        <v>2597</v>
      </c>
      <c r="B61" s="2827">
        <v>0.6</v>
      </c>
      <c r="C61" s="2827">
        <v>0.3</v>
      </c>
      <c r="D61" s="2827">
        <v>0.25</v>
      </c>
      <c r="E61" s="2827">
        <v>0.25</v>
      </c>
      <c r="F61" s="2827">
        <v>0.25</v>
      </c>
      <c r="G61" s="2827">
        <v>0.15</v>
      </c>
    </row>
    <row r="62" spans="1:7" ht="19.5" customHeight="1">
      <c r="A62" s="2859" t="s">
        <v>2598</v>
      </c>
      <c r="B62" s="2827">
        <v>0.6</v>
      </c>
      <c r="C62" s="2827">
        <v>0.3</v>
      </c>
      <c r="D62" s="2827">
        <v>0.25</v>
      </c>
      <c r="E62" s="2827">
        <v>0.25</v>
      </c>
      <c r="F62" s="2827">
        <v>0.25</v>
      </c>
      <c r="G62" s="2827">
        <v>0.15</v>
      </c>
    </row>
    <row r="63" spans="1:7" ht="19.5" customHeight="1">
      <c r="A63" s="2859" t="s">
        <v>2599</v>
      </c>
      <c r="B63" s="2827">
        <v>0.6</v>
      </c>
      <c r="C63" s="2827">
        <v>0.3</v>
      </c>
      <c r="D63" s="2827">
        <v>0.25</v>
      </c>
      <c r="E63" s="2827">
        <v>0.25</v>
      </c>
      <c r="F63" s="2827">
        <v>0.25</v>
      </c>
      <c r="G63" s="2827">
        <v>0.15</v>
      </c>
    </row>
    <row r="64" spans="1:7" ht="19.5" customHeight="1">
      <c r="A64" s="2859" t="s">
        <v>2600</v>
      </c>
      <c r="B64" s="2827">
        <v>0.5</v>
      </c>
      <c r="C64" s="2827">
        <v>0.2</v>
      </c>
      <c r="D64" s="2827">
        <v>0.2</v>
      </c>
      <c r="E64" s="2827">
        <v>0.2</v>
      </c>
      <c r="F64" s="2827">
        <v>0.2</v>
      </c>
      <c r="G64" s="2827">
        <v>0.1</v>
      </c>
    </row>
    <row r="65" spans="1:7" ht="19.5" customHeight="1">
      <c r="A65" s="2859" t="s">
        <v>2601</v>
      </c>
      <c r="B65" s="2827">
        <v>0.5</v>
      </c>
      <c r="C65" s="2827">
        <v>0.2</v>
      </c>
      <c r="D65" s="2827">
        <v>0.2</v>
      </c>
      <c r="E65" s="2827">
        <v>0.2</v>
      </c>
      <c r="F65" s="2827">
        <v>0.2</v>
      </c>
      <c r="G65" s="2827">
        <v>0.1</v>
      </c>
    </row>
    <row r="66" spans="1:7" ht="19.5" customHeight="1">
      <c r="A66" s="2859" t="s">
        <v>2602</v>
      </c>
      <c r="B66" s="2827">
        <v>0.5</v>
      </c>
      <c r="C66" s="2827">
        <v>0.2</v>
      </c>
      <c r="D66" s="2827">
        <v>0.2</v>
      </c>
      <c r="E66" s="2827">
        <v>0.2</v>
      </c>
      <c r="F66" s="2827">
        <v>0.2</v>
      </c>
      <c r="G66" s="2827">
        <v>0.1</v>
      </c>
    </row>
    <row r="67" spans="1:7" ht="19.5" customHeight="1">
      <c r="A67" s="2859" t="s">
        <v>2603</v>
      </c>
      <c r="B67" s="2827">
        <v>0.5</v>
      </c>
      <c r="C67" s="2827">
        <v>0.2</v>
      </c>
      <c r="D67" s="2827">
        <v>0.2</v>
      </c>
      <c r="E67" s="2827">
        <v>0.2</v>
      </c>
      <c r="F67" s="2827">
        <v>0.2</v>
      </c>
      <c r="G67" s="2827">
        <v>0.1</v>
      </c>
    </row>
    <row r="68" spans="1:7" ht="19.5" customHeight="1">
      <c r="A68" s="2859" t="s">
        <v>2604</v>
      </c>
      <c r="B68" s="2827">
        <v>0.5</v>
      </c>
      <c r="C68" s="2827">
        <v>0.2</v>
      </c>
      <c r="D68" s="2827">
        <v>0.2</v>
      </c>
      <c r="E68" s="2827">
        <v>0.2</v>
      </c>
      <c r="F68" s="2827">
        <v>0.2</v>
      </c>
      <c r="G68" s="2827">
        <v>0.1</v>
      </c>
    </row>
    <row r="70" spans="1:7" ht="19.5" customHeight="1">
      <c r="A70" s="2841"/>
      <c r="B70" s="2860"/>
      <c r="C70" s="2860"/>
      <c r="D70" s="2860" t="s">
        <v>2641</v>
      </c>
      <c r="E70" s="2860"/>
      <c r="F70" s="2860"/>
    </row>
    <row r="71" spans="1:7" ht="19.5" customHeight="1">
      <c r="A71" s="2853" t="s">
        <v>2642</v>
      </c>
      <c r="B71" s="2853" t="s">
        <v>2643</v>
      </c>
      <c r="C71" s="2853" t="s">
        <v>2644</v>
      </c>
      <c r="D71" s="2853" t="s">
        <v>2645</v>
      </c>
      <c r="E71" s="2853" t="s">
        <v>2646</v>
      </c>
      <c r="F71" s="2853" t="s">
        <v>2647</v>
      </c>
    </row>
    <row r="72" spans="1:7" ht="13.5">
      <c r="A72" s="2853"/>
      <c r="B72" s="2853"/>
      <c r="C72" s="2853" t="s">
        <v>2648</v>
      </c>
      <c r="D72" s="2853"/>
      <c r="E72" s="2853" t="s">
        <v>2619</v>
      </c>
      <c r="F72" s="2853" t="s">
        <v>2619</v>
      </c>
    </row>
    <row r="73" spans="1:7" ht="13.5">
      <c r="A73" s="2853">
        <v>1</v>
      </c>
      <c r="B73" s="3942" t="s">
        <v>2649</v>
      </c>
      <c r="C73" s="2827" t="s">
        <v>2650</v>
      </c>
      <c r="D73" s="2827" t="s">
        <v>2651</v>
      </c>
      <c r="E73" s="2853">
        <v>0.2</v>
      </c>
      <c r="F73" s="2853">
        <v>25</v>
      </c>
    </row>
    <row r="74" spans="1:7" ht="24">
      <c r="A74" s="2853">
        <v>2</v>
      </c>
      <c r="B74" s="3937"/>
      <c r="C74" s="2827" t="s">
        <v>2652</v>
      </c>
      <c r="D74" s="2827" t="s">
        <v>2653</v>
      </c>
      <c r="E74" s="2853">
        <v>0.2</v>
      </c>
      <c r="F74" s="2853">
        <v>25</v>
      </c>
    </row>
    <row r="75" spans="1:7" ht="24">
      <c r="A75" s="2853">
        <v>3</v>
      </c>
      <c r="B75" s="3937"/>
      <c r="C75" s="2827" t="s">
        <v>2654</v>
      </c>
      <c r="D75" s="2827" t="s">
        <v>2655</v>
      </c>
      <c r="E75" s="2853">
        <v>0.2</v>
      </c>
      <c r="F75" s="2853">
        <v>25</v>
      </c>
    </row>
    <row r="76" spans="1:7" ht="13.5">
      <c r="A76" s="2853">
        <v>4</v>
      </c>
      <c r="B76" s="3937"/>
      <c r="C76" s="2827" t="s">
        <v>2656</v>
      </c>
      <c r="D76" s="2827" t="s">
        <v>2657</v>
      </c>
      <c r="E76" s="2853">
        <v>0.15</v>
      </c>
      <c r="F76" s="2853">
        <v>20</v>
      </c>
    </row>
    <row r="77" spans="1:7" ht="24">
      <c r="A77" s="2853">
        <v>5</v>
      </c>
      <c r="B77" s="3937"/>
      <c r="C77" s="2827" t="s">
        <v>2658</v>
      </c>
      <c r="D77" s="2827" t="s">
        <v>2659</v>
      </c>
      <c r="E77" s="2853">
        <v>0.15</v>
      </c>
      <c r="F77" s="2853">
        <v>20</v>
      </c>
    </row>
    <row r="78" spans="1:7" ht="24">
      <c r="A78" s="2853">
        <v>6</v>
      </c>
      <c r="B78" s="3937"/>
      <c r="C78" s="2827" t="s">
        <v>2660</v>
      </c>
      <c r="D78" s="2827" t="s">
        <v>2661</v>
      </c>
      <c r="E78" s="2853">
        <v>0.15</v>
      </c>
      <c r="F78" s="2853">
        <v>20</v>
      </c>
    </row>
    <row r="79" spans="1:7" ht="24">
      <c r="A79" s="2853">
        <v>7</v>
      </c>
      <c r="B79" s="3937"/>
      <c r="C79" s="2827" t="s">
        <v>2662</v>
      </c>
      <c r="D79" s="2827" t="s">
        <v>2663</v>
      </c>
      <c r="E79" s="2853">
        <v>0.15</v>
      </c>
      <c r="F79" s="2853">
        <v>20</v>
      </c>
    </row>
    <row r="80" spans="1:7" ht="24">
      <c r="A80" s="2853">
        <v>8</v>
      </c>
      <c r="B80" s="3937"/>
      <c r="C80" s="2827" t="s">
        <v>2664</v>
      </c>
      <c r="D80" s="2827" t="s">
        <v>2665</v>
      </c>
      <c r="E80" s="2853">
        <v>0.1</v>
      </c>
      <c r="F80" s="2853">
        <v>15</v>
      </c>
    </row>
    <row r="81" spans="1:6" ht="24">
      <c r="A81" s="2853">
        <v>9</v>
      </c>
      <c r="B81" s="3937"/>
      <c r="C81" s="2827" t="s">
        <v>2666</v>
      </c>
      <c r="D81" s="2827" t="s">
        <v>2667</v>
      </c>
      <c r="E81" s="2853">
        <v>0.1</v>
      </c>
      <c r="F81" s="2853">
        <v>15</v>
      </c>
    </row>
    <row r="82" spans="1:6" ht="24">
      <c r="A82" s="2853">
        <v>10</v>
      </c>
      <c r="B82" s="3937"/>
      <c r="C82" s="2827" t="s">
        <v>2668</v>
      </c>
      <c r="D82" s="2827" t="s">
        <v>2669</v>
      </c>
      <c r="E82" s="2853">
        <v>0.1</v>
      </c>
      <c r="F82" s="2853">
        <v>15</v>
      </c>
    </row>
    <row r="83" spans="1:6" ht="24">
      <c r="A83" s="2853">
        <v>11</v>
      </c>
      <c r="B83" s="3937"/>
      <c r="C83" s="2827" t="s">
        <v>2670</v>
      </c>
      <c r="D83" s="2827" t="s">
        <v>2671</v>
      </c>
      <c r="E83" s="2853">
        <v>0.1</v>
      </c>
      <c r="F83" s="2853">
        <v>15</v>
      </c>
    </row>
    <row r="84" spans="1:6" ht="24">
      <c r="A84" s="2853">
        <v>12</v>
      </c>
      <c r="B84" s="3937"/>
      <c r="C84" s="2827" t="s">
        <v>2672</v>
      </c>
      <c r="D84" s="2827" t="s">
        <v>2673</v>
      </c>
      <c r="E84" s="2853">
        <v>0.1</v>
      </c>
      <c r="F84" s="2853">
        <v>15</v>
      </c>
    </row>
    <row r="85" spans="1:6" ht="13.5">
      <c r="A85" s="2853">
        <v>13</v>
      </c>
      <c r="B85" s="3937"/>
      <c r="C85" s="2827" t="s">
        <v>2674</v>
      </c>
      <c r="D85" s="2827" t="s">
        <v>2675</v>
      </c>
      <c r="E85" s="2853">
        <v>0.1</v>
      </c>
      <c r="F85" s="2853">
        <v>15</v>
      </c>
    </row>
    <row r="86" spans="1:6" ht="13.5">
      <c r="A86" s="2853">
        <v>14</v>
      </c>
      <c r="B86" s="3937"/>
      <c r="C86" s="2827" t="s">
        <v>2676</v>
      </c>
      <c r="D86" s="2827" t="s">
        <v>2677</v>
      </c>
      <c r="E86" s="2853">
        <v>0.1</v>
      </c>
      <c r="F86" s="2853">
        <v>15</v>
      </c>
    </row>
    <row r="87" spans="1:6" ht="13.5">
      <c r="A87" s="2853">
        <v>15</v>
      </c>
      <c r="B87" s="3937"/>
      <c r="C87" s="2827" t="s">
        <v>2678</v>
      </c>
      <c r="D87" s="2827" t="s">
        <v>2679</v>
      </c>
      <c r="E87" s="2853">
        <v>0.1</v>
      </c>
      <c r="F87" s="2853">
        <v>15</v>
      </c>
    </row>
    <row r="88" spans="1:6" ht="24">
      <c r="A88" s="2853">
        <v>16</v>
      </c>
      <c r="B88" s="3937"/>
      <c r="C88" s="2827" t="s">
        <v>2680</v>
      </c>
      <c r="D88" s="2827" t="s">
        <v>2681</v>
      </c>
      <c r="E88" s="2853">
        <v>0.1</v>
      </c>
      <c r="F88" s="2853">
        <v>15</v>
      </c>
    </row>
    <row r="89" spans="1:6" ht="24">
      <c r="A89" s="2853">
        <v>17</v>
      </c>
      <c r="B89" s="3946"/>
      <c r="C89" s="2827" t="s">
        <v>2682</v>
      </c>
      <c r="D89" s="2827" t="s">
        <v>2683</v>
      </c>
      <c r="E89" s="2853">
        <v>0.1</v>
      </c>
      <c r="F89" s="2853">
        <v>15</v>
      </c>
    </row>
    <row r="90" spans="1:6" ht="13.5">
      <c r="A90" s="2853">
        <v>18</v>
      </c>
      <c r="B90" s="3942" t="s">
        <v>2684</v>
      </c>
      <c r="C90" s="2827" t="s">
        <v>2685</v>
      </c>
      <c r="D90" s="2827" t="s">
        <v>2686</v>
      </c>
      <c r="E90" s="2853">
        <v>0.2</v>
      </c>
      <c r="F90" s="2853">
        <v>25</v>
      </c>
    </row>
    <row r="91" spans="1:6" ht="24">
      <c r="A91" s="2853">
        <v>19</v>
      </c>
      <c r="B91" s="3937"/>
      <c r="C91" s="2827" t="s">
        <v>2687</v>
      </c>
      <c r="D91" s="2827" t="s">
        <v>2688</v>
      </c>
      <c r="E91" s="2853">
        <v>0.2</v>
      </c>
      <c r="F91" s="2853">
        <v>25</v>
      </c>
    </row>
    <row r="92" spans="1:6" ht="13.5">
      <c r="A92" s="2853">
        <v>20</v>
      </c>
      <c r="B92" s="3937"/>
      <c r="C92" s="2827" t="s">
        <v>2689</v>
      </c>
      <c r="D92" s="2827" t="s">
        <v>2690</v>
      </c>
      <c r="E92" s="2853">
        <v>0.15</v>
      </c>
      <c r="F92" s="2853">
        <v>20</v>
      </c>
    </row>
    <row r="93" spans="1:6" ht="13.5">
      <c r="A93" s="2853">
        <v>21</v>
      </c>
      <c r="B93" s="3937"/>
      <c r="C93" s="2827" t="s">
        <v>2691</v>
      </c>
      <c r="D93" s="2827" t="s">
        <v>2692</v>
      </c>
      <c r="E93" s="2853">
        <v>0.15</v>
      </c>
      <c r="F93" s="2853">
        <v>20</v>
      </c>
    </row>
    <row r="94" spans="1:6" ht="13.5">
      <c r="A94" s="2853">
        <v>22</v>
      </c>
      <c r="B94" s="3937"/>
      <c r="C94" s="2827" t="s">
        <v>2693</v>
      </c>
      <c r="D94" s="2827" t="s">
        <v>2694</v>
      </c>
      <c r="E94" s="2853">
        <v>0.15</v>
      </c>
      <c r="F94" s="2853">
        <v>20</v>
      </c>
    </row>
    <row r="95" spans="1:6" ht="36">
      <c r="A95" s="2853">
        <v>23</v>
      </c>
      <c r="B95" s="3937"/>
      <c r="C95" s="2827" t="s">
        <v>2695</v>
      </c>
      <c r="D95" s="2827" t="s">
        <v>2696</v>
      </c>
      <c r="E95" s="2853">
        <v>0.15</v>
      </c>
      <c r="F95" s="2853">
        <v>20</v>
      </c>
    </row>
    <row r="96" spans="1:6" ht="13.5">
      <c r="A96" s="2853">
        <v>24</v>
      </c>
      <c r="B96" s="3937"/>
      <c r="C96" s="2827" t="s">
        <v>2697</v>
      </c>
      <c r="D96" s="2827" t="s">
        <v>2698</v>
      </c>
      <c r="E96" s="2853">
        <v>0.1</v>
      </c>
      <c r="F96" s="2853">
        <v>15</v>
      </c>
    </row>
    <row r="97" spans="1:6" ht="13.5">
      <c r="A97" s="2853">
        <v>25</v>
      </c>
      <c r="B97" s="3937"/>
      <c r="C97" s="2827" t="s">
        <v>2699</v>
      </c>
      <c r="D97" s="2827" t="s">
        <v>2700</v>
      </c>
      <c r="E97" s="2853">
        <v>0.1</v>
      </c>
      <c r="F97" s="2853">
        <v>15</v>
      </c>
    </row>
    <row r="98" spans="1:6" ht="24">
      <c r="A98" s="2853">
        <v>26</v>
      </c>
      <c r="B98" s="3937"/>
      <c r="C98" s="2827" t="s">
        <v>2701</v>
      </c>
      <c r="D98" s="2827" t="s">
        <v>2702</v>
      </c>
      <c r="E98" s="2853">
        <v>0.1</v>
      </c>
      <c r="F98" s="2853">
        <v>15</v>
      </c>
    </row>
    <row r="99" spans="1:6" ht="24">
      <c r="A99" s="2853">
        <v>27</v>
      </c>
      <c r="B99" s="3937"/>
      <c r="C99" s="2827" t="s">
        <v>2703</v>
      </c>
      <c r="D99" s="2827" t="s">
        <v>2704</v>
      </c>
      <c r="E99" s="2853">
        <v>0.1</v>
      </c>
      <c r="F99" s="2853">
        <v>15</v>
      </c>
    </row>
    <row r="100" spans="1:6" ht="13.5">
      <c r="A100" s="2853">
        <v>28</v>
      </c>
      <c r="B100" s="3937"/>
      <c r="C100" s="2827" t="s">
        <v>2705</v>
      </c>
      <c r="D100" s="2827" t="s">
        <v>2706</v>
      </c>
      <c r="E100" s="2853">
        <v>0.1</v>
      </c>
      <c r="F100" s="2853">
        <v>15</v>
      </c>
    </row>
    <row r="101" spans="1:6" ht="13.5">
      <c r="A101" s="2853">
        <v>29</v>
      </c>
      <c r="B101" s="3937"/>
      <c r="C101" s="2827" t="s">
        <v>2707</v>
      </c>
      <c r="D101" s="2827" t="s">
        <v>2708</v>
      </c>
      <c r="E101" s="2853">
        <v>0.1</v>
      </c>
      <c r="F101" s="2853">
        <v>15</v>
      </c>
    </row>
    <row r="102" spans="1:6" ht="13.5">
      <c r="A102" s="2853">
        <v>30</v>
      </c>
      <c r="B102" s="3937"/>
      <c r="C102" s="2827" t="s">
        <v>2709</v>
      </c>
      <c r="D102" s="2827" t="s">
        <v>2710</v>
      </c>
      <c r="E102" s="2853">
        <v>0.1</v>
      </c>
      <c r="F102" s="2853">
        <v>15</v>
      </c>
    </row>
    <row r="103" spans="1:6" ht="24">
      <c r="A103" s="2853">
        <v>31</v>
      </c>
      <c r="B103" s="3937"/>
      <c r="C103" s="2827" t="s">
        <v>2711</v>
      </c>
      <c r="D103" s="2827" t="s">
        <v>2712</v>
      </c>
      <c r="E103" s="2853">
        <v>0.1</v>
      </c>
      <c r="F103" s="2853">
        <v>15</v>
      </c>
    </row>
    <row r="104" spans="1:6" ht="24">
      <c r="A104" s="2853">
        <v>32</v>
      </c>
      <c r="B104" s="3937"/>
      <c r="C104" s="2827" t="s">
        <v>2713</v>
      </c>
      <c r="D104" s="2827" t="s">
        <v>2714</v>
      </c>
      <c r="E104" s="2853">
        <v>0.1</v>
      </c>
      <c r="F104" s="2853">
        <v>15</v>
      </c>
    </row>
    <row r="105" spans="1:6" ht="24">
      <c r="A105" s="2853">
        <v>33</v>
      </c>
      <c r="B105" s="3937"/>
      <c r="C105" s="2827" t="s">
        <v>2715</v>
      </c>
      <c r="D105" s="2827" t="s">
        <v>2716</v>
      </c>
      <c r="E105" s="2853">
        <v>0.1</v>
      </c>
      <c r="F105" s="2853">
        <v>15</v>
      </c>
    </row>
    <row r="106" spans="1:6" ht="24">
      <c r="A106" s="2853">
        <v>34</v>
      </c>
      <c r="B106" s="3946"/>
      <c r="C106" s="2827" t="s">
        <v>2717</v>
      </c>
      <c r="D106" s="2827" t="s">
        <v>2718</v>
      </c>
      <c r="E106" s="2853">
        <v>0.1</v>
      </c>
      <c r="F106" s="2853">
        <v>15</v>
      </c>
    </row>
    <row r="107" spans="1:6" ht="24">
      <c r="A107" s="2853">
        <v>35</v>
      </c>
      <c r="B107" s="3942" t="s">
        <v>2719</v>
      </c>
      <c r="C107" s="2853" t="s">
        <v>2720</v>
      </c>
      <c r="D107" s="2827" t="s">
        <v>2721</v>
      </c>
      <c r="E107" s="2853">
        <v>0.15</v>
      </c>
      <c r="F107" s="2853">
        <v>20</v>
      </c>
    </row>
    <row r="108" spans="1:6" ht="13.5">
      <c r="A108" s="2853">
        <v>36</v>
      </c>
      <c r="B108" s="3937"/>
      <c r="C108" s="2853" t="s">
        <v>2722</v>
      </c>
      <c r="D108" s="2827" t="s">
        <v>2723</v>
      </c>
      <c r="E108" s="2853">
        <v>0.15</v>
      </c>
      <c r="F108" s="2853">
        <v>20</v>
      </c>
    </row>
    <row r="109" spans="1:6" ht="13.5">
      <c r="A109" s="2853">
        <v>37</v>
      </c>
      <c r="B109" s="3937"/>
      <c r="C109" s="2853" t="s">
        <v>2724</v>
      </c>
      <c r="D109" s="2827" t="s">
        <v>2725</v>
      </c>
      <c r="E109" s="2853">
        <v>0.15</v>
      </c>
      <c r="F109" s="2853">
        <v>20</v>
      </c>
    </row>
    <row r="110" spans="1:6" ht="13.5">
      <c r="A110" s="2853">
        <v>38</v>
      </c>
      <c r="B110" s="3937"/>
      <c r="C110" s="2853" t="s">
        <v>2726</v>
      </c>
      <c r="D110" s="2827" t="s">
        <v>2727</v>
      </c>
      <c r="E110" s="2853">
        <v>0.1</v>
      </c>
      <c r="F110" s="2853">
        <v>15</v>
      </c>
    </row>
    <row r="111" spans="1:6" ht="24">
      <c r="A111" s="2853">
        <v>39</v>
      </c>
      <c r="B111" s="3937"/>
      <c r="C111" s="2853" t="s">
        <v>2728</v>
      </c>
      <c r="D111" s="2827" t="s">
        <v>2729</v>
      </c>
      <c r="E111" s="2853">
        <v>0.1</v>
      </c>
      <c r="F111" s="2853">
        <v>15</v>
      </c>
    </row>
    <row r="112" spans="1:6" ht="24">
      <c r="A112" s="2853">
        <v>40</v>
      </c>
      <c r="B112" s="3946"/>
      <c r="C112" s="2853" t="s">
        <v>2730</v>
      </c>
      <c r="D112" s="2827" t="s">
        <v>2731</v>
      </c>
      <c r="E112" s="2853">
        <v>0.1</v>
      </c>
      <c r="F112" s="2853">
        <v>15</v>
      </c>
    </row>
    <row r="113" spans="1:6" ht="13.5">
      <c r="A113" s="2853">
        <v>41</v>
      </c>
      <c r="B113" s="3947" t="s">
        <v>2732</v>
      </c>
      <c r="C113" s="2853" t="s">
        <v>2733</v>
      </c>
      <c r="D113" s="2827" t="s">
        <v>2734</v>
      </c>
      <c r="E113" s="2853">
        <v>0.1</v>
      </c>
      <c r="F113" s="2853">
        <v>15</v>
      </c>
    </row>
    <row r="114" spans="1:6" ht="13.5">
      <c r="A114" s="2853">
        <v>42</v>
      </c>
      <c r="B114" s="3947"/>
      <c r="C114" s="2853" t="s">
        <v>2735</v>
      </c>
      <c r="D114" s="2827" t="s">
        <v>2736</v>
      </c>
      <c r="E114" s="2853">
        <v>0.1</v>
      </c>
      <c r="F114" s="2853">
        <v>15</v>
      </c>
    </row>
    <row r="115" spans="1:6" ht="24">
      <c r="A115" s="2853">
        <v>43</v>
      </c>
      <c r="B115" s="3947"/>
      <c r="C115" s="2853" t="s">
        <v>2737</v>
      </c>
      <c r="D115" s="2827" t="s">
        <v>2738</v>
      </c>
      <c r="E115" s="2853">
        <v>0.1</v>
      </c>
      <c r="F115" s="2853">
        <v>15</v>
      </c>
    </row>
    <row r="116" spans="1:6" ht="13.5">
      <c r="A116" s="2853">
        <v>44</v>
      </c>
      <c r="B116" s="3942" t="s">
        <v>2739</v>
      </c>
      <c r="C116" s="2853" t="s">
        <v>2740</v>
      </c>
      <c r="D116" s="2827" t="s">
        <v>2741</v>
      </c>
      <c r="E116" s="2853">
        <v>0.1</v>
      </c>
      <c r="F116" s="2853">
        <v>15</v>
      </c>
    </row>
    <row r="117" spans="1:6" ht="24">
      <c r="A117" s="2853">
        <v>45</v>
      </c>
      <c r="B117" s="3946"/>
      <c r="C117" s="2827" t="s">
        <v>2742</v>
      </c>
      <c r="D117" s="2827" t="s">
        <v>2743</v>
      </c>
      <c r="E117" s="2853">
        <v>0.1</v>
      </c>
      <c r="F117" s="2853">
        <v>15</v>
      </c>
    </row>
    <row r="118" spans="1:6" ht="24">
      <c r="A118" s="2853">
        <v>46</v>
      </c>
      <c r="B118" s="3942" t="s">
        <v>2744</v>
      </c>
      <c r="C118" s="2853" t="s">
        <v>2745</v>
      </c>
      <c r="D118" s="2827" t="s">
        <v>2746</v>
      </c>
      <c r="E118" s="2853">
        <v>0.1</v>
      </c>
      <c r="F118" s="2853">
        <v>15</v>
      </c>
    </row>
    <row r="119" spans="1:6" ht="24">
      <c r="A119" s="2853">
        <v>47</v>
      </c>
      <c r="B119" s="3946"/>
      <c r="C119" s="2853" t="s">
        <v>2747</v>
      </c>
      <c r="D119" s="2827" t="s">
        <v>2748</v>
      </c>
      <c r="E119" s="2853">
        <v>0.1</v>
      </c>
      <c r="F119" s="2853">
        <v>15</v>
      </c>
    </row>
    <row r="120" spans="1:6" ht="13.5">
      <c r="A120" s="2853">
        <v>48</v>
      </c>
      <c r="B120" s="3942" t="s">
        <v>2749</v>
      </c>
      <c r="C120" s="2853" t="s">
        <v>2750</v>
      </c>
      <c r="D120" s="2827" t="s">
        <v>2751</v>
      </c>
      <c r="E120" s="2853">
        <v>0.1</v>
      </c>
      <c r="F120" s="2853">
        <v>15</v>
      </c>
    </row>
    <row r="121" spans="1:6" ht="13.5">
      <c r="A121" s="2853">
        <v>49</v>
      </c>
      <c r="B121" s="3946"/>
      <c r="C121" s="2853" t="s">
        <v>2752</v>
      </c>
      <c r="D121" s="2827" t="s">
        <v>2753</v>
      </c>
      <c r="E121" s="2853">
        <v>0.1</v>
      </c>
      <c r="F121" s="2853">
        <v>15</v>
      </c>
    </row>
    <row r="122" spans="1:6" ht="24">
      <c r="A122" s="2853">
        <v>50</v>
      </c>
      <c r="B122" s="3947" t="s">
        <v>2754</v>
      </c>
      <c r="C122" s="2853" t="s">
        <v>2755</v>
      </c>
      <c r="D122" s="2827" t="s">
        <v>2756</v>
      </c>
      <c r="E122" s="2853">
        <v>0.1</v>
      </c>
      <c r="F122" s="2853">
        <v>15</v>
      </c>
    </row>
    <row r="123" spans="1:6" ht="24">
      <c r="A123" s="2853">
        <v>51</v>
      </c>
      <c r="B123" s="3947"/>
      <c r="C123" s="2853" t="s">
        <v>2757</v>
      </c>
      <c r="D123" s="2827" t="s">
        <v>2758</v>
      </c>
      <c r="E123" s="2853">
        <v>0.1</v>
      </c>
      <c r="F123" s="2853">
        <v>15</v>
      </c>
    </row>
    <row r="124" spans="1:6" ht="24">
      <c r="A124" s="2853">
        <v>52</v>
      </c>
      <c r="B124" s="3947" t="s">
        <v>2759</v>
      </c>
      <c r="C124" s="2853" t="s">
        <v>2760</v>
      </c>
      <c r="D124" s="2827" t="s">
        <v>2761</v>
      </c>
      <c r="E124" s="2853">
        <v>0.1</v>
      </c>
      <c r="F124" s="2853">
        <v>15</v>
      </c>
    </row>
    <row r="125" spans="1:6" ht="24">
      <c r="A125" s="2853">
        <v>53</v>
      </c>
      <c r="B125" s="3947"/>
      <c r="C125" s="2853" t="s">
        <v>2762</v>
      </c>
      <c r="D125" s="2827" t="s">
        <v>2763</v>
      </c>
      <c r="E125" s="2853">
        <v>0.1</v>
      </c>
      <c r="F125" s="2853">
        <v>15</v>
      </c>
    </row>
    <row r="126" spans="1:6" ht="13.5">
      <c r="A126" s="2853">
        <v>54</v>
      </c>
      <c r="B126" s="2853" t="s">
        <v>2764</v>
      </c>
      <c r="C126" s="2853" t="s">
        <v>2765</v>
      </c>
      <c r="D126" s="2827" t="s">
        <v>2766</v>
      </c>
      <c r="E126" s="2853">
        <v>0.1</v>
      </c>
      <c r="F126" s="2853">
        <v>15</v>
      </c>
    </row>
    <row r="127" spans="1:6" ht="13.5">
      <c r="A127" s="2853">
        <v>55</v>
      </c>
      <c r="B127" s="3947" t="s">
        <v>2767</v>
      </c>
      <c r="C127" s="2853" t="s">
        <v>2768</v>
      </c>
      <c r="D127" s="2827" t="s">
        <v>2769</v>
      </c>
      <c r="E127" s="2853">
        <v>0.1</v>
      </c>
      <c r="F127" s="2853">
        <v>15</v>
      </c>
    </row>
    <row r="128" spans="1:6" ht="13.5">
      <c r="A128" s="2853">
        <v>56</v>
      </c>
      <c r="B128" s="3947"/>
      <c r="C128" s="2853" t="s">
        <v>2770</v>
      </c>
      <c r="D128" s="2827" t="s">
        <v>2771</v>
      </c>
      <c r="E128" s="2853">
        <v>0.1</v>
      </c>
      <c r="F128" s="2853">
        <v>15</v>
      </c>
    </row>
    <row r="129" spans="1:6" ht="24">
      <c r="A129" s="2853">
        <v>57</v>
      </c>
      <c r="B129" s="3947"/>
      <c r="C129" s="2853" t="s">
        <v>2772</v>
      </c>
      <c r="D129" s="2827" t="s">
        <v>2773</v>
      </c>
      <c r="E129" s="2853">
        <v>0.1</v>
      </c>
      <c r="F129" s="2853">
        <v>15</v>
      </c>
    </row>
    <row r="130" spans="1:6" ht="24">
      <c r="A130" s="2853">
        <v>58</v>
      </c>
      <c r="B130" s="3947" t="s">
        <v>2774</v>
      </c>
      <c r="C130" s="2853" t="s">
        <v>2775</v>
      </c>
      <c r="D130" s="2827" t="s">
        <v>2776</v>
      </c>
      <c r="E130" s="2853">
        <v>0.1</v>
      </c>
      <c r="F130" s="2853">
        <v>15</v>
      </c>
    </row>
    <row r="131" spans="1:6" ht="13.5">
      <c r="A131" s="2853">
        <v>59</v>
      </c>
      <c r="B131" s="3947"/>
      <c r="C131" s="2853" t="s">
        <v>2777</v>
      </c>
      <c r="D131" s="2827" t="s">
        <v>2778</v>
      </c>
      <c r="E131" s="2853">
        <v>0.1</v>
      </c>
      <c r="F131" s="2853">
        <v>15</v>
      </c>
    </row>
    <row r="132" spans="1:6" ht="13.5">
      <c r="A132" s="2853">
        <v>60</v>
      </c>
      <c r="B132" s="3942" t="s">
        <v>2779</v>
      </c>
      <c r="C132" s="2853" t="s">
        <v>2780</v>
      </c>
      <c r="D132" s="2827" t="s">
        <v>2781</v>
      </c>
      <c r="E132" s="2853">
        <v>0.1</v>
      </c>
      <c r="F132" s="2853">
        <v>15</v>
      </c>
    </row>
    <row r="133" spans="1:6" ht="13.5">
      <c r="A133" s="2853">
        <v>61</v>
      </c>
      <c r="B133" s="3946"/>
      <c r="C133" s="2853" t="s">
        <v>2782</v>
      </c>
      <c r="D133" s="2827" t="s">
        <v>2783</v>
      </c>
      <c r="E133" s="2853">
        <v>0.1</v>
      </c>
      <c r="F133" s="2853">
        <v>15</v>
      </c>
    </row>
    <row r="134" spans="1:6" ht="24">
      <c r="A134" s="2853">
        <v>62</v>
      </c>
      <c r="B134" s="2853" t="s">
        <v>2784</v>
      </c>
      <c r="C134" s="2853" t="s">
        <v>2785</v>
      </c>
      <c r="D134" s="2827" t="s">
        <v>2786</v>
      </c>
      <c r="E134" s="2853">
        <v>0.1</v>
      </c>
      <c r="F134" s="2853">
        <v>15</v>
      </c>
    </row>
    <row r="135" spans="1:6" ht="13.5">
      <c r="A135" s="2853">
        <v>63</v>
      </c>
      <c r="B135" s="3947" t="s">
        <v>2787</v>
      </c>
      <c r="C135" s="2853" t="s">
        <v>2788</v>
      </c>
      <c r="D135" s="2827" t="s">
        <v>2789</v>
      </c>
      <c r="E135" s="2853">
        <v>0.1</v>
      </c>
      <c r="F135" s="2853">
        <v>15</v>
      </c>
    </row>
    <row r="136" spans="1:6" ht="13.5">
      <c r="A136" s="2853">
        <v>64</v>
      </c>
      <c r="B136" s="3947"/>
      <c r="C136" s="2853" t="s">
        <v>2790</v>
      </c>
      <c r="D136" s="2827" t="s">
        <v>2791</v>
      </c>
      <c r="E136" s="2853">
        <v>0.1</v>
      </c>
      <c r="F136" s="2853">
        <v>15</v>
      </c>
    </row>
    <row r="137" spans="1:6" ht="13.5">
      <c r="A137" s="2853">
        <v>65</v>
      </c>
      <c r="B137" s="2853" t="s">
        <v>2792</v>
      </c>
      <c r="C137" s="2853" t="s">
        <v>2793</v>
      </c>
      <c r="D137" s="2827" t="s">
        <v>2794</v>
      </c>
      <c r="E137" s="2853">
        <v>0.1</v>
      </c>
      <c r="F137" s="2853">
        <v>15</v>
      </c>
    </row>
    <row r="138" spans="1:6" ht="13.5">
      <c r="A138" s="2853"/>
      <c r="B138" s="2853"/>
      <c r="C138" s="2853"/>
      <c r="D138" s="2853"/>
      <c r="E138" s="2853" t="s">
        <v>2795</v>
      </c>
      <c r="F138" s="2853"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2796</v>
      </c>
      <c r="B1" s="2861"/>
      <c r="C1" s="2861"/>
      <c r="D1" s="2861"/>
      <c r="E1" s="2861"/>
      <c r="F1" s="2861"/>
      <c r="G1" s="2861"/>
      <c r="H1" s="2861"/>
      <c r="I1" s="2861"/>
      <c r="J1" s="2861"/>
      <c r="K1" s="2861"/>
      <c r="L1" s="2861"/>
      <c r="M1" s="2861"/>
      <c r="N1" s="707"/>
    </row>
    <row r="2" spans="1:20">
      <c r="A2" s="2862" t="s">
        <v>2797</v>
      </c>
      <c r="B2" s="2863" t="s">
        <v>2593</v>
      </c>
      <c r="C2" s="2863" t="s">
        <v>2594</v>
      </c>
      <c r="D2" s="2863" t="s">
        <v>2595</v>
      </c>
      <c r="E2" s="2863" t="s">
        <v>2596</v>
      </c>
      <c r="F2" s="2863" t="s">
        <v>2597</v>
      </c>
      <c r="G2" s="2863" t="s">
        <v>2598</v>
      </c>
      <c r="H2" s="2864" t="s">
        <v>2599</v>
      </c>
      <c r="I2" s="2864" t="s">
        <v>2600</v>
      </c>
      <c r="J2" s="2865" t="s">
        <v>2601</v>
      </c>
      <c r="K2" s="2865" t="s">
        <v>2602</v>
      </c>
      <c r="L2" s="2865" t="s">
        <v>2603</v>
      </c>
      <c r="M2" s="2866" t="s">
        <v>2604</v>
      </c>
      <c r="Q2" s="2876" t="s">
        <v>2802</v>
      </c>
      <c r="R2" s="2876" t="s">
        <v>2803</v>
      </c>
      <c r="S2" s="2876" t="s">
        <v>2804</v>
      </c>
      <c r="T2" s="2876" t="s">
        <v>2805</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2798</v>
      </c>
      <c r="B93" s="2861"/>
      <c r="C93" s="2861"/>
      <c r="D93" s="2861"/>
      <c r="E93" s="2861"/>
      <c r="F93" s="2861"/>
      <c r="G93" s="2861"/>
      <c r="H93" s="2861"/>
      <c r="I93" s="2861"/>
      <c r="J93" s="2861"/>
      <c r="K93" s="2861"/>
      <c r="L93" s="2861"/>
      <c r="M93" s="2861"/>
    </row>
    <row r="94" spans="1:20">
      <c r="A94" s="2862" t="s">
        <v>2797</v>
      </c>
      <c r="B94" s="2863" t="s">
        <v>2593</v>
      </c>
      <c r="C94" s="2863" t="s">
        <v>2594</v>
      </c>
      <c r="D94" s="2863" t="s">
        <v>2595</v>
      </c>
      <c r="E94" s="2863" t="s">
        <v>2596</v>
      </c>
      <c r="F94" s="2863" t="s">
        <v>2597</v>
      </c>
      <c r="G94" s="2863" t="s">
        <v>2598</v>
      </c>
      <c r="H94" s="2864" t="s">
        <v>2599</v>
      </c>
      <c r="I94" s="2864" t="s">
        <v>2600</v>
      </c>
      <c r="J94" s="2865" t="s">
        <v>2601</v>
      </c>
      <c r="K94" s="2865" t="s">
        <v>2602</v>
      </c>
      <c r="L94" s="2865" t="s">
        <v>2603</v>
      </c>
      <c r="M94" s="2866" t="s">
        <v>2604</v>
      </c>
      <c r="N94">
        <f>SUMPRODUCT((A95:A184=ROUNDDOWN(基准地价修正!G3,1))*(B94:M94=基准地价修正!G2)*(B95:M184))</f>
        <v>1.0082</v>
      </c>
      <c r="Q94" s="2876" t="s">
        <v>2802</v>
      </c>
      <c r="R94" s="2876" t="s">
        <v>2803</v>
      </c>
      <c r="S94" s="2876" t="s">
        <v>2804</v>
      </c>
      <c r="T94" s="2876" t="s">
        <v>2805</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2799</v>
      </c>
      <c r="B185" s="2861"/>
      <c r="C185" s="2861"/>
      <c r="D185" s="2861"/>
      <c r="E185" s="2861"/>
      <c r="F185" s="2861"/>
      <c r="G185" s="2861"/>
      <c r="H185" s="2861"/>
      <c r="I185" s="2861"/>
      <c r="J185" s="2861"/>
      <c r="K185" s="2861"/>
      <c r="L185" s="2861"/>
      <c r="M185" s="2861"/>
    </row>
    <row r="186" spans="1:20">
      <c r="A186" s="2862" t="s">
        <v>2797</v>
      </c>
      <c r="B186" s="2863" t="s">
        <v>2593</v>
      </c>
      <c r="C186" s="2863" t="s">
        <v>2594</v>
      </c>
      <c r="D186" s="2863" t="s">
        <v>2595</v>
      </c>
      <c r="E186" s="2863" t="s">
        <v>2596</v>
      </c>
      <c r="F186" s="2863" t="s">
        <v>2597</v>
      </c>
      <c r="G186" s="2863" t="s">
        <v>2598</v>
      </c>
      <c r="H186" s="2864" t="s">
        <v>2599</v>
      </c>
      <c r="I186" s="2864" t="s">
        <v>2600</v>
      </c>
      <c r="J186" s="2865" t="s">
        <v>2601</v>
      </c>
      <c r="K186" s="2865" t="s">
        <v>2602</v>
      </c>
      <c r="L186" s="2865" t="s">
        <v>2603</v>
      </c>
      <c r="M186" s="2866" t="s">
        <v>2604</v>
      </c>
      <c r="Q186" s="2876" t="s">
        <v>2802</v>
      </c>
      <c r="R186" s="2876" t="s">
        <v>2803</v>
      </c>
      <c r="S186" s="2876" t="s">
        <v>2804</v>
      </c>
      <c r="T186" s="2876" t="s">
        <v>2805</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2800</v>
      </c>
      <c r="B277" s="2861"/>
      <c r="C277" s="2861"/>
      <c r="D277" s="2861"/>
      <c r="E277" s="2861"/>
      <c r="F277" s="2861"/>
      <c r="G277" s="2861"/>
      <c r="H277" s="2861"/>
      <c r="I277" s="2861"/>
      <c r="J277" s="2861"/>
      <c r="K277" s="2861"/>
      <c r="L277" s="2861"/>
      <c r="M277" s="2861"/>
    </row>
    <row r="278" spans="1:21">
      <c r="A278" s="2862" t="s">
        <v>2797</v>
      </c>
      <c r="B278" s="2863" t="s">
        <v>2593</v>
      </c>
      <c r="C278" s="2863" t="s">
        <v>2594</v>
      </c>
      <c r="D278" s="2863" t="s">
        <v>2595</v>
      </c>
      <c r="E278" s="2863" t="s">
        <v>2596</v>
      </c>
      <c r="F278" s="2863" t="s">
        <v>2597</v>
      </c>
      <c r="G278" s="2863" t="s">
        <v>2598</v>
      </c>
      <c r="H278" s="2864" t="s">
        <v>2599</v>
      </c>
      <c r="I278" s="2864" t="s">
        <v>2600</v>
      </c>
      <c r="J278" s="2865" t="s">
        <v>2601</v>
      </c>
      <c r="K278" s="2865" t="s">
        <v>2602</v>
      </c>
      <c r="L278" s="2865" t="s">
        <v>2603</v>
      </c>
      <c r="M278" s="2866" t="s">
        <v>2604</v>
      </c>
      <c r="Q278" s="2876" t="s">
        <v>2802</v>
      </c>
      <c r="R278" s="2876" t="s">
        <v>2803</v>
      </c>
      <c r="S278" s="2876" t="s">
        <v>2806</v>
      </c>
      <c r="T278" s="2876" t="s">
        <v>2807</v>
      </c>
      <c r="U278" s="2876" t="s">
        <v>2805</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2801</v>
      </c>
      <c r="B369" s="2874"/>
      <c r="C369" s="2874"/>
      <c r="D369" s="2874"/>
      <c r="E369" s="2874"/>
      <c r="F369" s="2874"/>
      <c r="G369" s="2874"/>
      <c r="H369" s="2874"/>
      <c r="I369" s="2874"/>
      <c r="J369" s="2874"/>
      <c r="K369" s="2874"/>
      <c r="L369" s="2874"/>
      <c r="M369" s="2874"/>
    </row>
    <row r="370" spans="1:20">
      <c r="A370" s="2862" t="s">
        <v>2797</v>
      </c>
      <c r="B370" s="2863" t="s">
        <v>2593</v>
      </c>
      <c r="C370" s="2863" t="s">
        <v>2594</v>
      </c>
      <c r="D370" s="2863" t="s">
        <v>2595</v>
      </c>
      <c r="E370" s="2863" t="s">
        <v>2596</v>
      </c>
      <c r="F370" s="2863" t="s">
        <v>2597</v>
      </c>
      <c r="G370" s="2863" t="s">
        <v>2598</v>
      </c>
      <c r="H370" s="2864" t="s">
        <v>2599</v>
      </c>
      <c r="I370" s="2864" t="s">
        <v>2600</v>
      </c>
      <c r="J370" s="2865" t="s">
        <v>2601</v>
      </c>
      <c r="K370" s="2865" t="s">
        <v>2602</v>
      </c>
      <c r="L370" s="2865" t="s">
        <v>2603</v>
      </c>
      <c r="M370" s="2866" t="s">
        <v>2604</v>
      </c>
      <c r="N370">
        <f>SUMPRODUCT((A371:A460=ROUNDDOWN(基准地价修正!G3,1))*(B370:M370=基准地价修正!G2)*(B371:M460))</f>
        <v>0.95489999999999997</v>
      </c>
      <c r="Q370" s="2876" t="s">
        <v>2802</v>
      </c>
      <c r="R370" s="2876" t="s">
        <v>2803</v>
      </c>
      <c r="S370" s="2876" t="s">
        <v>2804</v>
      </c>
      <c r="T370" s="2876" t="s">
        <v>2805</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28731</v>
      </c>
      <c r="C2" s="2" t="s">
        <v>106</v>
      </c>
      <c r="D2" s="191"/>
      <c r="E2" s="191"/>
      <c r="F2" s="191"/>
      <c r="G2" s="191"/>
    </row>
    <row r="3" spans="1:7" s="192" customFormat="1" ht="18" customHeight="1" thickBot="1">
      <c r="A3" s="195" t="s">
        <v>58</v>
      </c>
      <c r="B3" s="196">
        <f ca="1">ROUND(B2*10000/'数据-汇总表'!E3,0)</f>
        <v>1404664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204.54</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204.54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1218</v>
      </c>
      <c r="D22" s="227">
        <f ca="1">C26</f>
        <v>5.9999999999999995E-4</v>
      </c>
      <c r="E22" s="228" t="s">
        <v>99</v>
      </c>
      <c r="F22" s="229">
        <f ca="1">'数据-取费表'!B40</f>
        <v>5.8499999999999996E-2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1206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28655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51</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3</v>
      </c>
      <c r="D36" s="212"/>
      <c r="E36" s="212"/>
      <c r="F36" s="251">
        <f>'数据-取费表'!B34</f>
        <v>0.05</v>
      </c>
      <c r="G36" s="252" t="s">
        <v>35</v>
      </c>
    </row>
    <row r="37" spans="1:7" s="250" customFormat="1" ht="13.5" customHeight="1">
      <c r="A37" s="734" t="s">
        <v>353</v>
      </c>
      <c r="B37" s="207" t="s">
        <v>91</v>
      </c>
      <c r="C37" s="241">
        <f>ROUND(E37*D37*F34/10000,0)</f>
        <v>4</v>
      </c>
      <c r="D37" s="209">
        <f>'数据-汇总表'!E3</f>
        <v>204.54</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793" t="s">
        <v>94</v>
      </c>
    </row>
    <row r="43" spans="1:7" ht="13.5" customHeight="1">
      <c r="A43" s="734" t="s">
        <v>347</v>
      </c>
      <c r="B43" s="207" t="s">
        <v>426</v>
      </c>
      <c r="C43" s="230">
        <f ca="1">ROUND(IF('数据-取费表'!B22&lt;=1,C39*F22*'数据-取费表'!B21/2,C39*(POWER((1+F22),'数据-取费表'!B21/2)-1)),0)</f>
        <v>0</v>
      </c>
      <c r="D43" s="230"/>
      <c r="E43" s="230"/>
      <c r="F43" s="231"/>
      <c r="G43" s="3794"/>
    </row>
    <row r="44" spans="1:7" ht="13.5" customHeight="1">
      <c r="A44" s="734" t="s">
        <v>348</v>
      </c>
      <c r="B44" s="207" t="s">
        <v>428</v>
      </c>
      <c r="C44" s="230">
        <f ca="1">ROUND(IF('数据-取费表'!B22&lt;=1,C40*F22*'数据-取费表'!B21/2,C40*(POWER((1+F22),'数据-取费表'!B21/2)-1)),4)</f>
        <v>5.9999999999999995E-4</v>
      </c>
      <c r="D44" s="230"/>
      <c r="E44" s="230"/>
      <c r="F44" s="231"/>
      <c r="G44" s="3795"/>
    </row>
    <row r="45" spans="1:7" s="206" customFormat="1" ht="13.5" customHeight="1">
      <c r="A45" s="731" t="s">
        <v>341</v>
      </c>
      <c r="B45" s="236" t="s">
        <v>85</v>
      </c>
      <c r="C45" s="237">
        <f>C46</f>
        <v>12</v>
      </c>
      <c r="D45" s="227">
        <f>C47</f>
        <v>4.0000000000000001E-3</v>
      </c>
      <c r="E45" s="228" t="s">
        <v>102</v>
      </c>
      <c r="F45" s="238"/>
      <c r="G45" s="239" t="s">
        <v>434</v>
      </c>
    </row>
    <row r="46" spans="1:7" s="206" customFormat="1" ht="13.5" customHeight="1">
      <c r="A46" s="734" t="s">
        <v>349</v>
      </c>
      <c r="B46" s="240" t="s">
        <v>427</v>
      </c>
      <c r="C46" s="241">
        <f>ROUND((C33+C39)*F27,0)</f>
        <v>12</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82</v>
      </c>
      <c r="D49" s="224"/>
      <c r="E49" s="224"/>
      <c r="F49" s="256"/>
      <c r="G49" s="226" t="s">
        <v>435</v>
      </c>
    </row>
    <row r="50" spans="1:7" s="250" customFormat="1" ht="24">
      <c r="A50" s="731" t="s">
        <v>344</v>
      </c>
      <c r="B50" s="202" t="s">
        <v>97</v>
      </c>
      <c r="C50" s="224"/>
      <c r="D50" s="224"/>
      <c r="E50" s="224"/>
      <c r="F50" s="256">
        <f>IF('数据-取费表'!B24=0,'数据-取费表'!N16,1)</f>
        <v>0.93</v>
      </c>
      <c r="G50" s="239" t="s">
        <v>98</v>
      </c>
    </row>
    <row r="51" spans="1:7" ht="16.5" customHeight="1">
      <c r="A51" s="731" t="s">
        <v>345</v>
      </c>
      <c r="B51" s="202" t="s">
        <v>105</v>
      </c>
      <c r="C51" s="224">
        <f ca="1">ROUND(C49*F50,0)</f>
        <v>76</v>
      </c>
      <c r="D51" s="224"/>
      <c r="E51" s="224"/>
      <c r="F51" s="256"/>
      <c r="G51" s="226" t="s">
        <v>37</v>
      </c>
    </row>
    <row r="52" spans="1:7" s="200" customFormat="1" ht="16.5" thickBot="1">
      <c r="A52" s="257" t="s">
        <v>38</v>
      </c>
      <c r="B52" s="258"/>
      <c r="C52" s="259">
        <f ca="1">C31+C51</f>
        <v>28731</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950" t="s">
        <v>2839</v>
      </c>
      <c r="B1" s="3950"/>
      <c r="C1" s="3950"/>
      <c r="D1" s="3950"/>
      <c r="E1" s="3950"/>
      <c r="F1" s="3950"/>
      <c r="G1" s="3951"/>
      <c r="I1" s="2934" t="s">
        <v>2840</v>
      </c>
      <c r="J1" s="2935" t="s">
        <v>2841</v>
      </c>
      <c r="K1" s="2935" t="s">
        <v>2842</v>
      </c>
      <c r="L1" s="2935" t="s">
        <v>2843</v>
      </c>
      <c r="M1" s="2935" t="s">
        <v>2844</v>
      </c>
      <c r="N1" s="2935" t="s">
        <v>2845</v>
      </c>
      <c r="O1" s="2935" t="s">
        <v>2846</v>
      </c>
      <c r="P1" s="2935" t="s">
        <v>2847</v>
      </c>
      <c r="Q1" s="2935" t="s">
        <v>2848</v>
      </c>
      <c r="R1" s="2935" t="s">
        <v>2849</v>
      </c>
      <c r="S1" s="2935" t="s">
        <v>2850</v>
      </c>
      <c r="T1" s="2936" t="s">
        <v>2851</v>
      </c>
    </row>
    <row r="2" spans="1:20" ht="12" thickBot="1">
      <c r="A2" s="2937" t="s">
        <v>2852</v>
      </c>
      <c r="B2" s="2937"/>
      <c r="C2" s="2937"/>
      <c r="D2" s="2937"/>
      <c r="E2" s="2937"/>
      <c r="F2" s="2937"/>
      <c r="G2" s="2938" t="s">
        <v>2853</v>
      </c>
      <c r="I2" s="2939" t="s">
        <v>2854</v>
      </c>
      <c r="J2" s="2939" t="s">
        <v>2855</v>
      </c>
      <c r="K2" s="2939" t="s">
        <v>2856</v>
      </c>
      <c r="L2" s="2939" t="s">
        <v>2857</v>
      </c>
      <c r="M2" s="2939" t="s">
        <v>2858</v>
      </c>
      <c r="N2" s="2939" t="s">
        <v>2859</v>
      </c>
      <c r="O2" s="2939" t="s">
        <v>2860</v>
      </c>
      <c r="P2" s="2939" t="s">
        <v>2861</v>
      </c>
      <c r="Q2" s="2939" t="s">
        <v>2862</v>
      </c>
      <c r="R2" s="2939" t="s">
        <v>2863</v>
      </c>
      <c r="S2" s="2939" t="s">
        <v>2864</v>
      </c>
      <c r="T2" s="2939" t="s">
        <v>2865</v>
      </c>
    </row>
    <row r="3" spans="1:20" s="2945" customFormat="1">
      <c r="A3" s="3948" t="s">
        <v>2866</v>
      </c>
      <c r="B3" s="2940"/>
      <c r="C3" s="2941" t="s">
        <v>2809</v>
      </c>
      <c r="D3" s="2941" t="s">
        <v>2867</v>
      </c>
      <c r="E3" s="2941" t="s">
        <v>2811</v>
      </c>
      <c r="F3" s="2941" t="s">
        <v>2868</v>
      </c>
      <c r="G3" s="2941" t="s">
        <v>2629</v>
      </c>
      <c r="H3" s="2942"/>
      <c r="I3" s="2943" t="s">
        <v>2869</v>
      </c>
      <c r="J3" s="2944" t="s">
        <v>128</v>
      </c>
      <c r="K3" s="2944" t="s">
        <v>129</v>
      </c>
      <c r="L3" s="2943" t="s">
        <v>130</v>
      </c>
      <c r="M3" s="2943" t="s">
        <v>131</v>
      </c>
      <c r="N3" s="2943" t="s">
        <v>132</v>
      </c>
      <c r="O3" s="2943" t="s">
        <v>133</v>
      </c>
      <c r="P3" s="2943" t="s">
        <v>134</v>
      </c>
      <c r="Q3" s="2943" t="s">
        <v>135</v>
      </c>
      <c r="R3" s="2943" t="s">
        <v>136</v>
      </c>
      <c r="S3" s="2943" t="s">
        <v>2870</v>
      </c>
      <c r="T3" s="2943" t="s">
        <v>2871</v>
      </c>
    </row>
    <row r="4" spans="1:20" s="2945" customFormat="1" ht="12" thickBot="1">
      <c r="A4" s="3949"/>
      <c r="B4" s="2946" t="s">
        <v>2872</v>
      </c>
      <c r="C4" s="2946" t="s">
        <v>2873</v>
      </c>
      <c r="D4" s="2946" t="s">
        <v>2873</v>
      </c>
      <c r="E4" s="2946" t="s">
        <v>2873</v>
      </c>
      <c r="F4" s="2947" t="s">
        <v>2873</v>
      </c>
      <c r="G4" s="2947" t="s">
        <v>2873</v>
      </c>
      <c r="H4" s="2942"/>
      <c r="I4" s="2944" t="s">
        <v>137</v>
      </c>
      <c r="J4" s="2944" t="s">
        <v>111</v>
      </c>
      <c r="K4" s="2944" t="s">
        <v>138</v>
      </c>
      <c r="L4" s="2943" t="s">
        <v>139</v>
      </c>
      <c r="M4" s="2943" t="s">
        <v>140</v>
      </c>
      <c r="N4" s="2943" t="s">
        <v>141</v>
      </c>
      <c r="O4" s="2943" t="s">
        <v>142</v>
      </c>
      <c r="P4" s="2943" t="s">
        <v>143</v>
      </c>
      <c r="Q4" s="2943" t="s">
        <v>2874</v>
      </c>
      <c r="R4" s="2943" t="s">
        <v>2875</v>
      </c>
      <c r="S4" s="2943" t="s">
        <v>2876</v>
      </c>
      <c r="T4" s="2943" t="s">
        <v>2877</v>
      </c>
    </row>
    <row r="5" spans="1:20">
      <c r="A5" s="2948" t="s">
        <v>2840</v>
      </c>
      <c r="B5" s="2939" t="s">
        <v>2854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2878</v>
      </c>
      <c r="R5" s="2943" t="s">
        <v>2879</v>
      </c>
      <c r="S5" s="2943" t="s">
        <v>153</v>
      </c>
      <c r="T5" s="2943" t="s">
        <v>2880</v>
      </c>
    </row>
    <row r="6" spans="1:20" ht="12" thickBot="1">
      <c r="A6" s="2943" t="s">
        <v>144</v>
      </c>
      <c r="B6" s="2943" t="s">
        <v>2869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2881</v>
      </c>
      <c r="Q6" s="2943" t="s">
        <v>2882</v>
      </c>
      <c r="R6" s="2943" t="s">
        <v>161</v>
      </c>
      <c r="S6" s="2943" t="s">
        <v>2883</v>
      </c>
      <c r="T6" s="2943" t="s">
        <v>2884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2885</v>
      </c>
      <c r="Q7" s="2943" t="s">
        <v>2886</v>
      </c>
      <c r="R7" s="2943" t="s">
        <v>2887</v>
      </c>
      <c r="S7" s="2943" t="s">
        <v>2888</v>
      </c>
      <c r="T7" s="2943" t="s">
        <v>2889</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2890</v>
      </c>
      <c r="Q8" s="2943" t="s">
        <v>174</v>
      </c>
      <c r="R8" s="2943" t="s">
        <v>2891</v>
      </c>
      <c r="S8" s="2943" t="s">
        <v>2892</v>
      </c>
      <c r="T8" s="2950" t="s">
        <v>2893</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2894</v>
      </c>
      <c r="Q9" s="2943" t="s">
        <v>182</v>
      </c>
      <c r="R9" s="2943" t="s">
        <v>183</v>
      </c>
      <c r="S9" s="2943" t="s">
        <v>200</v>
      </c>
    </row>
    <row r="10" spans="1:20">
      <c r="A10" s="2948" t="s">
        <v>184</v>
      </c>
      <c r="B10" s="2939" t="s">
        <v>2855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2896</v>
      </c>
      <c r="P11" s="2943" t="s">
        <v>191</v>
      </c>
      <c r="Q11" s="2943" t="s">
        <v>199</v>
      </c>
      <c r="R11" s="2943" t="s">
        <v>2897</v>
      </c>
      <c r="S11" s="2943" t="s">
        <v>2898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2899</v>
      </c>
      <c r="P12" s="2943" t="s">
        <v>2900</v>
      </c>
      <c r="Q12" s="2943" t="s">
        <v>2901</v>
      </c>
      <c r="R12" s="2943" t="s">
        <v>2902</v>
      </c>
      <c r="S12" s="2943" t="s">
        <v>2903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2905</v>
      </c>
      <c r="K14" s="2944" t="s">
        <v>215</v>
      </c>
      <c r="L14" s="2943" t="s">
        <v>216</v>
      </c>
      <c r="M14" s="2943" t="s">
        <v>217</v>
      </c>
      <c r="N14" s="2943" t="s">
        <v>218</v>
      </c>
      <c r="O14" s="2943" t="s">
        <v>240</v>
      </c>
      <c r="P14" s="2943" t="s">
        <v>213</v>
      </c>
      <c r="Q14" s="2943" t="s">
        <v>2906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2907</v>
      </c>
      <c r="P15" s="2943" t="s">
        <v>2908</v>
      </c>
      <c r="Q15" s="2943" t="s">
        <v>242</v>
      </c>
      <c r="R15" s="2943" t="s">
        <v>2909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2910</v>
      </c>
      <c r="P16" s="2943" t="s">
        <v>227</v>
      </c>
      <c r="Q16" s="2943" t="s">
        <v>250</v>
      </c>
      <c r="R16" s="2943" t="s">
        <v>207</v>
      </c>
      <c r="S16" s="2943" t="s">
        <v>2911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2912</v>
      </c>
      <c r="P17" s="2943" t="s">
        <v>2913</v>
      </c>
      <c r="Q17" s="2943" t="s">
        <v>256</v>
      </c>
      <c r="R17" s="2943" t="s">
        <v>2914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2915</v>
      </c>
      <c r="P18" s="2943" t="s">
        <v>241</v>
      </c>
      <c r="Q18" s="2943" t="s">
        <v>2916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2917</v>
      </c>
      <c r="P19" s="2943" t="s">
        <v>249</v>
      </c>
      <c r="Q19" s="2943" t="s">
        <v>2918</v>
      </c>
      <c r="R19" s="2943" t="s">
        <v>265</v>
      </c>
      <c r="S19" s="2943" t="s">
        <v>2919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2920</v>
      </c>
      <c r="P20" s="2943" t="s">
        <v>2921</v>
      </c>
      <c r="Q20" s="2943" t="s">
        <v>290</v>
      </c>
      <c r="R20" s="2943" t="s">
        <v>2922</v>
      </c>
      <c r="S20" s="2943" t="s">
        <v>277</v>
      </c>
    </row>
    <row r="21" spans="1:19" ht="14.25" customHeight="1" thickBot="1">
      <c r="A21" s="2943" t="s">
        <v>184</v>
      </c>
      <c r="B21" s="2944" t="s">
        <v>208</v>
      </c>
      <c r="C21" s="2943">
        <v>32370</v>
      </c>
      <c r="D21" s="2943">
        <v>26730</v>
      </c>
      <c r="E21" s="2943">
        <v>26640</v>
      </c>
      <c r="F21" s="2943"/>
      <c r="G21" s="2943">
        <v>19440</v>
      </c>
      <c r="J21" s="2950" t="s">
        <v>2923</v>
      </c>
      <c r="K21" s="2944" t="s">
        <v>267</v>
      </c>
      <c r="L21" s="2943" t="s">
        <v>268</v>
      </c>
      <c r="M21" s="2943" t="s">
        <v>269</v>
      </c>
      <c r="N21" s="2943" t="s">
        <v>270</v>
      </c>
      <c r="O21" s="2943" t="s">
        <v>264</v>
      </c>
      <c r="P21" s="2943" t="s">
        <v>283</v>
      </c>
      <c r="Q21" s="2943" t="s">
        <v>293</v>
      </c>
      <c r="R21" s="2943" t="s">
        <v>2924</v>
      </c>
      <c r="S21" s="2950" t="s">
        <v>2925</v>
      </c>
    </row>
    <row r="22" spans="1:19" ht="14.25" customHeight="1">
      <c r="A22" s="2943" t="s">
        <v>184</v>
      </c>
      <c r="B22" s="2944" t="s">
        <v>2905</v>
      </c>
      <c r="C22" s="2943">
        <v>29830</v>
      </c>
      <c r="D22" s="2943">
        <v>27600</v>
      </c>
      <c r="E22" s="2943">
        <v>28150</v>
      </c>
      <c r="F22" s="2943"/>
      <c r="G22" s="2943">
        <v>20080</v>
      </c>
      <c r="K22" s="2944" t="s">
        <v>2926</v>
      </c>
      <c r="L22" s="2943" t="s">
        <v>272</v>
      </c>
      <c r="M22" s="2943" t="s">
        <v>273</v>
      </c>
      <c r="N22" s="2943" t="s">
        <v>274</v>
      </c>
      <c r="O22" s="2943" t="s">
        <v>2927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2928</v>
      </c>
      <c r="L23" s="2943" t="s">
        <v>278</v>
      </c>
      <c r="M23" s="2943" t="s">
        <v>279</v>
      </c>
      <c r="N23" s="2943" t="s">
        <v>2929</v>
      </c>
      <c r="O23" s="2943" t="s">
        <v>2930</v>
      </c>
      <c r="P23" s="2943" t="s">
        <v>289</v>
      </c>
      <c r="Q23" s="2943" t="s">
        <v>298</v>
      </c>
      <c r="R23" s="2943" t="s">
        <v>2931</v>
      </c>
    </row>
    <row r="24" spans="1:19" ht="14.25" customHeight="1">
      <c r="A24" s="2943" t="s">
        <v>184</v>
      </c>
      <c r="B24" s="2944" t="s">
        <v>230</v>
      </c>
      <c r="C24" s="2943">
        <v>27930</v>
      </c>
      <c r="D24" s="2943">
        <v>32260</v>
      </c>
      <c r="E24" s="2943">
        <v>32120</v>
      </c>
      <c r="F24" s="2943"/>
      <c r="G24" s="2943">
        <v>23470</v>
      </c>
      <c r="K24" s="2944" t="s">
        <v>2932</v>
      </c>
      <c r="L24" s="2943" t="s">
        <v>281</v>
      </c>
      <c r="M24" s="2943" t="s">
        <v>282</v>
      </c>
      <c r="N24" s="2943" t="s">
        <v>2933</v>
      </c>
      <c r="O24" s="2943" t="s">
        <v>285</v>
      </c>
      <c r="P24" s="2943" t="s">
        <v>2934</v>
      </c>
      <c r="Q24" s="2952" t="s">
        <v>2935</v>
      </c>
      <c r="R24" s="2943" t="s">
        <v>2936</v>
      </c>
    </row>
    <row r="25" spans="1:19" ht="14.25" customHeight="1">
      <c r="A25" s="2943" t="s">
        <v>184</v>
      </c>
      <c r="B25" s="2944" t="s">
        <v>235</v>
      </c>
      <c r="C25" s="2943">
        <v>32230</v>
      </c>
      <c r="D25" s="2943">
        <v>29640</v>
      </c>
      <c r="E25" s="2943">
        <v>29510</v>
      </c>
      <c r="F25" s="2943"/>
      <c r="G25" s="2943">
        <v>21560</v>
      </c>
      <c r="K25" s="2944" t="s">
        <v>2937</v>
      </c>
      <c r="L25" s="2943" t="s">
        <v>2938</v>
      </c>
      <c r="M25" s="2943" t="s">
        <v>284</v>
      </c>
      <c r="N25" s="2943" t="s">
        <v>292</v>
      </c>
      <c r="O25" s="2943" t="s">
        <v>288</v>
      </c>
      <c r="P25" s="2943" t="s">
        <v>275</v>
      </c>
      <c r="Q25" s="2952" t="s">
        <v>271</v>
      </c>
      <c r="R25" s="2943" t="s">
        <v>2939</v>
      </c>
    </row>
    <row r="26" spans="1:19" ht="14.25" customHeight="1" thickBot="1">
      <c r="A26" s="2943" t="s">
        <v>184</v>
      </c>
      <c r="B26" s="2944" t="s">
        <v>244</v>
      </c>
      <c r="C26" s="2943">
        <v>31690</v>
      </c>
      <c r="D26" s="2943">
        <v>27650</v>
      </c>
      <c r="E26" s="2943">
        <v>28200</v>
      </c>
      <c r="F26" s="2943"/>
      <c r="G26" s="2943">
        <v>20110</v>
      </c>
      <c r="K26" s="2949" t="s">
        <v>2940</v>
      </c>
      <c r="L26" s="2943" t="s">
        <v>2941</v>
      </c>
      <c r="M26" s="2943" t="s">
        <v>287</v>
      </c>
      <c r="N26" s="2943" t="s">
        <v>294</v>
      </c>
      <c r="O26" s="2943" t="s">
        <v>2942</v>
      </c>
      <c r="P26" s="2943" t="s">
        <v>2943</v>
      </c>
      <c r="Q26" s="2952" t="s">
        <v>276</v>
      </c>
      <c r="R26" s="2943" t="s">
        <v>2944</v>
      </c>
    </row>
    <row r="27" spans="1:19" ht="14.25" customHeight="1">
      <c r="A27" s="2943" t="s">
        <v>184</v>
      </c>
      <c r="B27" s="2944" t="s">
        <v>251</v>
      </c>
      <c r="C27" s="2943">
        <v>29610</v>
      </c>
      <c r="D27" s="2943">
        <v>27770</v>
      </c>
      <c r="E27" s="2943">
        <v>28300</v>
      </c>
      <c r="F27" s="2943"/>
      <c r="G27" s="2943">
        <v>20210</v>
      </c>
      <c r="L27" s="2943" t="s">
        <v>2945</v>
      </c>
      <c r="M27" s="2943" t="s">
        <v>291</v>
      </c>
      <c r="N27" s="2943" t="s">
        <v>297</v>
      </c>
      <c r="O27" s="2943" t="s">
        <v>2946</v>
      </c>
      <c r="P27" s="2943" t="s">
        <v>2947</v>
      </c>
      <c r="Q27" s="2943" t="s">
        <v>2948</v>
      </c>
      <c r="R27" s="2943" t="s">
        <v>2949</v>
      </c>
    </row>
    <row r="28" spans="1:19" ht="14.25" customHeight="1">
      <c r="A28" s="2943" t="s">
        <v>184</v>
      </c>
      <c r="B28" s="2944" t="s">
        <v>259</v>
      </c>
      <c r="C28" s="2943"/>
      <c r="D28" s="2943">
        <v>31520</v>
      </c>
      <c r="E28" s="2943">
        <v>31410</v>
      </c>
      <c r="F28" s="2943"/>
      <c r="G28" s="2943">
        <v>22940</v>
      </c>
      <c r="L28" s="2943" t="s">
        <v>2950</v>
      </c>
      <c r="M28" s="2943" t="s">
        <v>2951</v>
      </c>
      <c r="N28" s="2943" t="s">
        <v>2952</v>
      </c>
      <c r="O28" s="2943" t="s">
        <v>2953</v>
      </c>
      <c r="P28" s="2943" t="s">
        <v>2954</v>
      </c>
      <c r="Q28" s="2943" t="s">
        <v>2955</v>
      </c>
      <c r="R28" s="2943" t="s">
        <v>2956</v>
      </c>
    </row>
    <row r="29" spans="1:19" ht="14.25" customHeight="1" thickBot="1">
      <c r="A29" s="2951" t="s">
        <v>184</v>
      </c>
      <c r="B29" s="2953" t="s">
        <v>2923</v>
      </c>
      <c r="C29" s="2954"/>
      <c r="D29" s="2954">
        <v>29460</v>
      </c>
      <c r="E29" s="2954">
        <v>28640</v>
      </c>
      <c r="F29" s="2954"/>
      <c r="G29" s="2954">
        <v>21430</v>
      </c>
      <c r="L29" s="2943" t="s">
        <v>2957</v>
      </c>
      <c r="M29" s="2943" t="s">
        <v>2958</v>
      </c>
      <c r="N29" s="2943" t="s">
        <v>2959</v>
      </c>
      <c r="O29" s="2943" t="s">
        <v>2960</v>
      </c>
      <c r="P29" s="2943" t="s">
        <v>2961</v>
      </c>
      <c r="Q29" s="2943" t="s">
        <v>2962</v>
      </c>
      <c r="R29" s="2943" t="s">
        <v>280</v>
      </c>
    </row>
    <row r="30" spans="1:19" ht="14.25" customHeight="1">
      <c r="A30" s="2948" t="s">
        <v>296</v>
      </c>
      <c r="B30" s="2939" t="s">
        <v>2856</v>
      </c>
      <c r="C30" s="2939">
        <v>26890</v>
      </c>
      <c r="D30" s="2939">
        <v>26770</v>
      </c>
      <c r="E30" s="2939">
        <v>25700</v>
      </c>
      <c r="F30" s="2939">
        <v>8180</v>
      </c>
      <c r="G30" s="2955">
        <v>18740</v>
      </c>
      <c r="L30" s="2943" t="s">
        <v>2963</v>
      </c>
      <c r="M30" s="2943" t="s">
        <v>2964</v>
      </c>
      <c r="N30" s="2943" t="s">
        <v>2965</v>
      </c>
      <c r="O30" s="2943" t="s">
        <v>2966</v>
      </c>
      <c r="P30" s="2943" t="s">
        <v>2967</v>
      </c>
      <c r="Q30" s="2943" t="s">
        <v>2968</v>
      </c>
      <c r="R30" s="2943" t="s">
        <v>2969</v>
      </c>
    </row>
    <row r="31" spans="1:19" ht="14.25" customHeight="1">
      <c r="A31" s="2943" t="s">
        <v>296</v>
      </c>
      <c r="B31" s="2944" t="s">
        <v>129</v>
      </c>
      <c r="C31" s="2943">
        <v>24550</v>
      </c>
      <c r="D31" s="2943">
        <v>23990</v>
      </c>
      <c r="E31" s="2943">
        <v>22930</v>
      </c>
      <c r="F31" s="2943">
        <v>7470</v>
      </c>
      <c r="G31" s="2956">
        <v>16790</v>
      </c>
      <c r="L31" s="2943" t="s">
        <v>2970</v>
      </c>
      <c r="M31" s="2943" t="s">
        <v>2971</v>
      </c>
      <c r="N31" s="2943" t="s">
        <v>2972</v>
      </c>
      <c r="O31" s="2943" t="s">
        <v>2973</v>
      </c>
      <c r="P31" s="2943" t="s">
        <v>2974</v>
      </c>
      <c r="Q31" s="2943" t="s">
        <v>2975</v>
      </c>
      <c r="R31" s="2943" t="s">
        <v>2976</v>
      </c>
    </row>
    <row r="32" spans="1:19" ht="14.25" customHeight="1" thickBot="1">
      <c r="A32" s="2943" t="s">
        <v>296</v>
      </c>
      <c r="B32" s="2944" t="s">
        <v>138</v>
      </c>
      <c r="C32" s="2943">
        <v>27210</v>
      </c>
      <c r="D32" s="2943">
        <v>23240</v>
      </c>
      <c r="E32" s="2943">
        <v>23260</v>
      </c>
      <c r="F32" s="2943">
        <v>7130</v>
      </c>
      <c r="G32" s="2956">
        <v>16270</v>
      </c>
      <c r="L32" s="2943" t="s">
        <v>2977</v>
      </c>
      <c r="M32" s="2943" t="s">
        <v>2978</v>
      </c>
      <c r="N32" s="2943" t="s">
        <v>300</v>
      </c>
      <c r="O32" s="2943" t="s">
        <v>2979</v>
      </c>
      <c r="P32" s="2943" t="s">
        <v>299</v>
      </c>
      <c r="Q32" s="2943" t="s">
        <v>2980</v>
      </c>
      <c r="R32" s="2950" t="s">
        <v>2981</v>
      </c>
    </row>
    <row r="33" spans="1:17" ht="14.25" customHeight="1" thickBot="1">
      <c r="A33" s="2943" t="s">
        <v>296</v>
      </c>
      <c r="B33" s="2944" t="s">
        <v>147</v>
      </c>
      <c r="C33" s="2943">
        <v>27300</v>
      </c>
      <c r="D33" s="2943">
        <v>22980</v>
      </c>
      <c r="E33" s="2943">
        <v>24260</v>
      </c>
      <c r="F33" s="2943">
        <v>5860</v>
      </c>
      <c r="G33" s="2956">
        <v>16090</v>
      </c>
      <c r="L33" s="2950" t="s">
        <v>2982</v>
      </c>
      <c r="M33" s="2943" t="s">
        <v>2983</v>
      </c>
      <c r="N33" s="2943" t="s">
        <v>301</v>
      </c>
      <c r="O33" s="2943" t="s">
        <v>2984</v>
      </c>
      <c r="P33" s="2943" t="s">
        <v>2985</v>
      </c>
      <c r="Q33" s="2943" t="s">
        <v>2986</v>
      </c>
    </row>
    <row r="34" spans="1:17" ht="14.25" customHeight="1">
      <c r="A34" s="2943" t="s">
        <v>296</v>
      </c>
      <c r="B34" s="2944" t="s">
        <v>156</v>
      </c>
      <c r="C34" s="2943">
        <v>23090</v>
      </c>
      <c r="D34" s="2943">
        <v>23390</v>
      </c>
      <c r="E34" s="2943">
        <v>23510</v>
      </c>
      <c r="F34" s="2943">
        <v>6700</v>
      </c>
      <c r="G34" s="2956">
        <v>16370</v>
      </c>
      <c r="M34" s="2943" t="s">
        <v>2987</v>
      </c>
      <c r="N34" s="2943" t="s">
        <v>302</v>
      </c>
      <c r="O34" s="2943" t="s">
        <v>2988</v>
      </c>
      <c r="P34" s="2943" t="s">
        <v>2989</v>
      </c>
      <c r="Q34" s="2943" t="s">
        <v>2990</v>
      </c>
    </row>
    <row r="35" spans="1:17" ht="14.25" customHeight="1">
      <c r="A35" s="2943" t="s">
        <v>296</v>
      </c>
      <c r="B35" s="2944" t="s">
        <v>163</v>
      </c>
      <c r="C35" s="2943">
        <v>27270</v>
      </c>
      <c r="D35" s="2943">
        <v>24270</v>
      </c>
      <c r="E35" s="2943">
        <v>24950</v>
      </c>
      <c r="F35" s="2943">
        <v>6600</v>
      </c>
      <c r="G35" s="2956">
        <v>16990</v>
      </c>
      <c r="M35" s="2943" t="s">
        <v>2991</v>
      </c>
      <c r="N35" s="2943" t="s">
        <v>2992</v>
      </c>
      <c r="O35" s="2943" t="s">
        <v>2993</v>
      </c>
      <c r="P35" s="2943" t="s">
        <v>2994</v>
      </c>
      <c r="Q35" s="2943" t="s">
        <v>2995</v>
      </c>
    </row>
    <row r="36" spans="1:17" ht="14.25" customHeight="1">
      <c r="A36" s="2943" t="s">
        <v>296</v>
      </c>
      <c r="B36" s="2944" t="s">
        <v>169</v>
      </c>
      <c r="C36" s="2943">
        <v>23490</v>
      </c>
      <c r="D36" s="2943">
        <v>23020</v>
      </c>
      <c r="E36" s="2943">
        <v>25230</v>
      </c>
      <c r="F36" s="2943">
        <v>6780</v>
      </c>
      <c r="G36" s="2956">
        <v>16120</v>
      </c>
      <c r="M36" s="2943" t="s">
        <v>2996</v>
      </c>
      <c r="N36" s="2943" t="s">
        <v>2997</v>
      </c>
      <c r="O36" s="2943" t="s">
        <v>2998</v>
      </c>
      <c r="P36" s="2943" t="s">
        <v>2999</v>
      </c>
      <c r="Q36" s="2943" t="s">
        <v>3000</v>
      </c>
    </row>
    <row r="37" spans="1:17" ht="14.25" customHeight="1">
      <c r="A37" s="2943" t="s">
        <v>296</v>
      </c>
      <c r="B37" s="2944" t="s">
        <v>176</v>
      </c>
      <c r="C37" s="2943">
        <v>24380</v>
      </c>
      <c r="D37" s="2943">
        <v>22240</v>
      </c>
      <c r="E37" s="2943">
        <v>25980</v>
      </c>
      <c r="F37" s="2943">
        <v>8160</v>
      </c>
      <c r="G37" s="2956">
        <v>15570</v>
      </c>
      <c r="M37" s="2943" t="s">
        <v>3001</v>
      </c>
      <c r="N37" s="2943" t="s">
        <v>3002</v>
      </c>
      <c r="O37" s="2943" t="s">
        <v>3003</v>
      </c>
      <c r="P37" s="2943" t="s">
        <v>3004</v>
      </c>
      <c r="Q37" s="2943" t="s">
        <v>3005</v>
      </c>
    </row>
    <row r="38" spans="1:17" ht="14.25" customHeight="1">
      <c r="A38" s="2943" t="s">
        <v>296</v>
      </c>
      <c r="B38" s="2944" t="s">
        <v>186</v>
      </c>
      <c r="C38" s="2943">
        <v>23120</v>
      </c>
      <c r="D38" s="2943">
        <v>24630</v>
      </c>
      <c r="E38" s="2943">
        <v>25030</v>
      </c>
      <c r="F38" s="2943">
        <v>7710</v>
      </c>
      <c r="G38" s="2956">
        <v>17240</v>
      </c>
      <c r="M38" s="2943" t="s">
        <v>3006</v>
      </c>
      <c r="N38" s="2943" t="s">
        <v>3007</v>
      </c>
      <c r="O38" s="2943" t="s">
        <v>3008</v>
      </c>
      <c r="P38" s="2943" t="s">
        <v>3009</v>
      </c>
      <c r="Q38" s="2943" t="s">
        <v>3010</v>
      </c>
    </row>
    <row r="39" spans="1:17" ht="14.25" customHeight="1">
      <c r="A39" s="2943" t="s">
        <v>296</v>
      </c>
      <c r="B39" s="2944" t="s">
        <v>195</v>
      </c>
      <c r="C39" s="2943">
        <v>22330</v>
      </c>
      <c r="D39" s="2943">
        <v>21140</v>
      </c>
      <c r="E39" s="2943">
        <v>23970</v>
      </c>
      <c r="F39" s="2943">
        <v>7940</v>
      </c>
      <c r="G39" s="2956">
        <v>14790</v>
      </c>
      <c r="M39" s="2943" t="s">
        <v>3011</v>
      </c>
      <c r="N39" s="2943" t="s">
        <v>3012</v>
      </c>
      <c r="O39" s="2943" t="s">
        <v>3013</v>
      </c>
      <c r="P39" s="2943" t="s">
        <v>3014</v>
      </c>
      <c r="Q39" s="2943" t="s">
        <v>3015</v>
      </c>
    </row>
    <row r="40" spans="1:17" ht="14.25" customHeight="1">
      <c r="A40" s="2943" t="s">
        <v>296</v>
      </c>
      <c r="B40" s="2944" t="s">
        <v>202</v>
      </c>
      <c r="C40" s="2943">
        <v>24740</v>
      </c>
      <c r="D40" s="2943">
        <v>24690</v>
      </c>
      <c r="E40" s="2943">
        <v>22610</v>
      </c>
      <c r="F40" s="2943"/>
      <c r="G40" s="2956">
        <v>17280</v>
      </c>
      <c r="M40" s="2943" t="s">
        <v>3016</v>
      </c>
      <c r="N40" s="2943" t="s">
        <v>3017</v>
      </c>
      <c r="O40" s="2943" t="s">
        <v>3018</v>
      </c>
      <c r="P40" s="2943" t="s">
        <v>3019</v>
      </c>
      <c r="Q40" s="2943" t="s">
        <v>3020</v>
      </c>
    </row>
    <row r="41" spans="1:17" ht="14.25" customHeight="1" thickBot="1">
      <c r="A41" s="2943" t="s">
        <v>296</v>
      </c>
      <c r="B41" s="2944" t="s">
        <v>209</v>
      </c>
      <c r="C41" s="2943">
        <v>21220</v>
      </c>
      <c r="D41" s="2943">
        <v>21120</v>
      </c>
      <c r="E41" s="2943">
        <v>22590</v>
      </c>
      <c r="F41" s="2943"/>
      <c r="G41" s="2956">
        <v>14780</v>
      </c>
      <c r="M41" s="2950" t="s">
        <v>3021</v>
      </c>
      <c r="N41" s="2943" t="s">
        <v>3022</v>
      </c>
      <c r="O41" s="2943" t="s">
        <v>3023</v>
      </c>
      <c r="P41" s="2943" t="s">
        <v>3024</v>
      </c>
      <c r="Q41" s="2943" t="s">
        <v>3025</v>
      </c>
    </row>
    <row r="42" spans="1:17" ht="14.25" customHeight="1">
      <c r="A42" s="2943" t="s">
        <v>296</v>
      </c>
      <c r="B42" s="2944" t="s">
        <v>215</v>
      </c>
      <c r="C42" s="2943">
        <v>24800</v>
      </c>
      <c r="D42" s="2943">
        <v>22280</v>
      </c>
      <c r="E42" s="2943">
        <v>24350</v>
      </c>
      <c r="F42" s="2943"/>
      <c r="G42" s="2956">
        <v>15590</v>
      </c>
      <c r="N42" s="2943" t="s">
        <v>3026</v>
      </c>
      <c r="O42" s="2943" t="s">
        <v>3027</v>
      </c>
      <c r="P42" s="2943" t="s">
        <v>3028</v>
      </c>
      <c r="Q42" s="2943" t="s">
        <v>3029</v>
      </c>
    </row>
    <row r="43" spans="1:17" ht="14.25" customHeight="1">
      <c r="A43" s="2943" t="s">
        <v>3030</v>
      </c>
      <c r="B43" s="2944" t="s">
        <v>223</v>
      </c>
      <c r="C43" s="2943">
        <v>21210</v>
      </c>
      <c r="D43" s="2943">
        <v>21160</v>
      </c>
      <c r="E43" s="2943">
        <v>22650</v>
      </c>
      <c r="F43" s="2943"/>
      <c r="G43" s="2956">
        <v>14800</v>
      </c>
      <c r="N43" s="2943" t="s">
        <v>3031</v>
      </c>
      <c r="O43" s="2943" t="s">
        <v>3032</v>
      </c>
      <c r="P43" s="2943" t="s">
        <v>3033</v>
      </c>
      <c r="Q43" s="2943" t="s">
        <v>3034</v>
      </c>
    </row>
    <row r="44" spans="1:17" ht="14.25" customHeight="1" thickBot="1">
      <c r="A44" s="2943" t="s">
        <v>296</v>
      </c>
      <c r="B44" s="2944" t="s">
        <v>231</v>
      </c>
      <c r="C44" s="2943">
        <v>22370</v>
      </c>
      <c r="D44" s="2943">
        <v>23140</v>
      </c>
      <c r="E44" s="2943">
        <v>25090</v>
      </c>
      <c r="F44" s="2943"/>
      <c r="G44" s="2956">
        <v>16190</v>
      </c>
      <c r="N44" s="2943" t="s">
        <v>3035</v>
      </c>
      <c r="O44" s="2943" t="s">
        <v>3036</v>
      </c>
      <c r="P44" s="2950" t="s">
        <v>3037</v>
      </c>
      <c r="Q44" s="2943" t="s">
        <v>3038</v>
      </c>
    </row>
    <row r="45" spans="1:17" ht="14.25" customHeight="1" thickBot="1">
      <c r="A45" s="2943" t="s">
        <v>296</v>
      </c>
      <c r="B45" s="2944" t="s">
        <v>236</v>
      </c>
      <c r="C45" s="2943">
        <v>21240</v>
      </c>
      <c r="D45" s="2943">
        <v>27050</v>
      </c>
      <c r="E45" s="2943">
        <v>28000</v>
      </c>
      <c r="F45" s="2943"/>
      <c r="G45" s="2956">
        <v>18940</v>
      </c>
      <c r="N45" s="2943" t="s">
        <v>3039</v>
      </c>
      <c r="O45" s="2950" t="s">
        <v>3040</v>
      </c>
      <c r="Q45" s="2943" t="s">
        <v>3041</v>
      </c>
    </row>
    <row r="46" spans="1:17" ht="14.25" customHeight="1">
      <c r="A46" s="2943" t="s">
        <v>296</v>
      </c>
      <c r="B46" s="2944" t="s">
        <v>245</v>
      </c>
      <c r="C46" s="2943">
        <v>23240</v>
      </c>
      <c r="D46" s="2943">
        <v>23000</v>
      </c>
      <c r="E46" s="2943">
        <v>24980</v>
      </c>
      <c r="F46" s="2943"/>
      <c r="G46" s="2956">
        <v>16100</v>
      </c>
      <c r="N46" s="2943" t="s">
        <v>3042</v>
      </c>
      <c r="Q46" s="2943" t="s">
        <v>3043</v>
      </c>
    </row>
    <row r="47" spans="1:17" ht="14.25" customHeight="1">
      <c r="A47" s="2943" t="s">
        <v>296</v>
      </c>
      <c r="B47" s="2944" t="s">
        <v>252</v>
      </c>
      <c r="C47" s="2943">
        <v>27150</v>
      </c>
      <c r="D47" s="2943">
        <v>23310</v>
      </c>
      <c r="E47" s="2943">
        <v>25150</v>
      </c>
      <c r="F47" s="2943"/>
      <c r="G47" s="2956">
        <v>16310</v>
      </c>
      <c r="N47" s="2943" t="s">
        <v>3044</v>
      </c>
      <c r="Q47" s="2943" t="s">
        <v>3045</v>
      </c>
    </row>
    <row r="48" spans="1:17" ht="14.25" customHeight="1">
      <c r="A48" s="2943" t="s">
        <v>296</v>
      </c>
      <c r="B48" s="2944" t="s">
        <v>260</v>
      </c>
      <c r="C48" s="2943">
        <v>23100</v>
      </c>
      <c r="D48" s="2943">
        <v>21110</v>
      </c>
      <c r="E48" s="2943">
        <v>23080</v>
      </c>
      <c r="F48" s="2943"/>
      <c r="G48" s="2956">
        <v>14780</v>
      </c>
      <c r="N48" s="2943" t="s">
        <v>3046</v>
      </c>
      <c r="Q48" s="2943" t="s">
        <v>3047</v>
      </c>
    </row>
    <row r="49" spans="1:17" ht="14.25" customHeight="1">
      <c r="A49" s="2943" t="s">
        <v>296</v>
      </c>
      <c r="B49" s="2944" t="s">
        <v>267</v>
      </c>
      <c r="C49" s="2943">
        <v>23400</v>
      </c>
      <c r="D49" s="2943">
        <v>22920</v>
      </c>
      <c r="E49" s="2943">
        <v>24900</v>
      </c>
      <c r="F49" s="2943"/>
      <c r="G49" s="2956">
        <v>16040</v>
      </c>
      <c r="N49" s="2943" t="s">
        <v>3048</v>
      </c>
      <c r="Q49" s="2943" t="s">
        <v>3049</v>
      </c>
    </row>
    <row r="50" spans="1:17" ht="14.25" customHeight="1">
      <c r="A50" s="2943" t="s">
        <v>296</v>
      </c>
      <c r="B50" s="2944" t="s">
        <v>2926</v>
      </c>
      <c r="C50" s="2943">
        <v>21200</v>
      </c>
      <c r="D50" s="2943">
        <v>26540</v>
      </c>
      <c r="E50" s="2943">
        <v>23200</v>
      </c>
      <c r="F50" s="2943"/>
      <c r="G50" s="2956">
        <v>18580</v>
      </c>
      <c r="N50" s="2943" t="s">
        <v>3050</v>
      </c>
      <c r="Q50" s="2944" t="s">
        <v>3051</v>
      </c>
    </row>
    <row r="51" spans="1:17" ht="14.25" customHeight="1" thickBot="1">
      <c r="A51" s="2943" t="s">
        <v>296</v>
      </c>
      <c r="B51" s="2944" t="s">
        <v>2928</v>
      </c>
      <c r="C51" s="2943">
        <v>23000</v>
      </c>
      <c r="D51" s="2943">
        <v>23460</v>
      </c>
      <c r="E51" s="2943">
        <v>25290</v>
      </c>
      <c r="F51" s="2943"/>
      <c r="G51" s="2956">
        <v>16420</v>
      </c>
      <c r="N51" s="2943" t="s">
        <v>3052</v>
      </c>
      <c r="Q51" s="2950" t="s">
        <v>3053</v>
      </c>
    </row>
    <row r="52" spans="1:17" ht="14.25" customHeight="1">
      <c r="A52" s="2943" t="s">
        <v>296</v>
      </c>
      <c r="B52" s="2944" t="s">
        <v>2932</v>
      </c>
      <c r="C52" s="2943">
        <v>26660</v>
      </c>
      <c r="D52" s="2943">
        <v>22350</v>
      </c>
      <c r="E52" s="2943">
        <v>22920</v>
      </c>
      <c r="F52" s="2943"/>
      <c r="G52" s="2956">
        <v>15640</v>
      </c>
      <c r="N52" s="2943" t="s">
        <v>3054</v>
      </c>
    </row>
    <row r="53" spans="1:17" ht="14.25" customHeight="1">
      <c r="A53" s="2943" t="s">
        <v>296</v>
      </c>
      <c r="B53" s="2944" t="s">
        <v>2937</v>
      </c>
      <c r="C53" s="2943">
        <v>23580</v>
      </c>
      <c r="D53" s="2943"/>
      <c r="E53" s="2943">
        <v>24280</v>
      </c>
      <c r="F53" s="2943"/>
      <c r="G53" s="2956"/>
      <c r="N53" s="2943" t="s">
        <v>3055</v>
      </c>
    </row>
    <row r="54" spans="1:17" ht="14.25" customHeight="1" thickBot="1">
      <c r="A54" s="2957" t="s">
        <v>296</v>
      </c>
      <c r="B54" s="2949" t="s">
        <v>2940</v>
      </c>
      <c r="C54" s="2950">
        <v>22460</v>
      </c>
      <c r="D54" s="2950"/>
      <c r="E54" s="2950"/>
      <c r="F54" s="2950"/>
      <c r="G54" s="2958"/>
      <c r="N54" s="2943" t="s">
        <v>3056</v>
      </c>
    </row>
    <row r="55" spans="1:17" ht="14.25" customHeight="1">
      <c r="A55" s="2948" t="s">
        <v>110</v>
      </c>
      <c r="B55" s="2939" t="s">
        <v>3057</v>
      </c>
      <c r="C55" s="2943">
        <v>21970</v>
      </c>
      <c r="D55" s="2943">
        <v>20370</v>
      </c>
      <c r="E55" s="2943">
        <v>20180</v>
      </c>
      <c r="F55" s="2943">
        <v>5730</v>
      </c>
      <c r="G55" s="2943">
        <v>13820</v>
      </c>
      <c r="N55" s="2943" t="s">
        <v>3058</v>
      </c>
    </row>
    <row r="56" spans="1:17" ht="14.25" customHeight="1">
      <c r="A56" s="2943" t="s">
        <v>110</v>
      </c>
      <c r="B56" s="2943" t="s">
        <v>130</v>
      </c>
      <c r="C56" s="2943">
        <v>20470</v>
      </c>
      <c r="D56" s="2943">
        <v>20700</v>
      </c>
      <c r="E56" s="2943">
        <v>20380</v>
      </c>
      <c r="F56" s="2943">
        <v>4760</v>
      </c>
      <c r="G56" s="2943">
        <v>14050</v>
      </c>
      <c r="N56" s="2943" t="s">
        <v>3059</v>
      </c>
    </row>
    <row r="57" spans="1:17" ht="14.25" customHeight="1">
      <c r="A57" s="2943" t="s">
        <v>110</v>
      </c>
      <c r="B57" s="2943" t="s">
        <v>139</v>
      </c>
      <c r="C57" s="2943">
        <v>20790</v>
      </c>
      <c r="D57" s="2943">
        <v>21370</v>
      </c>
      <c r="E57" s="2943">
        <v>20890</v>
      </c>
      <c r="F57" s="2943">
        <v>4910</v>
      </c>
      <c r="G57" s="2943">
        <v>14510</v>
      </c>
      <c r="N57" s="2943" t="s">
        <v>3060</v>
      </c>
    </row>
    <row r="58" spans="1:17" ht="14.25" customHeight="1">
      <c r="A58" s="2943" t="s">
        <v>110</v>
      </c>
      <c r="B58" s="2943" t="s">
        <v>148</v>
      </c>
      <c r="C58" s="2943">
        <v>21460</v>
      </c>
      <c r="D58" s="2943">
        <v>20920</v>
      </c>
      <c r="E58" s="2943">
        <v>23410</v>
      </c>
      <c r="F58" s="2943">
        <v>5100</v>
      </c>
      <c r="G58" s="2943">
        <v>14200</v>
      </c>
      <c r="N58" s="2943" t="s">
        <v>3061</v>
      </c>
    </row>
    <row r="59" spans="1:17" ht="14.25" customHeight="1">
      <c r="A59" s="2943" t="s">
        <v>110</v>
      </c>
      <c r="B59" s="2943" t="s">
        <v>157</v>
      </c>
      <c r="C59" s="2943">
        <v>21000</v>
      </c>
      <c r="D59" s="2943">
        <v>21550</v>
      </c>
      <c r="E59" s="2943">
        <v>21150</v>
      </c>
      <c r="F59" s="2943">
        <v>5250</v>
      </c>
      <c r="G59" s="2943">
        <v>14630</v>
      </c>
      <c r="N59" s="2943" t="s">
        <v>3062</v>
      </c>
    </row>
    <row r="60" spans="1:17" ht="14.25" customHeight="1">
      <c r="A60" s="2943" t="s">
        <v>110</v>
      </c>
      <c r="B60" s="2943" t="s">
        <v>164</v>
      </c>
      <c r="C60" s="2943">
        <v>21640</v>
      </c>
      <c r="D60" s="2943">
        <v>21260</v>
      </c>
      <c r="E60" s="2943">
        <v>24040</v>
      </c>
      <c r="F60" s="2943">
        <v>4470</v>
      </c>
      <c r="G60" s="2943">
        <v>14430</v>
      </c>
      <c r="N60" s="2943" t="s">
        <v>3063</v>
      </c>
    </row>
    <row r="61" spans="1:17" ht="14.25" customHeight="1">
      <c r="A61" s="2943" t="s">
        <v>110</v>
      </c>
      <c r="B61" s="2943" t="s">
        <v>170</v>
      </c>
      <c r="C61" s="2943">
        <v>21330</v>
      </c>
      <c r="D61" s="2943">
        <v>18640</v>
      </c>
      <c r="E61" s="2943">
        <v>21190</v>
      </c>
      <c r="F61" s="2943">
        <v>4180</v>
      </c>
      <c r="G61" s="2943">
        <v>12650</v>
      </c>
      <c r="N61" s="2943" t="s">
        <v>3064</v>
      </c>
    </row>
    <row r="62" spans="1:17" ht="14.25" customHeight="1">
      <c r="A62" s="2943" t="s">
        <v>110</v>
      </c>
      <c r="B62" s="2943" t="s">
        <v>177</v>
      </c>
      <c r="C62" s="2943">
        <v>18710</v>
      </c>
      <c r="D62" s="2943">
        <v>19400</v>
      </c>
      <c r="E62" s="2943">
        <v>23750</v>
      </c>
      <c r="F62" s="2943">
        <v>4860</v>
      </c>
      <c r="G62" s="2943">
        <v>13170</v>
      </c>
      <c r="N62" s="2943" t="s">
        <v>3065</v>
      </c>
    </row>
    <row r="63" spans="1:17" ht="14.25" customHeight="1">
      <c r="A63" s="2943" t="s">
        <v>110</v>
      </c>
      <c r="B63" s="2943" t="s">
        <v>187</v>
      </c>
      <c r="C63" s="2943">
        <v>19480</v>
      </c>
      <c r="D63" s="2943">
        <v>16830</v>
      </c>
      <c r="E63" s="2943">
        <v>21590</v>
      </c>
      <c r="F63" s="2943">
        <v>4560</v>
      </c>
      <c r="G63" s="2943">
        <v>11420</v>
      </c>
      <c r="N63" s="2943" t="s">
        <v>3066</v>
      </c>
    </row>
    <row r="64" spans="1:17" ht="14.25" customHeight="1" thickBot="1">
      <c r="A64" s="2943" t="s">
        <v>110</v>
      </c>
      <c r="B64" s="2943" t="s">
        <v>196</v>
      </c>
      <c r="C64" s="2943">
        <v>16920</v>
      </c>
      <c r="D64" s="2943">
        <v>19190</v>
      </c>
      <c r="E64" s="2943">
        <v>22200</v>
      </c>
      <c r="F64" s="2943">
        <v>4390</v>
      </c>
      <c r="G64" s="2943">
        <v>13030</v>
      </c>
      <c r="N64" s="2950" t="s">
        <v>3067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2938</v>
      </c>
      <c r="C78" s="2943">
        <v>19820</v>
      </c>
      <c r="D78" s="2943">
        <v>19780</v>
      </c>
      <c r="E78" s="2943">
        <v>18560</v>
      </c>
      <c r="F78" s="2943"/>
      <c r="G78" s="2943">
        <v>13430</v>
      </c>
    </row>
    <row r="79" spans="1:7" s="2777" customFormat="1" ht="14.25" customHeight="1">
      <c r="A79" s="2943" t="s">
        <v>110</v>
      </c>
      <c r="B79" s="2943" t="s">
        <v>2941</v>
      </c>
      <c r="C79" s="2943">
        <v>21660</v>
      </c>
      <c r="D79" s="2943">
        <v>18000</v>
      </c>
      <c r="E79" s="2943">
        <v>22570</v>
      </c>
      <c r="F79" s="2943"/>
      <c r="G79" s="2943">
        <v>12220</v>
      </c>
    </row>
    <row r="80" spans="1:7" s="2777" customFormat="1" ht="14.25" customHeight="1">
      <c r="A80" s="2943" t="s">
        <v>110</v>
      </c>
      <c r="B80" s="2943" t="s">
        <v>2945</v>
      </c>
      <c r="C80" s="2943">
        <v>19850</v>
      </c>
      <c r="D80" s="2943"/>
      <c r="E80" s="2943">
        <v>21700</v>
      </c>
      <c r="F80" s="2943"/>
      <c r="G80" s="2943"/>
    </row>
    <row r="81" spans="1:7" s="2777" customFormat="1" ht="14.25" customHeight="1">
      <c r="A81" s="2943" t="s">
        <v>110</v>
      </c>
      <c r="B81" s="2943" t="s">
        <v>2950</v>
      </c>
      <c r="C81" s="2943">
        <v>18080</v>
      </c>
      <c r="D81" s="2943"/>
      <c r="E81" s="2943">
        <v>20900</v>
      </c>
      <c r="F81" s="2943"/>
      <c r="G81" s="2943"/>
    </row>
    <row r="82" spans="1:7" s="2777" customFormat="1" ht="14.25" customHeight="1">
      <c r="A82" s="2943" t="s">
        <v>110</v>
      </c>
      <c r="B82" s="2943" t="s">
        <v>2957</v>
      </c>
      <c r="C82" s="2943"/>
      <c r="D82" s="2943"/>
      <c r="E82" s="2943">
        <v>20840</v>
      </c>
      <c r="F82" s="2943"/>
      <c r="G82" s="2943"/>
    </row>
    <row r="83" spans="1:7" s="2777" customFormat="1" ht="14.25" customHeight="1">
      <c r="A83" s="2943" t="s">
        <v>110</v>
      </c>
      <c r="B83" s="2943" t="s">
        <v>3068</v>
      </c>
      <c r="C83" s="2943"/>
      <c r="D83" s="2943"/>
      <c r="E83" s="2943"/>
      <c r="F83" s="2943">
        <v>4770</v>
      </c>
      <c r="G83" s="2943"/>
    </row>
    <row r="84" spans="1:7" s="2777" customFormat="1" ht="14.25" customHeight="1">
      <c r="A84" s="2943" t="s">
        <v>110</v>
      </c>
      <c r="B84" s="2943" t="s">
        <v>3069</v>
      </c>
      <c r="C84" s="2943"/>
      <c r="D84" s="2943"/>
      <c r="E84" s="2943"/>
      <c r="F84" s="2943">
        <v>4600</v>
      </c>
      <c r="G84" s="2943"/>
    </row>
    <row r="85" spans="1:7" s="2777" customFormat="1" ht="14.25" customHeight="1">
      <c r="A85" s="2943" t="s">
        <v>110</v>
      </c>
      <c r="B85" s="2943" t="s">
        <v>3070</v>
      </c>
      <c r="C85" s="2943"/>
      <c r="D85" s="2943"/>
      <c r="E85" s="2943"/>
      <c r="F85" s="2943">
        <v>4680</v>
      </c>
      <c r="G85" s="2943"/>
    </row>
    <row r="86" spans="1:7" s="2777" customFormat="1" ht="14.25" customHeight="1" thickBot="1">
      <c r="A86" s="2951" t="s">
        <v>110</v>
      </c>
      <c r="B86" s="2953" t="s">
        <v>3071</v>
      </c>
      <c r="C86" s="2954">
        <v>16610</v>
      </c>
      <c r="D86" s="2954">
        <v>16540</v>
      </c>
      <c r="E86" s="2954">
        <v>18850</v>
      </c>
      <c r="F86" s="2954"/>
      <c r="G86" s="2954">
        <v>11220</v>
      </c>
    </row>
    <row r="87" spans="1:7" s="2777" customFormat="1" ht="14.25" customHeight="1">
      <c r="A87" s="2948" t="s">
        <v>303</v>
      </c>
      <c r="B87" s="2939" t="s">
        <v>3072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2951</v>
      </c>
      <c r="C113" s="2943">
        <v>15520</v>
      </c>
      <c r="D113" s="2943">
        <v>15450</v>
      </c>
      <c r="E113" s="2943"/>
      <c r="F113" s="2943"/>
      <c r="G113" s="2956">
        <v>10210</v>
      </c>
    </row>
    <row r="114" spans="1:7" s="2777" customFormat="1" ht="14.25" customHeight="1">
      <c r="A114" s="2943" t="s">
        <v>303</v>
      </c>
      <c r="B114" s="2943" t="s">
        <v>2958</v>
      </c>
      <c r="C114" s="2943">
        <v>13110</v>
      </c>
      <c r="D114" s="2943">
        <v>13050</v>
      </c>
      <c r="E114" s="2943"/>
      <c r="F114" s="2943"/>
      <c r="G114" s="2956">
        <v>8620</v>
      </c>
    </row>
    <row r="115" spans="1:7" s="2777" customFormat="1" ht="14.25" customHeight="1">
      <c r="A115" s="2943" t="s">
        <v>303</v>
      </c>
      <c r="B115" s="2943" t="s">
        <v>2964</v>
      </c>
      <c r="C115" s="2943">
        <v>12460</v>
      </c>
      <c r="D115" s="2943">
        <v>12390</v>
      </c>
      <c r="E115" s="2943"/>
      <c r="F115" s="2943"/>
      <c r="G115" s="2956">
        <v>8190</v>
      </c>
    </row>
    <row r="116" spans="1:7" s="2777" customFormat="1" ht="14.25" customHeight="1">
      <c r="A116" s="2943" t="s">
        <v>303</v>
      </c>
      <c r="B116" s="2943" t="s">
        <v>2971</v>
      </c>
      <c r="C116" s="2943">
        <v>13580</v>
      </c>
      <c r="D116" s="2943">
        <v>13520</v>
      </c>
      <c r="E116" s="2943"/>
      <c r="F116" s="2943"/>
      <c r="G116" s="2956">
        <v>8930</v>
      </c>
    </row>
    <row r="117" spans="1:7" s="2777" customFormat="1" ht="14.25" customHeight="1">
      <c r="A117" s="2943" t="s">
        <v>303</v>
      </c>
      <c r="B117" s="2943" t="s">
        <v>2978</v>
      </c>
      <c r="C117" s="2943">
        <v>17120</v>
      </c>
      <c r="D117" s="2943">
        <v>17040</v>
      </c>
      <c r="E117" s="2943"/>
      <c r="F117" s="2943"/>
      <c r="G117" s="2956">
        <v>11260</v>
      </c>
    </row>
    <row r="118" spans="1:7" s="2777" customFormat="1" ht="14.25" customHeight="1">
      <c r="A118" s="2943" t="s">
        <v>303</v>
      </c>
      <c r="B118" s="2943" t="s">
        <v>2983</v>
      </c>
      <c r="C118" s="2943">
        <v>14860</v>
      </c>
      <c r="D118" s="2943">
        <v>14790</v>
      </c>
      <c r="E118" s="2943"/>
      <c r="F118" s="2943"/>
      <c r="G118" s="2956">
        <v>9780</v>
      </c>
    </row>
    <row r="119" spans="1:7" s="2777" customFormat="1" ht="14.25" customHeight="1">
      <c r="A119" s="2943" t="s">
        <v>303</v>
      </c>
      <c r="B119" s="2943" t="s">
        <v>2987</v>
      </c>
      <c r="C119" s="2943">
        <v>16470</v>
      </c>
      <c r="D119" s="2943">
        <v>16400</v>
      </c>
      <c r="E119" s="2943"/>
      <c r="F119" s="2943"/>
      <c r="G119" s="2956">
        <v>10840</v>
      </c>
    </row>
    <row r="120" spans="1:7" s="2777" customFormat="1" ht="14.25" customHeight="1">
      <c r="A120" s="2943" t="s">
        <v>303</v>
      </c>
      <c r="B120" s="2943" t="s">
        <v>3073</v>
      </c>
      <c r="C120" s="2943"/>
      <c r="D120" s="2943"/>
      <c r="E120" s="2943"/>
      <c r="F120" s="2943">
        <v>4160</v>
      </c>
      <c r="G120" s="2956"/>
    </row>
    <row r="121" spans="1:7" s="2777" customFormat="1" ht="14.25" customHeight="1">
      <c r="A121" s="2943" t="s">
        <v>303</v>
      </c>
      <c r="B121" s="2943" t="s">
        <v>3074</v>
      </c>
      <c r="C121" s="2943"/>
      <c r="D121" s="2943"/>
      <c r="E121" s="2943"/>
      <c r="F121" s="2943">
        <v>3880</v>
      </c>
      <c r="G121" s="2956"/>
    </row>
    <row r="122" spans="1:7" s="2777" customFormat="1" ht="14.25" customHeight="1">
      <c r="A122" s="2943" t="s">
        <v>303</v>
      </c>
      <c r="B122" s="2943" t="s">
        <v>3075</v>
      </c>
      <c r="C122" s="2943">
        <v>13750</v>
      </c>
      <c r="D122" s="2943">
        <v>13680</v>
      </c>
      <c r="E122" s="2943">
        <v>16460</v>
      </c>
      <c r="F122" s="2943">
        <v>2880</v>
      </c>
      <c r="G122" s="2956">
        <v>9040</v>
      </c>
    </row>
    <row r="123" spans="1:7" s="2777" customFormat="1" ht="14.25" customHeight="1">
      <c r="A123" s="2943" t="s">
        <v>303</v>
      </c>
      <c r="B123" s="2943" t="s">
        <v>3006</v>
      </c>
      <c r="C123" s="2943">
        <v>13590</v>
      </c>
      <c r="D123" s="2943">
        <v>13520</v>
      </c>
      <c r="E123" s="2943">
        <v>16290</v>
      </c>
      <c r="F123" s="2943">
        <v>2790</v>
      </c>
      <c r="G123" s="2956">
        <v>8930</v>
      </c>
    </row>
    <row r="124" spans="1:7" s="2777" customFormat="1" ht="14.25" customHeight="1">
      <c r="A124" s="2943" t="s">
        <v>303</v>
      </c>
      <c r="B124" s="2943" t="s">
        <v>3011</v>
      </c>
      <c r="C124" s="2943">
        <v>13400</v>
      </c>
      <c r="D124" s="2943">
        <v>13320</v>
      </c>
      <c r="E124" s="2943">
        <v>16100</v>
      </c>
      <c r="F124" s="2943">
        <v>2320</v>
      </c>
      <c r="G124" s="2956">
        <v>8800</v>
      </c>
    </row>
    <row r="125" spans="1:7" s="2777" customFormat="1" ht="14.25" customHeight="1">
      <c r="A125" s="2943" t="s">
        <v>303</v>
      </c>
      <c r="B125" s="2943" t="s">
        <v>3016</v>
      </c>
      <c r="C125" s="2943">
        <v>12860</v>
      </c>
      <c r="D125" s="2943">
        <v>12790</v>
      </c>
      <c r="E125" s="2943">
        <v>15370</v>
      </c>
      <c r="F125" s="2943">
        <v>2280</v>
      </c>
      <c r="G125" s="2956">
        <v>8450</v>
      </c>
    </row>
    <row r="126" spans="1:7" s="2777" customFormat="1" ht="14.25" customHeight="1" thickBot="1">
      <c r="A126" s="2957" t="s">
        <v>303</v>
      </c>
      <c r="B126" s="2950" t="s">
        <v>3021</v>
      </c>
      <c r="C126" s="2950">
        <v>12960</v>
      </c>
      <c r="D126" s="2950">
        <v>12890</v>
      </c>
      <c r="E126" s="2950">
        <v>15530</v>
      </c>
      <c r="F126" s="2950">
        <v>2910</v>
      </c>
      <c r="G126" s="2958">
        <v>8520</v>
      </c>
    </row>
    <row r="127" spans="1:7" s="2777" customFormat="1" ht="14.25" customHeight="1">
      <c r="A127" s="2948" t="s">
        <v>29</v>
      </c>
      <c r="B127" s="2939" t="s">
        <v>3076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3077</v>
      </c>
      <c r="C148" s="2943">
        <v>10370</v>
      </c>
      <c r="D148" s="2943">
        <v>10310</v>
      </c>
      <c r="E148" s="2943">
        <v>12970</v>
      </c>
      <c r="F148" s="2943"/>
      <c r="G148" s="2943">
        <v>6630</v>
      </c>
    </row>
    <row r="149" spans="1:7" s="2777" customFormat="1" ht="14.25" customHeight="1">
      <c r="A149" s="2943" t="s">
        <v>29</v>
      </c>
      <c r="B149" s="2943" t="s">
        <v>3078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2952</v>
      </c>
      <c r="C153" s="2943">
        <v>10880</v>
      </c>
      <c r="D153" s="2943">
        <v>10820</v>
      </c>
      <c r="E153" s="2943">
        <v>13660</v>
      </c>
      <c r="F153" s="2943">
        <v>2260</v>
      </c>
      <c r="G153" s="2943">
        <v>6970</v>
      </c>
    </row>
    <row r="154" spans="1:7" s="2777" customFormat="1" ht="14.25" customHeight="1">
      <c r="A154" s="2943" t="s">
        <v>29</v>
      </c>
      <c r="B154" s="2943" t="s">
        <v>3079</v>
      </c>
      <c r="C154" s="2943">
        <v>11220</v>
      </c>
      <c r="D154" s="2943">
        <v>11160</v>
      </c>
      <c r="E154" s="2943">
        <v>14130</v>
      </c>
      <c r="F154" s="2943">
        <v>2230</v>
      </c>
      <c r="G154" s="2943">
        <v>7180</v>
      </c>
    </row>
    <row r="155" spans="1:7" s="2777" customFormat="1" ht="14.25" customHeight="1">
      <c r="A155" s="2943" t="s">
        <v>29</v>
      </c>
      <c r="B155" s="2943" t="s">
        <v>2965</v>
      </c>
      <c r="C155" s="2943">
        <v>10430</v>
      </c>
      <c r="D155" s="2943">
        <v>10380</v>
      </c>
      <c r="E155" s="2943">
        <v>13140</v>
      </c>
      <c r="F155" s="2943">
        <v>2080</v>
      </c>
      <c r="G155" s="2943">
        <v>6650</v>
      </c>
    </row>
    <row r="156" spans="1:7" s="2777" customFormat="1" ht="14.25" customHeight="1">
      <c r="A156" s="2943" t="s">
        <v>29</v>
      </c>
      <c r="B156" s="2943" t="s">
        <v>3080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3081</v>
      </c>
      <c r="C160" s="2943">
        <v>11180</v>
      </c>
      <c r="D160" s="2943">
        <v>11140</v>
      </c>
      <c r="E160" s="2943">
        <v>14050</v>
      </c>
      <c r="F160" s="2943">
        <v>2270</v>
      </c>
      <c r="G160" s="2943">
        <v>7170</v>
      </c>
    </row>
    <row r="161" spans="1:7" s="2777" customFormat="1" ht="14.25" customHeight="1">
      <c r="A161" s="2943" t="s">
        <v>29</v>
      </c>
      <c r="B161" s="2943" t="s">
        <v>2997</v>
      </c>
      <c r="C161" s="2943">
        <v>11160</v>
      </c>
      <c r="D161" s="2943">
        <v>11120</v>
      </c>
      <c r="E161" s="2943">
        <v>14020</v>
      </c>
      <c r="F161" s="2943">
        <v>2150</v>
      </c>
      <c r="G161" s="2943">
        <v>7160</v>
      </c>
    </row>
    <row r="162" spans="1:7" s="2777" customFormat="1" ht="14.25" customHeight="1">
      <c r="A162" s="2943" t="s">
        <v>29</v>
      </c>
      <c r="B162" s="2943" t="s">
        <v>3002</v>
      </c>
      <c r="C162" s="2943">
        <v>9620</v>
      </c>
      <c r="D162" s="2943">
        <v>9570</v>
      </c>
      <c r="E162" s="2943">
        <v>12320</v>
      </c>
      <c r="F162" s="2943">
        <v>2010</v>
      </c>
      <c r="G162" s="2943">
        <v>6160</v>
      </c>
    </row>
    <row r="163" spans="1:7" s="2777" customFormat="1" ht="14.25" customHeight="1">
      <c r="A163" s="2943" t="s">
        <v>29</v>
      </c>
      <c r="B163" s="2943" t="s">
        <v>3007</v>
      </c>
      <c r="C163" s="2943">
        <v>9320</v>
      </c>
      <c r="D163" s="2943">
        <v>9270</v>
      </c>
      <c r="E163" s="2943">
        <v>11790</v>
      </c>
      <c r="F163" s="2943">
        <v>1920</v>
      </c>
      <c r="G163" s="2943">
        <v>5960</v>
      </c>
    </row>
    <row r="164" spans="1:7" s="2777" customFormat="1" ht="14.25" customHeight="1">
      <c r="A164" s="2943" t="s">
        <v>29</v>
      </c>
      <c r="B164" s="2943" t="s">
        <v>3012</v>
      </c>
      <c r="C164" s="2943"/>
      <c r="D164" s="2943"/>
      <c r="E164" s="2943"/>
      <c r="F164" s="2943">
        <v>1980</v>
      </c>
      <c r="G164" s="2943"/>
    </row>
    <row r="165" spans="1:7" s="2777" customFormat="1" ht="14.25" customHeight="1">
      <c r="A165" s="2943" t="s">
        <v>29</v>
      </c>
      <c r="B165" s="2943" t="s">
        <v>3082</v>
      </c>
      <c r="C165" s="2943">
        <v>11060</v>
      </c>
      <c r="D165" s="2943">
        <v>11030</v>
      </c>
      <c r="E165" s="2943">
        <v>13850</v>
      </c>
      <c r="F165" s="2943">
        <v>2170</v>
      </c>
      <c r="G165" s="2943">
        <v>7090</v>
      </c>
    </row>
    <row r="166" spans="1:7" s="2777" customFormat="1" ht="14.25" customHeight="1">
      <c r="A166" s="2943" t="s">
        <v>29</v>
      </c>
      <c r="B166" s="2943" t="s">
        <v>3022</v>
      </c>
      <c r="C166" s="2943">
        <v>11050</v>
      </c>
      <c r="D166" s="2943">
        <v>11010</v>
      </c>
      <c r="E166" s="2943">
        <v>13920</v>
      </c>
      <c r="F166" s="2943">
        <v>2140</v>
      </c>
      <c r="G166" s="2943">
        <v>7080</v>
      </c>
    </row>
    <row r="167" spans="1:7" s="2777" customFormat="1" ht="14.25" customHeight="1">
      <c r="A167" s="2943" t="s">
        <v>29</v>
      </c>
      <c r="B167" s="2943" t="s">
        <v>3026</v>
      </c>
      <c r="C167" s="2943">
        <v>10930</v>
      </c>
      <c r="D167" s="2943">
        <v>10890</v>
      </c>
      <c r="E167" s="2943">
        <v>13790</v>
      </c>
      <c r="F167" s="2943">
        <v>2010</v>
      </c>
      <c r="G167" s="2943">
        <v>7000</v>
      </c>
    </row>
    <row r="168" spans="1:7" s="2777" customFormat="1" ht="14.25" customHeight="1">
      <c r="A168" s="2943" t="s">
        <v>29</v>
      </c>
      <c r="B168" s="2943" t="s">
        <v>3031</v>
      </c>
      <c r="C168" s="2943">
        <v>9420</v>
      </c>
      <c r="D168" s="2943">
        <v>9380</v>
      </c>
      <c r="E168" s="2943">
        <v>11970</v>
      </c>
      <c r="F168" s="2943"/>
      <c r="G168" s="2943">
        <v>6040</v>
      </c>
    </row>
    <row r="169" spans="1:7" s="2777" customFormat="1" ht="14.25" customHeight="1">
      <c r="A169" s="2943" t="s">
        <v>29</v>
      </c>
      <c r="B169" s="2943" t="s">
        <v>3083</v>
      </c>
      <c r="C169" s="2943"/>
      <c r="D169" s="2943"/>
      <c r="E169" s="2943"/>
      <c r="F169" s="2943">
        <v>2880</v>
      </c>
      <c r="G169" s="2943"/>
    </row>
    <row r="170" spans="1:7" s="2777" customFormat="1" ht="14.25" customHeight="1">
      <c r="A170" s="2943" t="s">
        <v>29</v>
      </c>
      <c r="B170" s="2943" t="s">
        <v>3039</v>
      </c>
      <c r="C170" s="2943"/>
      <c r="D170" s="2943"/>
      <c r="E170" s="2943"/>
      <c r="F170" s="2943">
        <v>2880</v>
      </c>
      <c r="G170" s="2943"/>
    </row>
    <row r="171" spans="1:7" s="2777" customFormat="1" ht="14.25" customHeight="1">
      <c r="A171" s="2943" t="s">
        <v>29</v>
      </c>
      <c r="B171" s="2943" t="s">
        <v>3042</v>
      </c>
      <c r="C171" s="2943"/>
      <c r="D171" s="2943"/>
      <c r="E171" s="2943"/>
      <c r="F171" s="2943">
        <v>2880</v>
      </c>
      <c r="G171" s="2943"/>
    </row>
    <row r="172" spans="1:7" s="2777" customFormat="1" ht="14.25" customHeight="1">
      <c r="A172" s="2943" t="s">
        <v>29</v>
      </c>
      <c r="B172" s="2943" t="s">
        <v>3044</v>
      </c>
      <c r="C172" s="2943"/>
      <c r="D172" s="2943"/>
      <c r="E172" s="2943"/>
      <c r="F172" s="2943">
        <v>2880</v>
      </c>
      <c r="G172" s="2943"/>
    </row>
    <row r="173" spans="1:7" s="2777" customFormat="1" ht="14.25" customHeight="1">
      <c r="A173" s="2943" t="s">
        <v>29</v>
      </c>
      <c r="B173" s="2943" t="s">
        <v>3046</v>
      </c>
      <c r="C173" s="2943"/>
      <c r="D173" s="2943"/>
      <c r="E173" s="2943"/>
      <c r="F173" s="2943">
        <v>2150</v>
      </c>
      <c r="G173" s="2943"/>
    </row>
    <row r="174" spans="1:7" s="2777" customFormat="1" ht="14.25" customHeight="1">
      <c r="A174" s="2943" t="s">
        <v>29</v>
      </c>
      <c r="B174" s="2943" t="s">
        <v>3048</v>
      </c>
      <c r="C174" s="2943"/>
      <c r="D174" s="2943"/>
      <c r="E174" s="2943"/>
      <c r="F174" s="2943">
        <v>2030</v>
      </c>
      <c r="G174" s="2943"/>
    </row>
    <row r="175" spans="1:7" s="2777" customFormat="1" ht="14.25" customHeight="1">
      <c r="A175" s="2943" t="s">
        <v>29</v>
      </c>
      <c r="B175" s="2943" t="s">
        <v>3050</v>
      </c>
      <c r="C175" s="2943"/>
      <c r="D175" s="2943"/>
      <c r="E175" s="2943"/>
      <c r="F175" s="2943">
        <v>2780</v>
      </c>
      <c r="G175" s="2943"/>
    </row>
    <row r="176" spans="1:7" s="2777" customFormat="1" ht="14.25" customHeight="1">
      <c r="A176" s="2943" t="s">
        <v>29</v>
      </c>
      <c r="B176" s="2943" t="s">
        <v>3052</v>
      </c>
      <c r="C176" s="2943"/>
      <c r="D176" s="2943"/>
      <c r="E176" s="2943"/>
      <c r="F176" s="2943">
        <v>2780</v>
      </c>
      <c r="G176" s="2943"/>
    </row>
    <row r="177" spans="1:7" s="2777" customFormat="1" ht="14.25" customHeight="1">
      <c r="A177" s="2943" t="s">
        <v>29</v>
      </c>
      <c r="B177" s="2943" t="s">
        <v>3084</v>
      </c>
      <c r="C177" s="2943"/>
      <c r="D177" s="2943"/>
      <c r="E177" s="2943"/>
      <c r="F177" s="2943">
        <v>2780</v>
      </c>
      <c r="G177" s="2943"/>
    </row>
    <row r="178" spans="1:7" s="2777" customFormat="1" ht="14.25" customHeight="1">
      <c r="A178" s="2943" t="s">
        <v>29</v>
      </c>
      <c r="B178" s="2943" t="s">
        <v>3085</v>
      </c>
      <c r="C178" s="2943"/>
      <c r="D178" s="2943"/>
      <c r="E178" s="2943"/>
      <c r="F178" s="2943">
        <v>2060</v>
      </c>
      <c r="G178" s="2943"/>
    </row>
    <row r="179" spans="1:7" s="2777" customFormat="1" ht="14.25" customHeight="1">
      <c r="A179" s="2943" t="s">
        <v>29</v>
      </c>
      <c r="B179" s="2943" t="s">
        <v>3086</v>
      </c>
      <c r="C179" s="2943"/>
      <c r="D179" s="2943"/>
      <c r="E179" s="2943"/>
      <c r="F179" s="2943">
        <v>2120</v>
      </c>
      <c r="G179" s="2943"/>
    </row>
    <row r="180" spans="1:7" s="2777" customFormat="1" ht="14.25" customHeight="1">
      <c r="A180" s="2943" t="s">
        <v>29</v>
      </c>
      <c r="B180" s="2943" t="s">
        <v>3058</v>
      </c>
      <c r="C180" s="2943"/>
      <c r="D180" s="2943"/>
      <c r="E180" s="2943"/>
      <c r="F180" s="2943">
        <v>2340</v>
      </c>
      <c r="G180" s="2943"/>
    </row>
    <row r="181" spans="1:7" s="2777" customFormat="1" ht="14.25" customHeight="1">
      <c r="A181" s="2943" t="s">
        <v>29</v>
      </c>
      <c r="B181" s="2943" t="s">
        <v>3059</v>
      </c>
      <c r="C181" s="2943"/>
      <c r="D181" s="2943"/>
      <c r="E181" s="2943"/>
      <c r="F181" s="2943">
        <v>2340</v>
      </c>
      <c r="G181" s="2943"/>
    </row>
    <row r="182" spans="1:7" s="2777" customFormat="1" ht="14.25" customHeight="1">
      <c r="A182" s="2943" t="s">
        <v>29</v>
      </c>
      <c r="B182" s="2943" t="s">
        <v>3060</v>
      </c>
      <c r="C182" s="2943"/>
      <c r="D182" s="2943"/>
      <c r="E182" s="2943"/>
      <c r="F182" s="2943">
        <v>2340</v>
      </c>
      <c r="G182" s="2943"/>
    </row>
    <row r="183" spans="1:7" s="2777" customFormat="1" ht="14.25" customHeight="1">
      <c r="A183" s="2943" t="s">
        <v>29</v>
      </c>
      <c r="B183" s="2943" t="s">
        <v>3061</v>
      </c>
      <c r="C183" s="2943"/>
      <c r="D183" s="2943"/>
      <c r="E183" s="2943"/>
      <c r="F183" s="2943">
        <v>2340</v>
      </c>
      <c r="G183" s="2943"/>
    </row>
    <row r="184" spans="1:7" s="2777" customFormat="1" ht="14.25" customHeight="1">
      <c r="A184" s="2943" t="s">
        <v>29</v>
      </c>
      <c r="B184" s="2943" t="s">
        <v>3062</v>
      </c>
      <c r="C184" s="2943"/>
      <c r="D184" s="2943"/>
      <c r="E184" s="2943"/>
      <c r="F184" s="2943">
        <v>2340</v>
      </c>
      <c r="G184" s="2943"/>
    </row>
    <row r="185" spans="1:7" s="2777" customFormat="1" ht="14.25" customHeight="1">
      <c r="A185" s="2943" t="s">
        <v>29</v>
      </c>
      <c r="B185" s="2943" t="s">
        <v>3063</v>
      </c>
      <c r="C185" s="2943"/>
      <c r="D185" s="2943"/>
      <c r="E185" s="2943"/>
      <c r="F185" s="2943">
        <v>2530</v>
      </c>
      <c r="G185" s="2943"/>
    </row>
    <row r="186" spans="1:7" s="2777" customFormat="1" ht="14.25" customHeight="1">
      <c r="A186" s="2943" t="s">
        <v>29</v>
      </c>
      <c r="B186" s="2943" t="s">
        <v>3064</v>
      </c>
      <c r="C186" s="2943"/>
      <c r="D186" s="2943"/>
      <c r="E186" s="2943"/>
      <c r="F186" s="2943">
        <v>2550</v>
      </c>
      <c r="G186" s="2943"/>
    </row>
    <row r="187" spans="1:7" s="2777" customFormat="1" ht="14.25" customHeight="1">
      <c r="A187" s="2943" t="s">
        <v>29</v>
      </c>
      <c r="B187" s="2943" t="s">
        <v>3065</v>
      </c>
      <c r="C187" s="2943"/>
      <c r="D187" s="2943"/>
      <c r="E187" s="2943"/>
      <c r="F187" s="2943">
        <v>2070</v>
      </c>
      <c r="G187" s="2943"/>
    </row>
    <row r="188" spans="1:7" s="2777" customFormat="1" ht="14.25" customHeight="1">
      <c r="A188" s="2943" t="s">
        <v>29</v>
      </c>
      <c r="B188" s="2943" t="s">
        <v>3066</v>
      </c>
      <c r="C188" s="2943"/>
      <c r="D188" s="2943"/>
      <c r="E188" s="2943"/>
      <c r="F188" s="2943">
        <v>2340</v>
      </c>
      <c r="G188" s="2943"/>
    </row>
    <row r="189" spans="1:7" s="2777" customFormat="1" ht="14.25" customHeight="1" thickBot="1">
      <c r="A189" s="2951" t="s">
        <v>29</v>
      </c>
      <c r="B189" s="2954" t="s">
        <v>3067</v>
      </c>
      <c r="C189" s="2954"/>
      <c r="D189" s="2954"/>
      <c r="E189" s="2954"/>
      <c r="F189" s="2954">
        <v>2050</v>
      </c>
      <c r="G189" s="2954"/>
    </row>
    <row r="190" spans="1:7" s="2777" customFormat="1" ht="14.25" customHeight="1">
      <c r="A190" s="2948" t="s">
        <v>304</v>
      </c>
      <c r="B190" s="2939" t="s">
        <v>3087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3088</v>
      </c>
      <c r="C199" s="2943">
        <v>8690</v>
      </c>
      <c r="D199" s="2943">
        <v>8630</v>
      </c>
      <c r="E199" s="2943">
        <v>11350</v>
      </c>
      <c r="F199" s="2943">
        <v>1600</v>
      </c>
      <c r="G199" s="2956">
        <v>5450</v>
      </c>
    </row>
    <row r="200" spans="1:7" s="2777" customFormat="1" ht="14.25" customHeight="1">
      <c r="A200" s="2943" t="s">
        <v>304</v>
      </c>
      <c r="B200" s="2943" t="s">
        <v>2899</v>
      </c>
      <c r="C200" s="2943"/>
      <c r="D200" s="2943"/>
      <c r="E200" s="2943"/>
      <c r="F200" s="2943">
        <v>1510</v>
      </c>
      <c r="G200" s="2956"/>
    </row>
    <row r="201" spans="1:7" s="2777" customFormat="1" ht="14.25" customHeight="1">
      <c r="A201" s="2943" t="s">
        <v>304</v>
      </c>
      <c r="B201" s="2943" t="s">
        <v>3089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3090</v>
      </c>
      <c r="C203" s="2943">
        <v>8130</v>
      </c>
      <c r="D203" s="2943">
        <v>8070</v>
      </c>
      <c r="E203" s="2943">
        <v>10820</v>
      </c>
      <c r="F203" s="2943">
        <v>1690</v>
      </c>
      <c r="G203" s="2956">
        <v>5100</v>
      </c>
    </row>
    <row r="204" spans="1:7" s="2777" customFormat="1" ht="14.25" customHeight="1">
      <c r="A204" s="2943" t="s">
        <v>304</v>
      </c>
      <c r="B204" s="2943" t="s">
        <v>2910</v>
      </c>
      <c r="C204" s="2943">
        <v>8350</v>
      </c>
      <c r="D204" s="2943">
        <v>8290</v>
      </c>
      <c r="E204" s="2943">
        <v>11080</v>
      </c>
      <c r="F204" s="2943">
        <v>1450</v>
      </c>
      <c r="G204" s="2956">
        <v>5240</v>
      </c>
    </row>
    <row r="205" spans="1:7" s="2777" customFormat="1" ht="14.25" customHeight="1">
      <c r="A205" s="2943" t="s">
        <v>304</v>
      </c>
      <c r="B205" s="2943" t="s">
        <v>2912</v>
      </c>
      <c r="C205" s="2943">
        <v>7190</v>
      </c>
      <c r="D205" s="2943">
        <v>7130</v>
      </c>
      <c r="E205" s="2943">
        <v>9490</v>
      </c>
      <c r="F205" s="2943">
        <v>1470</v>
      </c>
      <c r="G205" s="2956">
        <v>4510</v>
      </c>
    </row>
    <row r="206" spans="1:7" s="2777" customFormat="1" ht="14.25" customHeight="1">
      <c r="A206" s="2943" t="s">
        <v>304</v>
      </c>
      <c r="B206" s="2943" t="s">
        <v>2915</v>
      </c>
      <c r="C206" s="2943">
        <v>7000</v>
      </c>
      <c r="D206" s="2943">
        <v>6950</v>
      </c>
      <c r="E206" s="2943">
        <v>9170</v>
      </c>
      <c r="F206" s="2943">
        <v>1400</v>
      </c>
      <c r="G206" s="2956">
        <v>4380</v>
      </c>
    </row>
    <row r="207" spans="1:7" s="2777" customFormat="1" ht="14.25" customHeight="1">
      <c r="A207" s="2943" t="s">
        <v>304</v>
      </c>
      <c r="B207" s="2943" t="s">
        <v>2917</v>
      </c>
      <c r="C207" s="2943">
        <v>6950</v>
      </c>
      <c r="D207" s="2943">
        <v>6900</v>
      </c>
      <c r="E207" s="2943">
        <v>9110</v>
      </c>
      <c r="F207" s="2943">
        <v>1790</v>
      </c>
      <c r="G207" s="2956">
        <v>4360</v>
      </c>
    </row>
    <row r="208" spans="1:7" s="2777" customFormat="1" ht="14.25" customHeight="1">
      <c r="A208" s="2943" t="s">
        <v>304</v>
      </c>
      <c r="B208" s="2943" t="s">
        <v>3091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2927</v>
      </c>
      <c r="C210" s="2943">
        <v>8710</v>
      </c>
      <c r="D210" s="2943">
        <v>8660</v>
      </c>
      <c r="E210" s="2943">
        <v>11440</v>
      </c>
      <c r="F210" s="2943">
        <v>1740</v>
      </c>
      <c r="G210" s="2956">
        <v>5470</v>
      </c>
    </row>
    <row r="211" spans="1:7" s="2777" customFormat="1" ht="14.25" customHeight="1">
      <c r="A211" s="2943" t="s">
        <v>304</v>
      </c>
      <c r="B211" s="2943" t="s">
        <v>3092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3093</v>
      </c>
      <c r="C214" s="2943">
        <v>8090</v>
      </c>
      <c r="D214" s="2943">
        <v>8030</v>
      </c>
      <c r="E214" s="2943">
        <v>10780</v>
      </c>
      <c r="F214" s="2943">
        <v>1570</v>
      </c>
      <c r="G214" s="2956">
        <v>5070</v>
      </c>
    </row>
    <row r="215" spans="1:7" s="2777" customFormat="1" ht="14.25" customHeight="1">
      <c r="A215" s="2943" t="s">
        <v>304</v>
      </c>
      <c r="B215" s="2943" t="s">
        <v>3094</v>
      </c>
      <c r="C215" s="2943">
        <v>7950</v>
      </c>
      <c r="D215" s="2943">
        <v>7900</v>
      </c>
      <c r="E215" s="2943">
        <v>10560</v>
      </c>
      <c r="F215" s="2943">
        <v>1630</v>
      </c>
      <c r="G215" s="2956">
        <v>4990</v>
      </c>
    </row>
    <row r="216" spans="1:7" s="2777" customFormat="1" ht="14.25" customHeight="1">
      <c r="A216" s="2943" t="s">
        <v>304</v>
      </c>
      <c r="B216" s="2943" t="s">
        <v>3095</v>
      </c>
      <c r="C216" s="2943">
        <v>8490</v>
      </c>
      <c r="D216" s="2943">
        <v>8440</v>
      </c>
      <c r="E216" s="2943">
        <v>11260</v>
      </c>
      <c r="F216" s="2943">
        <v>1690</v>
      </c>
      <c r="G216" s="2956">
        <v>5330</v>
      </c>
    </row>
    <row r="217" spans="1:7" s="2777" customFormat="1" ht="14.25" customHeight="1">
      <c r="A217" s="2943" t="s">
        <v>304</v>
      </c>
      <c r="B217" s="2943" t="s">
        <v>2960</v>
      </c>
      <c r="C217" s="2943">
        <v>8200</v>
      </c>
      <c r="D217" s="2943">
        <v>8150</v>
      </c>
      <c r="E217" s="2943">
        <v>10910</v>
      </c>
      <c r="F217" s="2943">
        <v>1670</v>
      </c>
      <c r="G217" s="2956">
        <v>5150</v>
      </c>
    </row>
    <row r="218" spans="1:7" s="2777" customFormat="1" ht="14.25" customHeight="1">
      <c r="A218" s="2943" t="s">
        <v>304</v>
      </c>
      <c r="B218" s="2943" t="s">
        <v>3096</v>
      </c>
      <c r="C218" s="2943"/>
      <c r="D218" s="2943"/>
      <c r="E218" s="2943"/>
      <c r="F218" s="2943">
        <v>2040</v>
      </c>
      <c r="G218" s="2956"/>
    </row>
    <row r="219" spans="1:7" s="2777" customFormat="1" ht="14.25" customHeight="1">
      <c r="A219" s="2943" t="s">
        <v>304</v>
      </c>
      <c r="B219" s="2943" t="s">
        <v>3097</v>
      </c>
      <c r="C219" s="2943"/>
      <c r="D219" s="2943"/>
      <c r="E219" s="2943"/>
      <c r="F219" s="2943">
        <v>2040</v>
      </c>
      <c r="G219" s="2956"/>
    </row>
    <row r="220" spans="1:7" s="2777" customFormat="1" ht="14.25" customHeight="1">
      <c r="A220" s="2943" t="s">
        <v>304</v>
      </c>
      <c r="B220" s="2943" t="s">
        <v>3098</v>
      </c>
      <c r="C220" s="2943"/>
      <c r="D220" s="2943"/>
      <c r="E220" s="2943"/>
      <c r="F220" s="2943">
        <v>2040</v>
      </c>
      <c r="G220" s="2956"/>
    </row>
    <row r="221" spans="1:7" s="2777" customFormat="1" ht="14.25" customHeight="1">
      <c r="A221" s="2943" t="s">
        <v>304</v>
      </c>
      <c r="B221" s="2943" t="s">
        <v>3099</v>
      </c>
      <c r="C221" s="2943"/>
      <c r="D221" s="2943"/>
      <c r="E221" s="2943"/>
      <c r="F221" s="2943">
        <v>2040</v>
      </c>
      <c r="G221" s="2956"/>
    </row>
    <row r="222" spans="1:7" s="2777" customFormat="1" ht="14.25" customHeight="1">
      <c r="A222" s="2943" t="s">
        <v>304</v>
      </c>
      <c r="B222" s="2943" t="s">
        <v>3100</v>
      </c>
      <c r="C222" s="2943"/>
      <c r="D222" s="2943"/>
      <c r="E222" s="2943"/>
      <c r="F222" s="2943">
        <v>2040</v>
      </c>
      <c r="G222" s="2956"/>
    </row>
    <row r="223" spans="1:7" s="2777" customFormat="1" ht="14.25" customHeight="1">
      <c r="A223" s="2943" t="s">
        <v>304</v>
      </c>
      <c r="B223" s="2943" t="s">
        <v>3101</v>
      </c>
      <c r="C223" s="2943"/>
      <c r="D223" s="2943"/>
      <c r="E223" s="2943"/>
      <c r="F223" s="2943">
        <v>1930</v>
      </c>
      <c r="G223" s="2956"/>
    </row>
    <row r="224" spans="1:7" s="2777" customFormat="1" ht="14.25" customHeight="1">
      <c r="A224" s="2943" t="s">
        <v>304</v>
      </c>
      <c r="B224" s="2943" t="s">
        <v>3102</v>
      </c>
      <c r="C224" s="2943"/>
      <c r="D224" s="2943"/>
      <c r="E224" s="2943"/>
      <c r="F224" s="2943">
        <v>1930</v>
      </c>
      <c r="G224" s="2956"/>
    </row>
    <row r="225" spans="1:7" s="2777" customFormat="1" ht="14.25" customHeight="1">
      <c r="A225" s="2943" t="s">
        <v>304</v>
      </c>
      <c r="B225" s="2943" t="s">
        <v>3103</v>
      </c>
      <c r="C225" s="2943"/>
      <c r="D225" s="2943"/>
      <c r="E225" s="2943"/>
      <c r="F225" s="2943">
        <v>1930</v>
      </c>
      <c r="G225" s="2956"/>
    </row>
    <row r="226" spans="1:7" s="2777" customFormat="1" ht="14.25" customHeight="1">
      <c r="A226" s="2943" t="s">
        <v>304</v>
      </c>
      <c r="B226" s="2943" t="s">
        <v>3104</v>
      </c>
      <c r="C226" s="2943"/>
      <c r="D226" s="2943"/>
      <c r="E226" s="2943"/>
      <c r="F226" s="2943">
        <v>1700</v>
      </c>
      <c r="G226" s="2956"/>
    </row>
    <row r="227" spans="1:7" s="2777" customFormat="1" ht="14.25" customHeight="1">
      <c r="A227" s="2943" t="s">
        <v>304</v>
      </c>
      <c r="B227" s="2943" t="s">
        <v>3105</v>
      </c>
      <c r="C227" s="2943"/>
      <c r="D227" s="2943"/>
      <c r="E227" s="2943"/>
      <c r="F227" s="2943">
        <v>1520</v>
      </c>
      <c r="G227" s="2956"/>
    </row>
    <row r="228" spans="1:7" s="2777" customFormat="1" ht="14.25" customHeight="1">
      <c r="A228" s="2943" t="s">
        <v>304</v>
      </c>
      <c r="B228" s="2943" t="s">
        <v>3106</v>
      </c>
      <c r="C228" s="2943"/>
      <c r="D228" s="2943"/>
      <c r="E228" s="2943"/>
      <c r="F228" s="2943">
        <v>1520</v>
      </c>
      <c r="G228" s="2956"/>
    </row>
    <row r="229" spans="1:7" s="2777" customFormat="1" ht="14.25" customHeight="1">
      <c r="A229" s="2943" t="s">
        <v>304</v>
      </c>
      <c r="B229" s="2943" t="s">
        <v>3023</v>
      </c>
      <c r="C229" s="2943"/>
      <c r="D229" s="2943"/>
      <c r="E229" s="2943"/>
      <c r="F229" s="2943">
        <v>1520</v>
      </c>
      <c r="G229" s="2956"/>
    </row>
    <row r="230" spans="1:7" s="2777" customFormat="1" ht="14.25" customHeight="1">
      <c r="A230" s="2943" t="s">
        <v>304</v>
      </c>
      <c r="B230" s="2943" t="s">
        <v>3107</v>
      </c>
      <c r="C230" s="2943"/>
      <c r="D230" s="2943"/>
      <c r="E230" s="2943"/>
      <c r="F230" s="2943">
        <v>1820</v>
      </c>
      <c r="G230" s="2956"/>
    </row>
    <row r="231" spans="1:7" s="2777" customFormat="1" ht="14.25" customHeight="1">
      <c r="A231" s="2943" t="s">
        <v>304</v>
      </c>
      <c r="B231" s="2943" t="s">
        <v>3108</v>
      </c>
      <c r="C231" s="2943"/>
      <c r="D231" s="2943"/>
      <c r="E231" s="2943"/>
      <c r="F231" s="2943">
        <v>1760</v>
      </c>
      <c r="G231" s="2956"/>
    </row>
    <row r="232" spans="1:7" s="2777" customFormat="1" ht="14.25" customHeight="1">
      <c r="A232" s="2943" t="s">
        <v>304</v>
      </c>
      <c r="B232" s="2943" t="s">
        <v>3109</v>
      </c>
      <c r="C232" s="2943"/>
      <c r="D232" s="2943"/>
      <c r="E232" s="2943"/>
      <c r="F232" s="2943">
        <v>1840</v>
      </c>
      <c r="G232" s="2956"/>
    </row>
    <row r="233" spans="1:7" s="2777" customFormat="1" ht="14.25" customHeight="1" thickBot="1">
      <c r="A233" s="2957" t="s">
        <v>304</v>
      </c>
      <c r="B233" s="2950" t="s">
        <v>3040</v>
      </c>
      <c r="C233" s="2950"/>
      <c r="D233" s="2950"/>
      <c r="E233" s="2950"/>
      <c r="F233" s="2950">
        <v>1770</v>
      </c>
      <c r="G233" s="2958"/>
    </row>
    <row r="234" spans="1:7" s="2777" customFormat="1" ht="14.25" customHeight="1">
      <c r="A234" s="2948" t="s">
        <v>305</v>
      </c>
      <c r="B234" s="2939" t="s">
        <v>3110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2881</v>
      </c>
      <c r="C238" s="2943">
        <v>6920</v>
      </c>
      <c r="D238" s="2943">
        <v>6890</v>
      </c>
      <c r="E238" s="2943">
        <v>8640</v>
      </c>
      <c r="F238" s="2943">
        <v>1310</v>
      </c>
      <c r="G238" s="2943">
        <v>4230</v>
      </c>
    </row>
    <row r="239" spans="1:7" s="2777" customFormat="1" ht="14.25" customHeight="1">
      <c r="A239" s="2943" t="s">
        <v>305</v>
      </c>
      <c r="B239" s="2943" t="s">
        <v>3111</v>
      </c>
      <c r="C239" s="2943">
        <v>6780</v>
      </c>
      <c r="D239" s="2943">
        <v>6750</v>
      </c>
      <c r="E239" s="2943">
        <v>8440</v>
      </c>
      <c r="F239" s="2943">
        <v>1160</v>
      </c>
      <c r="G239" s="2943">
        <v>4140</v>
      </c>
    </row>
    <row r="240" spans="1:7" s="2777" customFormat="1" ht="14.25" customHeight="1">
      <c r="A240" s="2943" t="s">
        <v>305</v>
      </c>
      <c r="B240" s="2943" t="s">
        <v>3112</v>
      </c>
      <c r="C240" s="2943">
        <v>5420</v>
      </c>
      <c r="D240" s="2943">
        <v>5380</v>
      </c>
      <c r="E240" s="2943">
        <v>6640</v>
      </c>
      <c r="F240" s="2943">
        <v>1020</v>
      </c>
      <c r="G240" s="2943">
        <v>3300</v>
      </c>
    </row>
    <row r="241" spans="1:7" s="2777" customFormat="1" ht="14.25" customHeight="1">
      <c r="A241" s="2943" t="s">
        <v>305</v>
      </c>
      <c r="B241" s="2943" t="s">
        <v>3113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2943</v>
      </c>
      <c r="C258" s="2943">
        <v>6190</v>
      </c>
      <c r="D258" s="2943">
        <v>6160</v>
      </c>
      <c r="E258" s="2943">
        <v>7680</v>
      </c>
      <c r="F258" s="2943">
        <v>1170</v>
      </c>
      <c r="G258" s="2943">
        <v>3780</v>
      </c>
    </row>
    <row r="259" spans="1:7" s="2777" customFormat="1" ht="14.25" customHeight="1">
      <c r="A259" s="2943" t="s">
        <v>305</v>
      </c>
      <c r="B259" s="2943" t="s">
        <v>3119</v>
      </c>
      <c r="C259" s="2943">
        <v>7610</v>
      </c>
      <c r="D259" s="2943">
        <v>7570</v>
      </c>
      <c r="E259" s="2943">
        <v>9350</v>
      </c>
      <c r="F259" s="2943">
        <v>1350</v>
      </c>
      <c r="G259" s="2943">
        <v>4650</v>
      </c>
    </row>
    <row r="260" spans="1:7" s="2777" customFormat="1" ht="14.25" customHeight="1">
      <c r="A260" s="2943" t="s">
        <v>305</v>
      </c>
      <c r="B260" s="2943" t="s">
        <v>3120</v>
      </c>
      <c r="C260" s="2943">
        <v>6920</v>
      </c>
      <c r="D260" s="2943">
        <v>6880</v>
      </c>
      <c r="E260" s="2943">
        <v>8380</v>
      </c>
      <c r="F260" s="2943">
        <v>1160</v>
      </c>
      <c r="G260" s="2943">
        <v>4220</v>
      </c>
    </row>
    <row r="261" spans="1:7" s="2777" customFormat="1" ht="14.25" customHeight="1">
      <c r="A261" s="2943" t="s">
        <v>305</v>
      </c>
      <c r="B261" s="2943" t="s">
        <v>3121</v>
      </c>
      <c r="C261" s="2943">
        <v>6850</v>
      </c>
      <c r="D261" s="2943">
        <v>6810</v>
      </c>
      <c r="E261" s="2943">
        <v>8290</v>
      </c>
      <c r="F261" s="2943">
        <v>1130</v>
      </c>
      <c r="G261" s="2943">
        <v>4180</v>
      </c>
    </row>
    <row r="262" spans="1:7" s="2777" customFormat="1" ht="14.25" customHeight="1">
      <c r="A262" s="2943" t="s">
        <v>305</v>
      </c>
      <c r="B262" s="2943" t="s">
        <v>3122</v>
      </c>
      <c r="C262" s="2943">
        <v>5860</v>
      </c>
      <c r="D262" s="2943">
        <v>5820</v>
      </c>
      <c r="E262" s="2943">
        <v>7640</v>
      </c>
      <c r="F262" s="2943">
        <v>1070</v>
      </c>
      <c r="G262" s="2943">
        <v>3570</v>
      </c>
    </row>
    <row r="263" spans="1:7" s="2777" customFormat="1" ht="14.25" customHeight="1">
      <c r="A263" s="2943" t="s">
        <v>305</v>
      </c>
      <c r="B263" s="2943" t="s">
        <v>3123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3124</v>
      </c>
      <c r="C265" s="2943"/>
      <c r="D265" s="2943"/>
      <c r="E265" s="2943"/>
      <c r="F265" s="2943">
        <v>1500</v>
      </c>
      <c r="G265" s="2943"/>
    </row>
    <row r="266" spans="1:7" s="2777" customFormat="1" ht="14.25" customHeight="1">
      <c r="A266" s="2943" t="s">
        <v>305</v>
      </c>
      <c r="B266" s="2943" t="s">
        <v>3125</v>
      </c>
      <c r="C266" s="2943"/>
      <c r="D266" s="2943"/>
      <c r="E266" s="2943"/>
      <c r="F266" s="2943">
        <v>1500</v>
      </c>
      <c r="G266" s="2943"/>
    </row>
    <row r="267" spans="1:7" s="2777" customFormat="1" ht="14.25" customHeight="1">
      <c r="A267" s="2943" t="s">
        <v>305</v>
      </c>
      <c r="B267" s="2943" t="s">
        <v>3126</v>
      </c>
      <c r="C267" s="2943"/>
      <c r="D267" s="2943"/>
      <c r="E267" s="2943"/>
      <c r="F267" s="2943">
        <v>1500</v>
      </c>
      <c r="G267" s="2943"/>
    </row>
    <row r="268" spans="1:7" s="2777" customFormat="1" ht="14.25" customHeight="1">
      <c r="A268" s="2943" t="s">
        <v>305</v>
      </c>
      <c r="B268" s="2943" t="s">
        <v>3127</v>
      </c>
      <c r="C268" s="2943"/>
      <c r="D268" s="2943"/>
      <c r="E268" s="2943"/>
      <c r="F268" s="2943">
        <v>1290</v>
      </c>
      <c r="G268" s="2943"/>
    </row>
    <row r="269" spans="1:7" s="2777" customFormat="1" ht="14.25" customHeight="1">
      <c r="A269" s="2943" t="s">
        <v>305</v>
      </c>
      <c r="B269" s="2943" t="s">
        <v>3128</v>
      </c>
      <c r="C269" s="2943"/>
      <c r="D269" s="2943"/>
      <c r="E269" s="2943"/>
      <c r="F269" s="2943">
        <v>1150</v>
      </c>
      <c r="G269" s="2943"/>
    </row>
    <row r="270" spans="1:7" s="2777" customFormat="1" ht="14.25" customHeight="1">
      <c r="A270" s="2943" t="s">
        <v>305</v>
      </c>
      <c r="B270" s="2943" t="s">
        <v>3129</v>
      </c>
      <c r="C270" s="2943"/>
      <c r="D270" s="2943"/>
      <c r="E270" s="2943"/>
      <c r="F270" s="2943">
        <v>1380</v>
      </c>
      <c r="G270" s="2943"/>
    </row>
    <row r="271" spans="1:7" s="2777" customFormat="1" ht="14.25" customHeight="1">
      <c r="A271" s="2943" t="s">
        <v>305</v>
      </c>
      <c r="B271" s="2943" t="s">
        <v>3130</v>
      </c>
      <c r="C271" s="2943"/>
      <c r="D271" s="2943"/>
      <c r="E271" s="2943"/>
      <c r="F271" s="2943">
        <v>1460</v>
      </c>
      <c r="G271" s="2943"/>
    </row>
    <row r="272" spans="1:7" s="2777" customFormat="1" ht="14.25" customHeight="1">
      <c r="A272" s="2943" t="s">
        <v>305</v>
      </c>
      <c r="B272" s="2943" t="s">
        <v>3131</v>
      </c>
      <c r="C272" s="2943"/>
      <c r="D272" s="2943"/>
      <c r="E272" s="2943"/>
      <c r="F272" s="2943">
        <v>1460</v>
      </c>
      <c r="G272" s="2943"/>
    </row>
    <row r="273" spans="1:7" s="2777" customFormat="1" ht="14.25" customHeight="1">
      <c r="A273" s="2943" t="s">
        <v>305</v>
      </c>
      <c r="B273" s="2943" t="s">
        <v>3024</v>
      </c>
      <c r="C273" s="2943"/>
      <c r="D273" s="2943"/>
      <c r="E273" s="2943"/>
      <c r="F273" s="2943">
        <v>1490</v>
      </c>
      <c r="G273" s="2943"/>
    </row>
    <row r="274" spans="1:7" s="2777" customFormat="1" ht="14.25" customHeight="1">
      <c r="A274" s="2943" t="s">
        <v>305</v>
      </c>
      <c r="B274" s="2943" t="s">
        <v>3132</v>
      </c>
      <c r="C274" s="2943"/>
      <c r="D274" s="2943"/>
      <c r="E274" s="2943"/>
      <c r="F274" s="2943">
        <v>1490</v>
      </c>
      <c r="G274" s="2943"/>
    </row>
    <row r="275" spans="1:7" s="2777" customFormat="1" ht="14.25" customHeight="1">
      <c r="A275" s="2943" t="s">
        <v>305</v>
      </c>
      <c r="B275" s="2943" t="s">
        <v>3133</v>
      </c>
      <c r="C275" s="2943"/>
      <c r="D275" s="2943"/>
      <c r="E275" s="2943"/>
      <c r="F275" s="2943">
        <v>1220</v>
      </c>
      <c r="G275" s="2943"/>
    </row>
    <row r="276" spans="1:7" s="2777" customFormat="1" ht="14.25" customHeight="1" thickBot="1">
      <c r="A276" s="2951" t="s">
        <v>305</v>
      </c>
      <c r="B276" s="2953" t="s">
        <v>3134</v>
      </c>
      <c r="C276" s="2954"/>
      <c r="D276" s="2954"/>
      <c r="E276" s="2954"/>
      <c r="F276" s="2954">
        <v>1380</v>
      </c>
      <c r="G276" s="2954"/>
    </row>
    <row r="277" spans="1:7" s="2777" customFormat="1" ht="14.25" customHeight="1">
      <c r="A277" s="2948" t="s">
        <v>306</v>
      </c>
      <c r="B277" s="2939" t="s">
        <v>3135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3136</v>
      </c>
      <c r="C279" s="2943">
        <v>4760</v>
      </c>
      <c r="D279" s="2943">
        <v>4720</v>
      </c>
      <c r="E279" s="2943">
        <v>5540</v>
      </c>
      <c r="F279" s="2943">
        <v>810</v>
      </c>
      <c r="G279" s="2956">
        <v>2850</v>
      </c>
    </row>
    <row r="280" spans="1:7" s="2777" customFormat="1" ht="14.25" customHeight="1">
      <c r="A280" s="2943" t="s">
        <v>306</v>
      </c>
      <c r="B280" s="2943" t="s">
        <v>3137</v>
      </c>
      <c r="C280" s="2943">
        <v>4010</v>
      </c>
      <c r="D280" s="2943">
        <v>3950</v>
      </c>
      <c r="E280" s="2943">
        <v>4710</v>
      </c>
      <c r="F280" s="2943">
        <v>800</v>
      </c>
      <c r="G280" s="2956">
        <v>2390</v>
      </c>
    </row>
    <row r="281" spans="1:7" s="2777" customFormat="1" ht="14.25" customHeight="1">
      <c r="A281" s="2943" t="s">
        <v>306</v>
      </c>
      <c r="B281" s="2943" t="s">
        <v>3138</v>
      </c>
      <c r="C281" s="2943">
        <v>4480</v>
      </c>
      <c r="D281" s="2943">
        <v>4420</v>
      </c>
      <c r="E281" s="2943">
        <v>5230</v>
      </c>
      <c r="F281" s="2943">
        <v>870</v>
      </c>
      <c r="G281" s="2956">
        <v>2660</v>
      </c>
    </row>
    <row r="282" spans="1:7" s="2777" customFormat="1" ht="14.25" customHeight="1">
      <c r="A282" s="2943" t="s">
        <v>306</v>
      </c>
      <c r="B282" s="2943" t="s">
        <v>3139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3140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2916</v>
      </c>
      <c r="C293" s="2943">
        <v>5320</v>
      </c>
      <c r="D293" s="2943">
        <v>5270</v>
      </c>
      <c r="E293" s="2943">
        <v>6160</v>
      </c>
      <c r="F293" s="2943">
        <v>990</v>
      </c>
      <c r="G293" s="2956">
        <v>3170</v>
      </c>
    </row>
    <row r="294" spans="1:7" s="2777" customFormat="1" ht="14.25" customHeight="1">
      <c r="A294" s="2943" t="s">
        <v>306</v>
      </c>
      <c r="B294" s="2943" t="s">
        <v>3142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3143</v>
      </c>
      <c r="C302" s="2943">
        <v>5520</v>
      </c>
      <c r="D302" s="2943">
        <v>5470</v>
      </c>
      <c r="E302" s="2943">
        <v>6410</v>
      </c>
      <c r="F302" s="2943">
        <v>950</v>
      </c>
      <c r="G302" s="2956">
        <v>3300</v>
      </c>
    </row>
    <row r="303" spans="1:7" s="2777" customFormat="1" ht="14.25" customHeight="1">
      <c r="A303" s="2943" t="s">
        <v>306</v>
      </c>
      <c r="B303" s="2943" t="s">
        <v>2955</v>
      </c>
      <c r="C303" s="2943">
        <v>5630</v>
      </c>
      <c r="D303" s="2943">
        <v>5590</v>
      </c>
      <c r="E303" s="2943">
        <v>6550</v>
      </c>
      <c r="F303" s="2943">
        <v>1010</v>
      </c>
      <c r="G303" s="2956">
        <v>3370</v>
      </c>
    </row>
    <row r="304" spans="1:7" s="2777" customFormat="1" ht="14.25" customHeight="1">
      <c r="A304" s="2943" t="s">
        <v>306</v>
      </c>
      <c r="B304" s="2943" t="s">
        <v>2962</v>
      </c>
      <c r="C304" s="2943">
        <v>5680</v>
      </c>
      <c r="D304" s="2943">
        <v>5620</v>
      </c>
      <c r="E304" s="2943">
        <v>6620</v>
      </c>
      <c r="F304" s="2943">
        <v>1050</v>
      </c>
      <c r="G304" s="2956">
        <v>3390</v>
      </c>
    </row>
    <row r="305" spans="1:7" s="2777" customFormat="1" ht="14.25" customHeight="1">
      <c r="A305" s="2943" t="s">
        <v>306</v>
      </c>
      <c r="B305" s="2943" t="s">
        <v>2968</v>
      </c>
      <c r="C305" s="2943">
        <v>5590</v>
      </c>
      <c r="D305" s="2943">
        <v>5530</v>
      </c>
      <c r="E305" s="2943">
        <v>6460</v>
      </c>
      <c r="F305" s="2943">
        <v>900</v>
      </c>
      <c r="G305" s="2956">
        <v>3340</v>
      </c>
    </row>
    <row r="306" spans="1:7" s="2777" customFormat="1" ht="14.25" customHeight="1">
      <c r="A306" s="2943" t="s">
        <v>306</v>
      </c>
      <c r="B306" s="2943" t="s">
        <v>3144</v>
      </c>
      <c r="C306" s="2943">
        <v>5560</v>
      </c>
      <c r="D306" s="2943">
        <v>5510</v>
      </c>
      <c r="E306" s="2943">
        <v>6440</v>
      </c>
      <c r="F306" s="2943">
        <v>900</v>
      </c>
      <c r="G306" s="2956">
        <v>3320</v>
      </c>
    </row>
    <row r="307" spans="1:7" s="2777" customFormat="1" ht="14.25" customHeight="1">
      <c r="A307" s="2943" t="s">
        <v>306</v>
      </c>
      <c r="B307" s="2943" t="s">
        <v>2980</v>
      </c>
      <c r="C307" s="2943">
        <v>5650</v>
      </c>
      <c r="D307" s="2943">
        <v>5600</v>
      </c>
      <c r="E307" s="2943">
        <v>6590</v>
      </c>
      <c r="F307" s="2943">
        <v>930</v>
      </c>
      <c r="G307" s="2956">
        <v>3380</v>
      </c>
    </row>
    <row r="308" spans="1:7" s="2777" customFormat="1" ht="14.25" customHeight="1">
      <c r="A308" s="2943" t="s">
        <v>306</v>
      </c>
      <c r="B308" s="2943" t="s">
        <v>3145</v>
      </c>
      <c r="C308" s="2943">
        <v>5620</v>
      </c>
      <c r="D308" s="2943">
        <v>5580</v>
      </c>
      <c r="E308" s="2943">
        <v>6540</v>
      </c>
      <c r="F308" s="2943">
        <v>910</v>
      </c>
      <c r="G308" s="2956">
        <v>3370</v>
      </c>
    </row>
    <row r="309" spans="1:7" s="2777" customFormat="1" ht="14.25" customHeight="1">
      <c r="A309" s="2943" t="s">
        <v>306</v>
      </c>
      <c r="B309" s="2943" t="s">
        <v>3146</v>
      </c>
      <c r="C309" s="2943">
        <v>5060</v>
      </c>
      <c r="D309" s="2943">
        <v>5020</v>
      </c>
      <c r="E309" s="2943">
        <v>6370</v>
      </c>
      <c r="F309" s="2943">
        <v>800</v>
      </c>
      <c r="G309" s="2956">
        <v>3020</v>
      </c>
    </row>
    <row r="310" spans="1:7" s="2777" customFormat="1" ht="14.25" customHeight="1">
      <c r="A310" s="2943" t="s">
        <v>306</v>
      </c>
      <c r="B310" s="2943" t="s">
        <v>2995</v>
      </c>
      <c r="C310" s="2943">
        <v>5150</v>
      </c>
      <c r="D310" s="2943">
        <v>5110</v>
      </c>
      <c r="E310" s="2943">
        <v>6500</v>
      </c>
      <c r="F310" s="2943">
        <v>880</v>
      </c>
      <c r="G310" s="2956">
        <v>3080</v>
      </c>
    </row>
    <row r="311" spans="1:7" s="2777" customFormat="1" ht="14.25" customHeight="1">
      <c r="A311" s="2943" t="s">
        <v>306</v>
      </c>
      <c r="B311" s="2943" t="s">
        <v>3147</v>
      </c>
      <c r="C311" s="2943">
        <v>4750</v>
      </c>
      <c r="D311" s="2943">
        <v>4710</v>
      </c>
      <c r="E311" s="2943">
        <v>5510</v>
      </c>
      <c r="F311" s="2943">
        <v>880</v>
      </c>
      <c r="G311" s="2956">
        <v>2840</v>
      </c>
    </row>
    <row r="312" spans="1:7" s="2777" customFormat="1" ht="14.25" customHeight="1">
      <c r="A312" s="2943" t="s">
        <v>306</v>
      </c>
      <c r="B312" s="2943" t="s">
        <v>3005</v>
      </c>
      <c r="C312" s="2943">
        <v>4690</v>
      </c>
      <c r="D312" s="2943">
        <v>4640</v>
      </c>
      <c r="E312" s="2943">
        <v>5420</v>
      </c>
      <c r="F312" s="2943">
        <v>800</v>
      </c>
      <c r="G312" s="2956">
        <v>2800</v>
      </c>
    </row>
    <row r="313" spans="1:7" s="2777" customFormat="1" ht="14.25" customHeight="1">
      <c r="A313" s="2943" t="s">
        <v>306</v>
      </c>
      <c r="B313" s="2943" t="s">
        <v>3010</v>
      </c>
      <c r="C313" s="2943">
        <v>4810</v>
      </c>
      <c r="D313" s="2943">
        <v>4760</v>
      </c>
      <c r="E313" s="2943">
        <v>5550</v>
      </c>
      <c r="F313" s="2943">
        <v>920</v>
      </c>
      <c r="G313" s="2956">
        <v>2870</v>
      </c>
    </row>
    <row r="314" spans="1:7" s="2777" customFormat="1" ht="14.25" customHeight="1">
      <c r="A314" s="2943" t="s">
        <v>306</v>
      </c>
      <c r="B314" s="2943" t="s">
        <v>3148</v>
      </c>
      <c r="C314" s="2943"/>
      <c r="D314" s="2943"/>
      <c r="E314" s="2943"/>
      <c r="F314" s="2943">
        <v>1020</v>
      </c>
      <c r="G314" s="2956"/>
    </row>
    <row r="315" spans="1:7" s="2777" customFormat="1" ht="14.25" customHeight="1">
      <c r="A315" s="2943" t="s">
        <v>306</v>
      </c>
      <c r="B315" s="2943" t="s">
        <v>3149</v>
      </c>
      <c r="C315" s="2943"/>
      <c r="D315" s="2943"/>
      <c r="E315" s="2943"/>
      <c r="F315" s="2943">
        <v>1050</v>
      </c>
      <c r="G315" s="2956"/>
    </row>
    <row r="316" spans="1:7" s="2777" customFormat="1" ht="14.25" customHeight="1">
      <c r="A316" s="2943" t="s">
        <v>306</v>
      </c>
      <c r="B316" s="2943" t="s">
        <v>3025</v>
      </c>
      <c r="C316" s="2943"/>
      <c r="D316" s="2943"/>
      <c r="E316" s="2943"/>
      <c r="F316" s="2943">
        <v>900</v>
      </c>
      <c r="G316" s="2956"/>
    </row>
    <row r="317" spans="1:7" s="2777" customFormat="1" ht="14.25" customHeight="1">
      <c r="A317" s="2943" t="s">
        <v>306</v>
      </c>
      <c r="B317" s="2943" t="s">
        <v>3150</v>
      </c>
      <c r="C317" s="2943"/>
      <c r="D317" s="2943"/>
      <c r="E317" s="2943"/>
      <c r="F317" s="2943">
        <v>920</v>
      </c>
      <c r="G317" s="2956"/>
    </row>
    <row r="318" spans="1:7" s="2777" customFormat="1" ht="14.25" customHeight="1">
      <c r="A318" s="2943" t="s">
        <v>306</v>
      </c>
      <c r="B318" s="2943" t="s">
        <v>3151</v>
      </c>
      <c r="C318" s="2943"/>
      <c r="D318" s="2943"/>
      <c r="E318" s="2943"/>
      <c r="F318" s="2943">
        <v>1080</v>
      </c>
      <c r="G318" s="2956"/>
    </row>
    <row r="319" spans="1:7" s="2777" customFormat="1" ht="14.25" customHeight="1">
      <c r="A319" s="2943" t="s">
        <v>306</v>
      </c>
      <c r="B319" s="2943" t="s">
        <v>3038</v>
      </c>
      <c r="C319" s="2943"/>
      <c r="D319" s="2943"/>
      <c r="E319" s="2943"/>
      <c r="F319" s="2943">
        <v>1020</v>
      </c>
      <c r="G319" s="2956"/>
    </row>
    <row r="320" spans="1:7" s="2777" customFormat="1" ht="14.25" customHeight="1">
      <c r="A320" s="2943" t="s">
        <v>306</v>
      </c>
      <c r="B320" s="2943" t="s">
        <v>3041</v>
      </c>
      <c r="C320" s="2943"/>
      <c r="D320" s="2943"/>
      <c r="E320" s="2943"/>
      <c r="F320" s="2943">
        <v>1050</v>
      </c>
      <c r="G320" s="2956"/>
    </row>
    <row r="321" spans="1:7" s="2777" customFormat="1" ht="14.25" customHeight="1">
      <c r="A321" s="2943" t="s">
        <v>306</v>
      </c>
      <c r="B321" s="2943" t="s">
        <v>3043</v>
      </c>
      <c r="C321" s="2943"/>
      <c r="D321" s="2943"/>
      <c r="E321" s="2943"/>
      <c r="F321" s="2943">
        <v>960</v>
      </c>
      <c r="G321" s="2956"/>
    </row>
    <row r="322" spans="1:7" s="2777" customFormat="1" ht="14.25" customHeight="1">
      <c r="A322" s="2943" t="s">
        <v>306</v>
      </c>
      <c r="B322" s="2943" t="s">
        <v>3045</v>
      </c>
      <c r="C322" s="2943"/>
      <c r="D322" s="2943"/>
      <c r="E322" s="2943"/>
      <c r="F322" s="2943">
        <v>960</v>
      </c>
      <c r="G322" s="2956"/>
    </row>
    <row r="323" spans="1:7" s="2777" customFormat="1" ht="14.25" customHeight="1">
      <c r="A323" s="2943" t="s">
        <v>306</v>
      </c>
      <c r="B323" s="2943" t="s">
        <v>3047</v>
      </c>
      <c r="C323" s="2943"/>
      <c r="D323" s="2943"/>
      <c r="E323" s="2943"/>
      <c r="F323" s="2943">
        <v>880</v>
      </c>
      <c r="G323" s="2956"/>
    </row>
    <row r="324" spans="1:7" s="2777" customFormat="1" ht="14.25" customHeight="1">
      <c r="A324" s="2943" t="s">
        <v>306</v>
      </c>
      <c r="B324" s="2943" t="s">
        <v>3049</v>
      </c>
      <c r="C324" s="2943"/>
      <c r="D324" s="2943"/>
      <c r="E324" s="2943"/>
      <c r="F324" s="2943">
        <v>930</v>
      </c>
      <c r="G324" s="2956"/>
    </row>
    <row r="325" spans="1:7" s="2777" customFormat="1" ht="14.25" customHeight="1">
      <c r="A325" s="2943" t="s">
        <v>306</v>
      </c>
      <c r="B325" s="2944" t="s">
        <v>3051</v>
      </c>
      <c r="C325" s="2943"/>
      <c r="D325" s="2943"/>
      <c r="E325" s="2943"/>
      <c r="F325" s="2943">
        <v>900</v>
      </c>
      <c r="G325" s="2956"/>
    </row>
    <row r="326" spans="1:7" s="2777" customFormat="1" ht="14.25" customHeight="1" thickBot="1">
      <c r="A326" s="2957" t="s">
        <v>306</v>
      </c>
      <c r="B326" s="2950" t="s">
        <v>3053</v>
      </c>
      <c r="C326" s="2950"/>
      <c r="D326" s="2950"/>
      <c r="E326" s="2950"/>
      <c r="F326" s="2950">
        <v>790</v>
      </c>
      <c r="G326" s="2958"/>
    </row>
    <row r="327" spans="1:7" s="2777" customFormat="1" ht="14.25" customHeight="1">
      <c r="A327" s="2948" t="s">
        <v>307</v>
      </c>
      <c r="B327" s="2939" t="s">
        <v>3152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3153</v>
      </c>
      <c r="C329" s="2943">
        <v>2730</v>
      </c>
      <c r="D329" s="2943">
        <v>2690</v>
      </c>
      <c r="E329" s="2943">
        <v>3100</v>
      </c>
      <c r="F329" s="2943">
        <v>660</v>
      </c>
      <c r="G329" s="2943">
        <v>1610</v>
      </c>
    </row>
    <row r="330" spans="1:7" s="2777" customFormat="1" ht="14.25" customHeight="1">
      <c r="A330" s="2943" t="s">
        <v>307</v>
      </c>
      <c r="B330" s="2943" t="s">
        <v>3154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2887</v>
      </c>
      <c r="C332" s="2943">
        <v>3520</v>
      </c>
      <c r="D332" s="2943">
        <v>3480</v>
      </c>
      <c r="E332" s="2943">
        <v>3830</v>
      </c>
      <c r="F332" s="2943">
        <v>720</v>
      </c>
      <c r="G332" s="2943">
        <v>2090</v>
      </c>
    </row>
    <row r="333" spans="1:7" s="2777" customFormat="1" ht="14.25" customHeight="1">
      <c r="A333" s="2943" t="s">
        <v>307</v>
      </c>
      <c r="B333" s="2943" t="s">
        <v>3155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2897</v>
      </c>
      <c r="C336" s="2943">
        <v>3570</v>
      </c>
      <c r="D336" s="2943">
        <v>3530</v>
      </c>
      <c r="E336" s="2943">
        <v>3880</v>
      </c>
      <c r="F336" s="2943">
        <v>770</v>
      </c>
      <c r="G336" s="2943">
        <v>2110</v>
      </c>
    </row>
    <row r="337" spans="1:10" s="2777" customFormat="1" ht="14.25" customHeight="1">
      <c r="A337" s="2943" t="s">
        <v>307</v>
      </c>
      <c r="B337" s="2943" t="s">
        <v>3156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2922</v>
      </c>
      <c r="C345" s="2943">
        <v>3190</v>
      </c>
      <c r="D345" s="2943">
        <v>3140</v>
      </c>
      <c r="E345" s="2943">
        <v>3450</v>
      </c>
      <c r="F345" s="2943">
        <v>720</v>
      </c>
      <c r="G345" s="2943">
        <v>1880</v>
      </c>
      <c r="J345" s="2777"/>
    </row>
    <row r="346" spans="1:10">
      <c r="A346" s="2943" t="s">
        <v>307</v>
      </c>
      <c r="B346" s="2943" t="s">
        <v>3159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2931</v>
      </c>
      <c r="C348" s="2943">
        <v>4000</v>
      </c>
      <c r="D348" s="2943">
        <v>3950</v>
      </c>
      <c r="E348" s="2943">
        <v>4430</v>
      </c>
      <c r="F348" s="2943">
        <v>760</v>
      </c>
      <c r="G348" s="2943">
        <v>2360</v>
      </c>
      <c r="J348" s="2777"/>
    </row>
    <row r="349" spans="1:10">
      <c r="A349" s="2943" t="s">
        <v>307</v>
      </c>
      <c r="B349" s="2943" t="s">
        <v>2936</v>
      </c>
      <c r="C349" s="2943">
        <v>3820</v>
      </c>
      <c r="D349" s="2943">
        <v>3780</v>
      </c>
      <c r="E349" s="2943">
        <v>4170</v>
      </c>
      <c r="F349" s="2943">
        <v>710</v>
      </c>
      <c r="G349" s="2943">
        <v>2260</v>
      </c>
      <c r="J349" s="2777"/>
    </row>
    <row r="350" spans="1:10">
      <c r="A350" s="2943" t="s">
        <v>307</v>
      </c>
      <c r="B350" s="2943" t="s">
        <v>3160</v>
      </c>
      <c r="C350" s="2943">
        <v>3760</v>
      </c>
      <c r="D350" s="2943">
        <v>3730</v>
      </c>
      <c r="E350" s="2943">
        <v>4100</v>
      </c>
      <c r="F350" s="2943">
        <v>800</v>
      </c>
      <c r="G350" s="2943">
        <v>2230</v>
      </c>
      <c r="J350" s="2777"/>
    </row>
    <row r="351" spans="1:10">
      <c r="A351" s="2943" t="s">
        <v>307</v>
      </c>
      <c r="B351" s="2943" t="s">
        <v>2944</v>
      </c>
      <c r="C351" s="2943">
        <v>3610</v>
      </c>
      <c r="D351" s="2943">
        <v>3580</v>
      </c>
      <c r="E351" s="2943">
        <v>3930</v>
      </c>
      <c r="F351" s="2943">
        <v>700</v>
      </c>
      <c r="G351" s="2943">
        <v>2140</v>
      </c>
      <c r="J351" s="2777"/>
    </row>
    <row r="352" spans="1:10">
      <c r="A352" s="2943" t="s">
        <v>307</v>
      </c>
      <c r="B352" s="2943" t="s">
        <v>2949</v>
      </c>
      <c r="C352" s="2943">
        <v>3670</v>
      </c>
      <c r="D352" s="2943">
        <v>3630</v>
      </c>
      <c r="E352" s="2943">
        <v>4000</v>
      </c>
      <c r="F352" s="2943">
        <v>750</v>
      </c>
      <c r="G352" s="2943">
        <v>2180</v>
      </c>
    </row>
    <row r="353" spans="1:7" s="2778" customFormat="1">
      <c r="A353" s="2943" t="s">
        <v>307</v>
      </c>
      <c r="B353" s="2943" t="s">
        <v>3161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2969</v>
      </c>
      <c r="C355" s="2943">
        <v>3650</v>
      </c>
      <c r="D355" s="2943">
        <v>3610</v>
      </c>
      <c r="E355" s="2943">
        <v>4200</v>
      </c>
      <c r="F355" s="2943">
        <v>640</v>
      </c>
      <c r="G355" s="2943">
        <v>2160</v>
      </c>
    </row>
    <row r="356" spans="1:7" s="2778" customFormat="1">
      <c r="A356" s="2943" t="s">
        <v>307</v>
      </c>
      <c r="B356" s="2943" t="s">
        <v>2976</v>
      </c>
      <c r="C356" s="2943">
        <v>3260</v>
      </c>
      <c r="D356" s="2943">
        <v>3230</v>
      </c>
      <c r="E356" s="2943">
        <v>3740</v>
      </c>
      <c r="F356" s="2943">
        <v>600</v>
      </c>
      <c r="G356" s="2943">
        <v>1930</v>
      </c>
    </row>
    <row r="357" spans="1:7" s="2778" customFormat="1" ht="12" thickBot="1">
      <c r="A357" s="2951" t="s">
        <v>307</v>
      </c>
      <c r="B357" s="2954" t="s">
        <v>3162</v>
      </c>
      <c r="C357" s="2954">
        <v>3690</v>
      </c>
      <c r="D357" s="2954">
        <v>3650</v>
      </c>
      <c r="E357" s="2954">
        <v>4020</v>
      </c>
      <c r="F357" s="2954">
        <v>700</v>
      </c>
      <c r="G357" s="2954">
        <v>2190</v>
      </c>
    </row>
    <row r="358" spans="1:7" s="2778" customFormat="1">
      <c r="A358" s="2948" t="s">
        <v>3163</v>
      </c>
      <c r="B358" s="2939" t="s">
        <v>3164</v>
      </c>
      <c r="C358" s="2939">
        <v>2080</v>
      </c>
      <c r="D358" s="2939">
        <v>2040</v>
      </c>
      <c r="E358" s="2939">
        <v>2010</v>
      </c>
      <c r="F358" s="2939">
        <v>530</v>
      </c>
      <c r="G358" s="2955">
        <v>1230</v>
      </c>
    </row>
    <row r="359" spans="1:7" s="2778" customFormat="1">
      <c r="A359" s="2943" t="s">
        <v>3163</v>
      </c>
      <c r="B359" s="2943" t="s">
        <v>3165</v>
      </c>
      <c r="C359" s="2943">
        <v>1850</v>
      </c>
      <c r="D359" s="2943">
        <v>1820</v>
      </c>
      <c r="E359" s="2943">
        <v>1780</v>
      </c>
      <c r="F359" s="2943">
        <v>520</v>
      </c>
      <c r="G359" s="2956">
        <v>1100</v>
      </c>
    </row>
    <row r="360" spans="1:7" s="2778" customFormat="1">
      <c r="A360" s="2943" t="s">
        <v>3163</v>
      </c>
      <c r="B360" s="2943" t="s">
        <v>3166</v>
      </c>
      <c r="C360" s="2943">
        <v>2020</v>
      </c>
      <c r="D360" s="2943">
        <v>1990</v>
      </c>
      <c r="E360" s="2943">
        <v>1950</v>
      </c>
      <c r="F360" s="2943">
        <v>500</v>
      </c>
      <c r="G360" s="2956">
        <v>1200</v>
      </c>
    </row>
    <row r="361" spans="1:7" s="2778" customFormat="1">
      <c r="A361" s="2943" t="s">
        <v>3163</v>
      </c>
      <c r="B361" s="2943" t="s">
        <v>153</v>
      </c>
      <c r="C361" s="2943">
        <v>2260</v>
      </c>
      <c r="D361" s="2943">
        <v>2220</v>
      </c>
      <c r="E361" s="2943">
        <v>2180</v>
      </c>
      <c r="F361" s="2943">
        <v>580</v>
      </c>
      <c r="G361" s="2956">
        <v>1340</v>
      </c>
    </row>
    <row r="362" spans="1:7" s="2778" customFormat="1">
      <c r="A362" s="2943" t="s">
        <v>3163</v>
      </c>
      <c r="B362" s="2943" t="s">
        <v>3167</v>
      </c>
      <c r="C362" s="2943">
        <v>2650</v>
      </c>
      <c r="D362" s="2943">
        <v>2610</v>
      </c>
      <c r="E362" s="2943">
        <v>2570</v>
      </c>
      <c r="F362" s="2943">
        <v>630</v>
      </c>
      <c r="G362" s="2956">
        <v>1570</v>
      </c>
    </row>
    <row r="363" spans="1:7" s="2778" customFormat="1">
      <c r="A363" s="2943" t="s">
        <v>3163</v>
      </c>
      <c r="B363" s="2943" t="s">
        <v>2888</v>
      </c>
      <c r="C363" s="2943">
        <v>2390</v>
      </c>
      <c r="D363" s="2943">
        <v>2360</v>
      </c>
      <c r="E363" s="2943">
        <v>2320</v>
      </c>
      <c r="F363" s="2943">
        <v>600</v>
      </c>
      <c r="G363" s="2956">
        <v>1420</v>
      </c>
    </row>
    <row r="364" spans="1:7" s="2778" customFormat="1">
      <c r="A364" s="2943" t="s">
        <v>3163</v>
      </c>
      <c r="B364" s="2943" t="s">
        <v>3168</v>
      </c>
      <c r="C364" s="2943">
        <v>2050</v>
      </c>
      <c r="D364" s="2943">
        <v>2030</v>
      </c>
      <c r="E364" s="2943">
        <v>1990</v>
      </c>
      <c r="F364" s="2943">
        <v>550</v>
      </c>
      <c r="G364" s="2956">
        <v>1220</v>
      </c>
    </row>
    <row r="365" spans="1:7" s="2778" customFormat="1">
      <c r="A365" s="2943" t="s">
        <v>3163</v>
      </c>
      <c r="B365" s="2943" t="s">
        <v>200</v>
      </c>
      <c r="C365" s="2943">
        <v>2140</v>
      </c>
      <c r="D365" s="2943">
        <v>2100</v>
      </c>
      <c r="E365" s="2943">
        <v>2060</v>
      </c>
      <c r="F365" s="2943">
        <v>540</v>
      </c>
      <c r="G365" s="2956">
        <v>1270</v>
      </c>
    </row>
    <row r="366" spans="1:7" s="2778" customFormat="1">
      <c r="A366" s="2943" t="s">
        <v>3163</v>
      </c>
      <c r="B366" s="2943" t="s">
        <v>2895</v>
      </c>
      <c r="C366" s="2943">
        <v>2410</v>
      </c>
      <c r="D366" s="2943">
        <v>2370</v>
      </c>
      <c r="E366" s="2943">
        <v>2330</v>
      </c>
      <c r="F366" s="2943">
        <v>570</v>
      </c>
      <c r="G366" s="2956">
        <v>1440</v>
      </c>
    </row>
    <row r="367" spans="1:7" s="2778" customFormat="1">
      <c r="A367" s="2943" t="s">
        <v>3163</v>
      </c>
      <c r="B367" s="2943" t="s">
        <v>3169</v>
      </c>
      <c r="C367" s="2943">
        <v>2300</v>
      </c>
      <c r="D367" s="2943">
        <v>2260</v>
      </c>
      <c r="E367" s="2943">
        <v>2220</v>
      </c>
      <c r="F367" s="2943">
        <v>560</v>
      </c>
      <c r="G367" s="2956">
        <v>1370</v>
      </c>
    </row>
    <row r="368" spans="1:7" s="2778" customFormat="1">
      <c r="A368" s="2943" t="s">
        <v>3163</v>
      </c>
      <c r="B368" s="2943" t="s">
        <v>3170</v>
      </c>
      <c r="C368" s="2943">
        <v>2430</v>
      </c>
      <c r="D368" s="2943">
        <v>2390</v>
      </c>
      <c r="E368" s="2943">
        <v>2350</v>
      </c>
      <c r="F368" s="2943">
        <v>570</v>
      </c>
      <c r="G368" s="2956">
        <v>1450</v>
      </c>
    </row>
    <row r="369" spans="1:7" s="2778" customFormat="1">
      <c r="A369" s="2943" t="s">
        <v>3163</v>
      </c>
      <c r="B369" s="2943" t="s">
        <v>214</v>
      </c>
      <c r="C369" s="2943">
        <v>2320</v>
      </c>
      <c r="D369" s="2943">
        <v>2290</v>
      </c>
      <c r="E369" s="2943">
        <v>2250</v>
      </c>
      <c r="F369" s="2943">
        <v>550</v>
      </c>
      <c r="G369" s="2956">
        <v>1380</v>
      </c>
    </row>
    <row r="370" spans="1:7" s="2778" customFormat="1">
      <c r="A370" s="2943" t="s">
        <v>3163</v>
      </c>
      <c r="B370" s="2943" t="s">
        <v>221</v>
      </c>
      <c r="C370" s="2943">
        <v>2190</v>
      </c>
      <c r="D370" s="2943">
        <v>2170</v>
      </c>
      <c r="E370" s="2943">
        <v>2130</v>
      </c>
      <c r="F370" s="2943">
        <v>530</v>
      </c>
      <c r="G370" s="2956">
        <v>1310</v>
      </c>
    </row>
    <row r="371" spans="1:7" s="2778" customFormat="1">
      <c r="A371" s="2943" t="s">
        <v>3163</v>
      </c>
      <c r="B371" s="2943" t="s">
        <v>229</v>
      </c>
      <c r="C371" s="2943">
        <v>2460</v>
      </c>
      <c r="D371" s="2943">
        <v>2420</v>
      </c>
      <c r="E371" s="2943">
        <v>2370</v>
      </c>
      <c r="F371" s="2943">
        <v>560</v>
      </c>
      <c r="G371" s="2956">
        <v>1470</v>
      </c>
    </row>
    <row r="372" spans="1:7" s="2778" customFormat="1">
      <c r="A372" s="2943" t="s">
        <v>3163</v>
      </c>
      <c r="B372" s="2943" t="s">
        <v>3171</v>
      </c>
      <c r="C372" s="2943">
        <v>2250</v>
      </c>
      <c r="D372" s="2943">
        <v>2210</v>
      </c>
      <c r="E372" s="2943">
        <v>2180</v>
      </c>
      <c r="F372" s="2943">
        <v>550</v>
      </c>
      <c r="G372" s="2956">
        <v>1340</v>
      </c>
    </row>
    <row r="373" spans="1:7" s="2778" customFormat="1">
      <c r="A373" s="2943" t="s">
        <v>3163</v>
      </c>
      <c r="B373" s="2943" t="s">
        <v>258</v>
      </c>
      <c r="C373" s="2943">
        <v>2210</v>
      </c>
      <c r="D373" s="2943">
        <v>2190</v>
      </c>
      <c r="E373" s="2943">
        <v>2150</v>
      </c>
      <c r="F373" s="2943">
        <v>530</v>
      </c>
      <c r="G373" s="2956">
        <v>1320</v>
      </c>
    </row>
    <row r="374" spans="1:7" s="2778" customFormat="1">
      <c r="A374" s="2943" t="s">
        <v>3163</v>
      </c>
      <c r="B374" s="2943" t="s">
        <v>266</v>
      </c>
      <c r="C374" s="2943">
        <v>2320</v>
      </c>
      <c r="D374" s="2943">
        <v>2280</v>
      </c>
      <c r="E374" s="2943">
        <v>2230</v>
      </c>
      <c r="F374" s="2943">
        <v>580</v>
      </c>
      <c r="G374" s="2956">
        <v>1380</v>
      </c>
    </row>
    <row r="375" spans="1:7" s="2778" customFormat="1">
      <c r="A375" s="2943" t="s">
        <v>3163</v>
      </c>
      <c r="B375" s="2943" t="s">
        <v>3172</v>
      </c>
      <c r="C375" s="2943">
        <v>2090</v>
      </c>
      <c r="D375" s="2943">
        <v>2050</v>
      </c>
      <c r="E375" s="2943">
        <v>2020</v>
      </c>
      <c r="F375" s="2943">
        <v>520</v>
      </c>
      <c r="G375" s="2956">
        <v>1240</v>
      </c>
    </row>
    <row r="376" spans="1:7" s="2778" customFormat="1">
      <c r="A376" s="2943" t="s">
        <v>3163</v>
      </c>
      <c r="B376" s="2943" t="s">
        <v>277</v>
      </c>
      <c r="C376" s="2943">
        <v>2010</v>
      </c>
      <c r="D376" s="2943">
        <v>1980</v>
      </c>
      <c r="E376" s="2943">
        <v>1940</v>
      </c>
      <c r="F376" s="2943">
        <v>540</v>
      </c>
      <c r="G376" s="2956">
        <v>1190</v>
      </c>
    </row>
    <row r="377" spans="1:7" s="2778" customFormat="1" ht="12" thickBot="1">
      <c r="A377" s="2951" t="s">
        <v>3163</v>
      </c>
      <c r="B377" s="2954" t="s">
        <v>2925</v>
      </c>
      <c r="C377" s="2954">
        <v>1930</v>
      </c>
      <c r="D377" s="2954">
        <v>1890</v>
      </c>
      <c r="E377" s="2954">
        <v>1860</v>
      </c>
      <c r="F377" s="2954">
        <v>530</v>
      </c>
      <c r="G377" s="2959">
        <v>1150</v>
      </c>
    </row>
    <row r="378" spans="1:7" s="2778" customFormat="1">
      <c r="A378" s="2960" t="s">
        <v>3173</v>
      </c>
      <c r="B378" s="2939" t="s">
        <v>3174</v>
      </c>
      <c r="C378" s="2939">
        <v>1520</v>
      </c>
      <c r="D378" s="2939">
        <v>1490</v>
      </c>
      <c r="E378" s="2939">
        <v>1460</v>
      </c>
      <c r="F378" s="2939">
        <v>460</v>
      </c>
      <c r="G378" s="2955">
        <v>940</v>
      </c>
    </row>
    <row r="379" spans="1:7" s="2778" customFormat="1">
      <c r="A379" s="2961" t="s">
        <v>3173</v>
      </c>
      <c r="B379" s="2943" t="s">
        <v>3175</v>
      </c>
      <c r="C379" s="2943">
        <v>1500</v>
      </c>
      <c r="D379" s="2943">
        <v>1470</v>
      </c>
      <c r="E379" s="2943">
        <v>1430</v>
      </c>
      <c r="F379" s="2943">
        <v>460</v>
      </c>
      <c r="G379" s="2956">
        <v>920</v>
      </c>
    </row>
    <row r="380" spans="1:7" s="2778" customFormat="1">
      <c r="A380" s="2961" t="s">
        <v>3173</v>
      </c>
      <c r="B380" s="2943" t="s">
        <v>3176</v>
      </c>
      <c r="C380" s="2943">
        <v>1620</v>
      </c>
      <c r="D380" s="2943">
        <v>1590</v>
      </c>
      <c r="E380" s="2943">
        <v>1560</v>
      </c>
      <c r="F380" s="2943">
        <v>480</v>
      </c>
      <c r="G380" s="2956">
        <v>1000</v>
      </c>
    </row>
    <row r="381" spans="1:7" s="2778" customFormat="1">
      <c r="A381" s="2961" t="s">
        <v>3173</v>
      </c>
      <c r="B381" s="2943" t="s">
        <v>3177</v>
      </c>
      <c r="C381" s="2943">
        <v>1460</v>
      </c>
      <c r="D381" s="2943">
        <v>1430</v>
      </c>
      <c r="E381" s="2943">
        <v>1390</v>
      </c>
      <c r="F381" s="2943">
        <v>450</v>
      </c>
      <c r="G381" s="2956">
        <v>900</v>
      </c>
    </row>
    <row r="382" spans="1:7" s="2778" customFormat="1">
      <c r="A382" s="2961" t="s">
        <v>3173</v>
      </c>
      <c r="B382" s="2943" t="s">
        <v>3178</v>
      </c>
      <c r="C382" s="2943">
        <v>1310</v>
      </c>
      <c r="D382" s="2943">
        <v>1280</v>
      </c>
      <c r="E382" s="2943">
        <v>1250</v>
      </c>
      <c r="F382" s="2943">
        <v>440</v>
      </c>
      <c r="G382" s="2956">
        <v>800</v>
      </c>
    </row>
    <row r="383" spans="1:7" s="2778" customFormat="1">
      <c r="A383" s="2961" t="s">
        <v>3173</v>
      </c>
      <c r="B383" s="2943" t="s">
        <v>3179</v>
      </c>
      <c r="C383" s="2943">
        <v>1260</v>
      </c>
      <c r="D383" s="2943">
        <v>1230</v>
      </c>
      <c r="E383" s="2943">
        <v>1200</v>
      </c>
      <c r="F383" s="2943">
        <v>420</v>
      </c>
      <c r="G383" s="2956">
        <v>770</v>
      </c>
    </row>
    <row r="384" spans="1:7" s="2778" customFormat="1" ht="12" thickBot="1">
      <c r="A384" s="2962" t="s">
        <v>3173</v>
      </c>
      <c r="B384" s="2950" t="s">
        <v>3180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952" t="s">
        <v>3181</v>
      </c>
      <c r="B1" s="3952"/>
    </row>
    <row r="2" spans="1:7" ht="14.25" thickBot="1">
      <c r="A2" s="2964"/>
      <c r="B2" s="2964"/>
    </row>
    <row r="3" spans="1:7" ht="14.25" thickBot="1">
      <c r="A3" s="2964"/>
      <c r="B3" s="2964"/>
      <c r="C3" s="2965" t="s">
        <v>2809</v>
      </c>
      <c r="D3" s="2965" t="s">
        <v>2867</v>
      </c>
      <c r="E3" s="2965" t="s">
        <v>2811</v>
      </c>
      <c r="F3" s="2965" t="s">
        <v>2868</v>
      </c>
      <c r="G3" s="2965" t="s">
        <v>2629</v>
      </c>
    </row>
    <row r="4" spans="1:7" ht="14.25" thickBot="1">
      <c r="A4" s="2966" t="s">
        <v>2866</v>
      </c>
      <c r="B4" s="2967" t="s">
        <v>2872</v>
      </c>
      <c r="C4" s="2965"/>
      <c r="D4" s="2965"/>
      <c r="E4" s="2965"/>
      <c r="F4" s="2965"/>
      <c r="G4" s="2965"/>
    </row>
    <row r="5" spans="1:7">
      <c r="A5" s="2968" t="s">
        <v>2840</v>
      </c>
      <c r="B5" s="2969" t="s">
        <v>2854</v>
      </c>
      <c r="C5" s="2970">
        <v>9.8000000000000004E-2</v>
      </c>
      <c r="D5" s="2970">
        <v>8.6999999999999994E-2</v>
      </c>
      <c r="E5" s="2970">
        <v>8.6999999999999994E-2</v>
      </c>
      <c r="F5" s="2970">
        <v>9.8000000000000004E-2</v>
      </c>
      <c r="G5" s="2971">
        <v>9.5000000000000001E-2</v>
      </c>
    </row>
    <row r="6" spans="1:7">
      <c r="A6" s="2972" t="s">
        <v>144</v>
      </c>
      <c r="B6" s="2973" t="s">
        <v>2869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2855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2923</v>
      </c>
      <c r="C29" s="2982"/>
      <c r="D29" s="2978">
        <v>5.1999999999999998E-2</v>
      </c>
      <c r="E29" s="2978">
        <v>7.0000000000000007E-2</v>
      </c>
      <c r="F29" s="2982"/>
      <c r="G29" s="2980">
        <v>7.0999999999999994E-2</v>
      </c>
    </row>
    <row r="30" spans="1:7">
      <c r="A30" s="2983" t="s">
        <v>296</v>
      </c>
      <c r="B30" s="2969" t="s">
        <v>2856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2926</v>
      </c>
      <c r="C50" s="2974">
        <v>9.8000000000000004E-2</v>
      </c>
      <c r="D50" s="2974">
        <v>7.2999999999999995E-2</v>
      </c>
      <c r="E50" s="2974">
        <v>7.0999999999999994E-2</v>
      </c>
      <c r="F50" s="2985"/>
      <c r="G50" s="2975">
        <v>7.2999999999999995E-2</v>
      </c>
    </row>
    <row r="51" spans="1:7">
      <c r="A51" s="2984" t="s">
        <v>296</v>
      </c>
      <c r="B51" s="2973" t="s">
        <v>2928</v>
      </c>
      <c r="C51" s="2974">
        <v>9.9000000000000005E-2</v>
      </c>
      <c r="D51" s="2974">
        <v>8.5000000000000006E-2</v>
      </c>
      <c r="E51" s="2974">
        <v>6.3E-2</v>
      </c>
      <c r="F51" s="2985"/>
      <c r="G51" s="2975">
        <v>9.6000000000000002E-2</v>
      </c>
    </row>
    <row r="52" spans="1:7">
      <c r="A52" s="2984" t="s">
        <v>296</v>
      </c>
      <c r="B52" s="2973" t="s">
        <v>2932</v>
      </c>
      <c r="C52" s="2974">
        <v>7.3999999999999996E-2</v>
      </c>
      <c r="D52" s="2974">
        <v>9.6000000000000002E-2</v>
      </c>
      <c r="E52" s="2974">
        <v>0.05</v>
      </c>
      <c r="F52" s="2985"/>
      <c r="G52" s="2975">
        <v>9.8000000000000004E-2</v>
      </c>
    </row>
    <row r="53" spans="1:7">
      <c r="A53" s="2984" t="s">
        <v>296</v>
      </c>
      <c r="B53" s="2973" t="s">
        <v>2937</v>
      </c>
      <c r="C53" s="2974">
        <v>8.5999999999999993E-2</v>
      </c>
      <c r="D53" s="2985"/>
      <c r="E53" s="2974">
        <v>9.1999999999999998E-2</v>
      </c>
      <c r="F53" s="2985"/>
      <c r="G53" s="2986"/>
    </row>
    <row r="54" spans="1:7" ht="14.25" thickBot="1">
      <c r="A54" s="2987" t="s">
        <v>296</v>
      </c>
      <c r="B54" s="2977" t="s">
        <v>2940</v>
      </c>
      <c r="C54" s="2978">
        <v>9.6000000000000002E-2</v>
      </c>
      <c r="D54" s="2979"/>
      <c r="E54" s="2988"/>
      <c r="F54" s="2979"/>
      <c r="G54" s="2989"/>
    </row>
    <row r="55" spans="1:7">
      <c r="A55" s="2983" t="s">
        <v>110</v>
      </c>
      <c r="B55" s="2969" t="s">
        <v>2857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2938</v>
      </c>
      <c r="C78" s="2974">
        <v>0.1</v>
      </c>
      <c r="D78" s="2974">
        <v>8.5000000000000006E-2</v>
      </c>
      <c r="E78" s="2974">
        <v>9.6000000000000002E-2</v>
      </c>
      <c r="F78" s="2985"/>
      <c r="G78" s="2975">
        <v>9.6000000000000002E-2</v>
      </c>
    </row>
    <row r="79" spans="1:7">
      <c r="A79" s="2984" t="s">
        <v>110</v>
      </c>
      <c r="B79" s="2973" t="s">
        <v>2941</v>
      </c>
      <c r="C79" s="2974">
        <v>0.05</v>
      </c>
      <c r="D79" s="2974">
        <v>9.6000000000000002E-2</v>
      </c>
      <c r="E79" s="2974">
        <v>9.5000000000000001E-2</v>
      </c>
      <c r="F79" s="2985"/>
      <c r="G79" s="2975">
        <v>9.8000000000000004E-2</v>
      </c>
    </row>
    <row r="80" spans="1:7">
      <c r="A80" s="2984" t="s">
        <v>110</v>
      </c>
      <c r="B80" s="2973" t="s">
        <v>2945</v>
      </c>
      <c r="C80" s="2974">
        <v>8.5999999999999993E-2</v>
      </c>
      <c r="D80" s="2990"/>
      <c r="E80" s="2974">
        <v>0.1</v>
      </c>
      <c r="F80" s="2985"/>
      <c r="G80" s="2986"/>
    </row>
    <row r="81" spans="1:7">
      <c r="A81" s="2984" t="s">
        <v>110</v>
      </c>
      <c r="B81" s="2973" t="s">
        <v>2950</v>
      </c>
      <c r="C81" s="2974">
        <v>9.6000000000000002E-2</v>
      </c>
      <c r="D81" s="2985"/>
      <c r="E81" s="2974">
        <v>9.8000000000000004E-2</v>
      </c>
      <c r="F81" s="2985"/>
      <c r="G81" s="2986"/>
    </row>
    <row r="82" spans="1:7">
      <c r="A82" s="2984" t="s">
        <v>110</v>
      </c>
      <c r="B82" s="2973" t="s">
        <v>2957</v>
      </c>
      <c r="C82" s="2990"/>
      <c r="D82" s="2985"/>
      <c r="E82" s="2974">
        <v>7.6999999999999999E-2</v>
      </c>
      <c r="F82" s="2985"/>
      <c r="G82" s="2986"/>
    </row>
    <row r="83" spans="1:7">
      <c r="A83" s="2984" t="s">
        <v>110</v>
      </c>
      <c r="B83" s="2973" t="s">
        <v>2963</v>
      </c>
      <c r="C83" s="2985"/>
      <c r="D83" s="2985"/>
      <c r="E83" s="2985"/>
      <c r="F83" s="2974">
        <v>0.1</v>
      </c>
      <c r="G83" s="2991"/>
    </row>
    <row r="84" spans="1:7">
      <c r="A84" s="2984" t="s">
        <v>110</v>
      </c>
      <c r="B84" s="2973" t="s">
        <v>2970</v>
      </c>
      <c r="C84" s="2985"/>
      <c r="D84" s="2985"/>
      <c r="E84" s="2985"/>
      <c r="F84" s="2974">
        <v>0.1</v>
      </c>
      <c r="G84" s="2991"/>
    </row>
    <row r="85" spans="1:7">
      <c r="A85" s="2984" t="s">
        <v>110</v>
      </c>
      <c r="B85" s="2973" t="s">
        <v>2977</v>
      </c>
      <c r="C85" s="2985"/>
      <c r="D85" s="2985"/>
      <c r="E85" s="2985"/>
      <c r="F85" s="2974">
        <v>0.1</v>
      </c>
      <c r="G85" s="2991"/>
    </row>
    <row r="86" spans="1:7" ht="14.25" thickBot="1">
      <c r="A86" s="2987" t="s">
        <v>110</v>
      </c>
      <c r="B86" s="2977" t="s">
        <v>2982</v>
      </c>
      <c r="C86" s="2978">
        <v>9.8000000000000004E-2</v>
      </c>
      <c r="D86" s="2978">
        <v>9.8000000000000004E-2</v>
      </c>
      <c r="E86" s="2978">
        <v>9.6000000000000002E-2</v>
      </c>
      <c r="F86" s="2988"/>
      <c r="G86" s="2980">
        <v>0.1</v>
      </c>
    </row>
    <row r="87" spans="1:7">
      <c r="A87" s="2983" t="s">
        <v>303</v>
      </c>
      <c r="B87" s="2969" t="s">
        <v>2858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2951</v>
      </c>
      <c r="C113" s="2974">
        <v>0.1</v>
      </c>
      <c r="D113" s="2974">
        <v>0.1</v>
      </c>
      <c r="E113" s="2985"/>
      <c r="F113" s="2985"/>
      <c r="G113" s="2975">
        <v>0.1</v>
      </c>
    </row>
    <row r="114" spans="1:7">
      <c r="A114" s="2984" t="s">
        <v>303</v>
      </c>
      <c r="B114" s="2973" t="s">
        <v>2958</v>
      </c>
      <c r="C114" s="2974">
        <v>9.7000000000000003E-2</v>
      </c>
      <c r="D114" s="2974">
        <v>9.7000000000000003E-2</v>
      </c>
      <c r="E114" s="2985"/>
      <c r="F114" s="2985"/>
      <c r="G114" s="2975">
        <v>9.9000000000000005E-2</v>
      </c>
    </row>
    <row r="115" spans="1:7">
      <c r="A115" s="2984" t="s">
        <v>303</v>
      </c>
      <c r="B115" s="2973" t="s">
        <v>2964</v>
      </c>
      <c r="C115" s="2974">
        <v>0.1</v>
      </c>
      <c r="D115" s="2974">
        <v>0.1</v>
      </c>
      <c r="E115" s="2985"/>
      <c r="F115" s="2985"/>
      <c r="G115" s="2975">
        <v>0.1</v>
      </c>
    </row>
    <row r="116" spans="1:7">
      <c r="A116" s="2984" t="s">
        <v>303</v>
      </c>
      <c r="B116" s="2973" t="s">
        <v>2971</v>
      </c>
      <c r="C116" s="2974">
        <v>0.1</v>
      </c>
      <c r="D116" s="2974">
        <v>0.1</v>
      </c>
      <c r="E116" s="2985"/>
      <c r="F116" s="2985"/>
      <c r="G116" s="2975">
        <v>0.1</v>
      </c>
    </row>
    <row r="117" spans="1:7">
      <c r="A117" s="2984" t="s">
        <v>303</v>
      </c>
      <c r="B117" s="2973" t="s">
        <v>2978</v>
      </c>
      <c r="C117" s="2974">
        <v>9.7000000000000003E-2</v>
      </c>
      <c r="D117" s="2974">
        <v>9.7000000000000003E-2</v>
      </c>
      <c r="E117" s="2985"/>
      <c r="F117" s="2985"/>
      <c r="G117" s="2975">
        <v>9.7000000000000003E-2</v>
      </c>
    </row>
    <row r="118" spans="1:7">
      <c r="A118" s="2984" t="s">
        <v>303</v>
      </c>
      <c r="B118" s="2973" t="s">
        <v>2983</v>
      </c>
      <c r="C118" s="2974">
        <v>0.1</v>
      </c>
      <c r="D118" s="2974">
        <v>0.1</v>
      </c>
      <c r="E118" s="2985"/>
      <c r="F118" s="2985"/>
      <c r="G118" s="2975">
        <v>0.1</v>
      </c>
    </row>
    <row r="119" spans="1:7">
      <c r="A119" s="2984" t="s">
        <v>303</v>
      </c>
      <c r="B119" s="2973" t="s">
        <v>2987</v>
      </c>
      <c r="C119" s="2974">
        <v>5.0999999999999997E-2</v>
      </c>
      <c r="D119" s="2974">
        <v>5.1999999999999998E-2</v>
      </c>
      <c r="E119" s="2985"/>
      <c r="F119" s="2990"/>
      <c r="G119" s="2975">
        <v>0.06</v>
      </c>
    </row>
    <row r="120" spans="1:7">
      <c r="A120" s="2984" t="s">
        <v>303</v>
      </c>
      <c r="B120" s="2973" t="s">
        <v>2991</v>
      </c>
      <c r="C120" s="2985"/>
      <c r="D120" s="2985"/>
      <c r="E120" s="2985"/>
      <c r="F120" s="2974">
        <v>0.1</v>
      </c>
      <c r="G120" s="2991"/>
    </row>
    <row r="121" spans="1:7">
      <c r="A121" s="2984" t="s">
        <v>303</v>
      </c>
      <c r="B121" s="2973" t="s">
        <v>2996</v>
      </c>
      <c r="C121" s="2985"/>
      <c r="D121" s="2985"/>
      <c r="E121" s="2985"/>
      <c r="F121" s="2974">
        <v>0.1</v>
      </c>
      <c r="G121" s="2991"/>
    </row>
    <row r="122" spans="1:7">
      <c r="A122" s="2984" t="s">
        <v>303</v>
      </c>
      <c r="B122" s="2973" t="s">
        <v>3001</v>
      </c>
      <c r="C122" s="2974">
        <v>0.1</v>
      </c>
      <c r="D122" s="2974">
        <v>0.1</v>
      </c>
      <c r="E122" s="2974">
        <v>9.8000000000000004E-2</v>
      </c>
      <c r="F122" s="2974">
        <v>0.1</v>
      </c>
      <c r="G122" s="2975">
        <v>0.1</v>
      </c>
    </row>
    <row r="123" spans="1:7">
      <c r="A123" s="2984" t="s">
        <v>303</v>
      </c>
      <c r="B123" s="2973" t="s">
        <v>3006</v>
      </c>
      <c r="C123" s="2974">
        <v>0.1</v>
      </c>
      <c r="D123" s="2974">
        <v>0.1</v>
      </c>
      <c r="E123" s="2974">
        <v>9.8000000000000004E-2</v>
      </c>
      <c r="F123" s="2974">
        <v>0.1</v>
      </c>
      <c r="G123" s="2975">
        <v>0.1</v>
      </c>
    </row>
    <row r="124" spans="1:7">
      <c r="A124" s="2984" t="s">
        <v>303</v>
      </c>
      <c r="B124" s="2973" t="s">
        <v>3011</v>
      </c>
      <c r="C124" s="2974">
        <v>0.1</v>
      </c>
      <c r="D124" s="2974">
        <v>0.1</v>
      </c>
      <c r="E124" s="2974">
        <v>9.8000000000000004E-2</v>
      </c>
      <c r="F124" s="2990"/>
      <c r="G124" s="2975">
        <v>0.1</v>
      </c>
    </row>
    <row r="125" spans="1:7">
      <c r="A125" s="2984" t="s">
        <v>303</v>
      </c>
      <c r="B125" s="2973" t="s">
        <v>3016</v>
      </c>
      <c r="C125" s="2974">
        <v>9.8000000000000004E-2</v>
      </c>
      <c r="D125" s="2974">
        <v>9.8000000000000004E-2</v>
      </c>
      <c r="E125" s="2974">
        <v>9.6000000000000002E-2</v>
      </c>
      <c r="F125" s="2990"/>
      <c r="G125" s="2975">
        <v>0.1</v>
      </c>
    </row>
    <row r="126" spans="1:7" ht="14.25" thickBot="1">
      <c r="A126" s="2987" t="s">
        <v>303</v>
      </c>
      <c r="B126" s="2977" t="s">
        <v>3182</v>
      </c>
      <c r="C126" s="2978">
        <v>0.1</v>
      </c>
      <c r="D126" s="2978">
        <v>0.1</v>
      </c>
      <c r="E126" s="2978">
        <v>9.8000000000000004E-2</v>
      </c>
      <c r="F126" s="2978">
        <v>0.1</v>
      </c>
      <c r="G126" s="2980">
        <v>0.1</v>
      </c>
    </row>
    <row r="127" spans="1:7">
      <c r="A127" s="2983" t="s">
        <v>29</v>
      </c>
      <c r="B127" s="2969" t="s">
        <v>2859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2929</v>
      </c>
      <c r="C148" s="2974">
        <v>0.13</v>
      </c>
      <c r="D148" s="2974">
        <v>0.13</v>
      </c>
      <c r="E148" s="2974">
        <v>0.13</v>
      </c>
      <c r="F148" s="2985"/>
      <c r="G148" s="2975">
        <v>0.13</v>
      </c>
    </row>
    <row r="149" spans="1:7">
      <c r="A149" s="2984" t="s">
        <v>29</v>
      </c>
      <c r="B149" s="2973" t="s">
        <v>2933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2952</v>
      </c>
      <c r="C153" s="2974">
        <v>0.13</v>
      </c>
      <c r="D153" s="2974">
        <v>0.13</v>
      </c>
      <c r="E153" s="2974">
        <v>0.13</v>
      </c>
      <c r="F153" s="2974">
        <v>0.13</v>
      </c>
      <c r="G153" s="2975">
        <v>0.13</v>
      </c>
    </row>
    <row r="154" spans="1:7">
      <c r="A154" s="2984" t="s">
        <v>29</v>
      </c>
      <c r="B154" s="2973" t="s">
        <v>2959</v>
      </c>
      <c r="C154" s="2974">
        <v>0.121</v>
      </c>
      <c r="D154" s="2974">
        <v>0.121</v>
      </c>
      <c r="E154" s="2974">
        <v>0.105</v>
      </c>
      <c r="F154" s="2974">
        <v>0.121</v>
      </c>
      <c r="G154" s="2975">
        <v>0.123</v>
      </c>
    </row>
    <row r="155" spans="1:7">
      <c r="A155" s="2984" t="s">
        <v>29</v>
      </c>
      <c r="B155" s="2973" t="s">
        <v>2965</v>
      </c>
      <c r="C155" s="2974">
        <v>0.1</v>
      </c>
      <c r="D155" s="2974">
        <v>0.1</v>
      </c>
      <c r="E155" s="2974">
        <v>0.1</v>
      </c>
      <c r="F155" s="2974">
        <v>0.1</v>
      </c>
      <c r="G155" s="2975">
        <v>0.1</v>
      </c>
    </row>
    <row r="156" spans="1:7">
      <c r="A156" s="2984" t="s">
        <v>29</v>
      </c>
      <c r="B156" s="2973" t="s">
        <v>2972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2992</v>
      </c>
      <c r="C160" s="2974">
        <v>0.13</v>
      </c>
      <c r="D160" s="2974">
        <v>0.13</v>
      </c>
      <c r="E160" s="2974">
        <v>0.124</v>
      </c>
      <c r="F160" s="2974">
        <v>0.126</v>
      </c>
      <c r="G160" s="2975">
        <v>0.13</v>
      </c>
    </row>
    <row r="161" spans="1:7">
      <c r="A161" s="2984" t="s">
        <v>29</v>
      </c>
      <c r="B161" s="2973" t="s">
        <v>2997</v>
      </c>
      <c r="C161" s="2974">
        <v>0.13</v>
      </c>
      <c r="D161" s="2974">
        <v>0.13</v>
      </c>
      <c r="E161" s="2974">
        <v>0.124</v>
      </c>
      <c r="F161" s="2974">
        <v>0.127</v>
      </c>
      <c r="G161" s="2975">
        <v>0.13</v>
      </c>
    </row>
    <row r="162" spans="1:7">
      <c r="A162" s="2984" t="s">
        <v>29</v>
      </c>
      <c r="B162" s="2973" t="s">
        <v>3002</v>
      </c>
      <c r="C162" s="2974">
        <v>0.1</v>
      </c>
      <c r="D162" s="2974">
        <v>0.1</v>
      </c>
      <c r="E162" s="2974">
        <v>0.1</v>
      </c>
      <c r="F162" s="2974">
        <v>0.121</v>
      </c>
      <c r="G162" s="2975">
        <v>0.105</v>
      </c>
    </row>
    <row r="163" spans="1:7">
      <c r="A163" s="2984" t="s">
        <v>29</v>
      </c>
      <c r="B163" s="2973" t="s">
        <v>3007</v>
      </c>
      <c r="C163" s="2974">
        <v>0.1</v>
      </c>
      <c r="D163" s="2974">
        <v>0.1</v>
      </c>
      <c r="E163" s="2974">
        <v>0.1</v>
      </c>
      <c r="F163" s="2974">
        <v>0.1</v>
      </c>
      <c r="G163" s="2975">
        <v>0.1</v>
      </c>
    </row>
    <row r="164" spans="1:7">
      <c r="A164" s="2984" t="s">
        <v>29</v>
      </c>
      <c r="B164" s="2973" t="s">
        <v>3012</v>
      </c>
      <c r="C164" s="2990"/>
      <c r="D164" s="2990"/>
      <c r="E164" s="2990"/>
      <c r="F164" s="2974">
        <v>0.1</v>
      </c>
      <c r="G164" s="2986"/>
    </row>
    <row r="165" spans="1:7">
      <c r="A165" s="2984" t="s">
        <v>29</v>
      </c>
      <c r="B165" s="2973" t="s">
        <v>3183</v>
      </c>
      <c r="C165" s="2974">
        <v>0.126</v>
      </c>
      <c r="D165" s="2974">
        <v>0.126</v>
      </c>
      <c r="E165" s="2974">
        <v>0.11899999999999999</v>
      </c>
      <c r="F165" s="2974">
        <v>0.13</v>
      </c>
      <c r="G165" s="2975">
        <v>0.128</v>
      </c>
    </row>
    <row r="166" spans="1:7">
      <c r="A166" s="2984" t="s">
        <v>29</v>
      </c>
      <c r="B166" s="2973" t="s">
        <v>3022</v>
      </c>
      <c r="C166" s="2974">
        <v>0.129</v>
      </c>
      <c r="D166" s="2974">
        <v>0.129</v>
      </c>
      <c r="E166" s="2974">
        <v>0.123</v>
      </c>
      <c r="F166" s="2974">
        <v>0.128</v>
      </c>
      <c r="G166" s="2975">
        <v>0.13</v>
      </c>
    </row>
    <row r="167" spans="1:7">
      <c r="A167" s="2984" t="s">
        <v>29</v>
      </c>
      <c r="B167" s="2973" t="s">
        <v>3026</v>
      </c>
      <c r="C167" s="2974">
        <v>0.125</v>
      </c>
      <c r="D167" s="2974">
        <v>0.125</v>
      </c>
      <c r="E167" s="2974">
        <v>0.11700000000000001</v>
      </c>
      <c r="F167" s="2974">
        <v>0.13</v>
      </c>
      <c r="G167" s="2975">
        <v>0.126</v>
      </c>
    </row>
    <row r="168" spans="1:7">
      <c r="A168" s="2984" t="s">
        <v>29</v>
      </c>
      <c r="B168" s="2973" t="s">
        <v>3031</v>
      </c>
      <c r="C168" s="2974">
        <v>0.128</v>
      </c>
      <c r="D168" s="2974">
        <v>0.128</v>
      </c>
      <c r="E168" s="2974">
        <v>0.123</v>
      </c>
      <c r="F168" s="2985"/>
      <c r="G168" s="2975">
        <v>0.13</v>
      </c>
    </row>
    <row r="169" spans="1:7">
      <c r="A169" s="2984" t="s">
        <v>29</v>
      </c>
      <c r="B169" s="2973" t="s">
        <v>3184</v>
      </c>
      <c r="C169" s="2990"/>
      <c r="D169" s="2990"/>
      <c r="E169" s="2990"/>
      <c r="F169" s="2974">
        <v>0.05</v>
      </c>
      <c r="G169" s="2986"/>
    </row>
    <row r="170" spans="1:7">
      <c r="A170" s="2984" t="s">
        <v>29</v>
      </c>
      <c r="B170" s="2973" t="s">
        <v>3185</v>
      </c>
      <c r="C170" s="2990"/>
      <c r="D170" s="2990"/>
      <c r="E170" s="2990"/>
      <c r="F170" s="2974">
        <v>0.05</v>
      </c>
      <c r="G170" s="2986"/>
    </row>
    <row r="171" spans="1:7">
      <c r="A171" s="2984" t="s">
        <v>29</v>
      </c>
      <c r="B171" s="2973" t="s">
        <v>3186</v>
      </c>
      <c r="C171" s="2990"/>
      <c r="D171" s="2990"/>
      <c r="E171" s="2990"/>
      <c r="F171" s="2974">
        <v>0.05</v>
      </c>
      <c r="G171" s="2991"/>
    </row>
    <row r="172" spans="1:7">
      <c r="A172" s="2984" t="s">
        <v>29</v>
      </c>
      <c r="B172" s="2973" t="s">
        <v>3187</v>
      </c>
      <c r="C172" s="2990"/>
      <c r="D172" s="2990"/>
      <c r="E172" s="2990"/>
      <c r="F172" s="2974">
        <v>0.05</v>
      </c>
      <c r="G172" s="2991"/>
    </row>
    <row r="173" spans="1:7">
      <c r="A173" s="2984" t="s">
        <v>29</v>
      </c>
      <c r="B173" s="2973" t="s">
        <v>3188</v>
      </c>
      <c r="C173" s="2990"/>
      <c r="D173" s="2990"/>
      <c r="E173" s="2990"/>
      <c r="F173" s="2974">
        <v>0.05</v>
      </c>
      <c r="G173" s="2986"/>
    </row>
    <row r="174" spans="1:7">
      <c r="A174" s="2984" t="s">
        <v>29</v>
      </c>
      <c r="B174" s="2973" t="s">
        <v>3189</v>
      </c>
      <c r="C174" s="2990"/>
      <c r="D174" s="2990"/>
      <c r="E174" s="2990"/>
      <c r="F174" s="2974">
        <v>0.05</v>
      </c>
      <c r="G174" s="2986"/>
    </row>
    <row r="175" spans="1:7">
      <c r="A175" s="2984" t="s">
        <v>29</v>
      </c>
      <c r="B175" s="2973" t="s">
        <v>3190</v>
      </c>
      <c r="C175" s="2990"/>
      <c r="D175" s="2990"/>
      <c r="E175" s="2990"/>
      <c r="F175" s="2974">
        <v>0.05</v>
      </c>
      <c r="G175" s="2986"/>
    </row>
    <row r="176" spans="1:7">
      <c r="A176" s="2984" t="s">
        <v>29</v>
      </c>
      <c r="B176" s="2973" t="s">
        <v>3191</v>
      </c>
      <c r="C176" s="2990"/>
      <c r="D176" s="2990"/>
      <c r="E176" s="2990"/>
      <c r="F176" s="2974">
        <v>0.05</v>
      </c>
      <c r="G176" s="2986"/>
    </row>
    <row r="177" spans="1:7">
      <c r="A177" s="2984" t="s">
        <v>29</v>
      </c>
      <c r="B177" s="2973" t="s">
        <v>3192</v>
      </c>
      <c r="C177" s="2985"/>
      <c r="D177" s="2985"/>
      <c r="E177" s="2985"/>
      <c r="F177" s="2974">
        <v>0.05</v>
      </c>
      <c r="G177" s="2991"/>
    </row>
    <row r="178" spans="1:7">
      <c r="A178" s="2984" t="s">
        <v>29</v>
      </c>
      <c r="B178" s="2973" t="s">
        <v>3193</v>
      </c>
      <c r="C178" s="2985"/>
      <c r="D178" s="2985"/>
      <c r="E178" s="2985"/>
      <c r="F178" s="2974">
        <v>0.05</v>
      </c>
      <c r="G178" s="2991"/>
    </row>
    <row r="179" spans="1:7">
      <c r="A179" s="2984" t="s">
        <v>29</v>
      </c>
      <c r="B179" s="2973" t="s">
        <v>3194</v>
      </c>
      <c r="C179" s="2985"/>
      <c r="D179" s="2985"/>
      <c r="E179" s="2985"/>
      <c r="F179" s="2974">
        <v>0.05</v>
      </c>
      <c r="G179" s="2991"/>
    </row>
    <row r="180" spans="1:7">
      <c r="A180" s="2984" t="s">
        <v>29</v>
      </c>
      <c r="B180" s="2973" t="s">
        <v>3195</v>
      </c>
      <c r="C180" s="2985"/>
      <c r="D180" s="2985"/>
      <c r="E180" s="2985"/>
      <c r="F180" s="2974">
        <v>0.05</v>
      </c>
      <c r="G180" s="2991"/>
    </row>
    <row r="181" spans="1:7">
      <c r="A181" s="2984" t="s">
        <v>29</v>
      </c>
      <c r="B181" s="2973" t="s">
        <v>3196</v>
      </c>
      <c r="C181" s="2985"/>
      <c r="D181" s="2985"/>
      <c r="E181" s="2985"/>
      <c r="F181" s="2974">
        <v>0.05</v>
      </c>
      <c r="G181" s="2991"/>
    </row>
    <row r="182" spans="1:7">
      <c r="A182" s="2984" t="s">
        <v>29</v>
      </c>
      <c r="B182" s="2973" t="s">
        <v>3197</v>
      </c>
      <c r="C182" s="2985"/>
      <c r="D182" s="2985"/>
      <c r="E182" s="2985"/>
      <c r="F182" s="2974">
        <v>0.05</v>
      </c>
      <c r="G182" s="2991"/>
    </row>
    <row r="183" spans="1:7">
      <c r="A183" s="2984" t="s">
        <v>29</v>
      </c>
      <c r="B183" s="2973" t="s">
        <v>3198</v>
      </c>
      <c r="C183" s="2985"/>
      <c r="D183" s="2985"/>
      <c r="E183" s="2985"/>
      <c r="F183" s="2974">
        <v>0.05</v>
      </c>
      <c r="G183" s="2991"/>
    </row>
    <row r="184" spans="1:7">
      <c r="A184" s="2984" t="s">
        <v>29</v>
      </c>
      <c r="B184" s="2973" t="s">
        <v>3199</v>
      </c>
      <c r="C184" s="2985"/>
      <c r="D184" s="2985"/>
      <c r="E184" s="2985"/>
      <c r="F184" s="2974">
        <v>0.05</v>
      </c>
      <c r="G184" s="2991"/>
    </row>
    <row r="185" spans="1:7">
      <c r="A185" s="2984" t="s">
        <v>29</v>
      </c>
      <c r="B185" s="2973" t="s">
        <v>3200</v>
      </c>
      <c r="C185" s="2985"/>
      <c r="D185" s="2985"/>
      <c r="E185" s="2985"/>
      <c r="F185" s="2974">
        <v>0.05</v>
      </c>
      <c r="G185" s="2991"/>
    </row>
    <row r="186" spans="1:7">
      <c r="A186" s="2984" t="s">
        <v>29</v>
      </c>
      <c r="B186" s="2973" t="s">
        <v>3201</v>
      </c>
      <c r="C186" s="2985"/>
      <c r="D186" s="2985"/>
      <c r="E186" s="2985"/>
      <c r="F186" s="2974">
        <v>0.05</v>
      </c>
      <c r="G186" s="2991"/>
    </row>
    <row r="187" spans="1:7">
      <c r="A187" s="2984" t="s">
        <v>29</v>
      </c>
      <c r="B187" s="2973" t="s">
        <v>3202</v>
      </c>
      <c r="C187" s="2985"/>
      <c r="D187" s="2985"/>
      <c r="E187" s="2985"/>
      <c r="F187" s="2974">
        <v>0.05</v>
      </c>
      <c r="G187" s="2991"/>
    </row>
    <row r="188" spans="1:7">
      <c r="A188" s="2984" t="s">
        <v>29</v>
      </c>
      <c r="B188" s="2973" t="s">
        <v>3203</v>
      </c>
      <c r="C188" s="2985"/>
      <c r="D188" s="2985"/>
      <c r="E188" s="2985"/>
      <c r="F188" s="2974">
        <v>0.05</v>
      </c>
      <c r="G188" s="2991"/>
    </row>
    <row r="189" spans="1:7" ht="14.25" thickBot="1">
      <c r="A189" s="2987" t="s">
        <v>29</v>
      </c>
      <c r="B189" s="2977" t="s">
        <v>3204</v>
      </c>
      <c r="C189" s="2979"/>
      <c r="D189" s="2979"/>
      <c r="E189" s="2979"/>
      <c r="F189" s="2978">
        <v>0.05</v>
      </c>
      <c r="G189" s="2992"/>
    </row>
    <row r="190" spans="1:7">
      <c r="A190" s="2983" t="s">
        <v>304</v>
      </c>
      <c r="B190" s="2969" t="s">
        <v>2860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2896</v>
      </c>
      <c r="C199" s="2974">
        <v>0.13</v>
      </c>
      <c r="D199" s="2974">
        <v>0.13</v>
      </c>
      <c r="E199" s="2974">
        <v>0.13</v>
      </c>
      <c r="F199" s="2974">
        <v>0.13</v>
      </c>
      <c r="G199" s="2975">
        <v>0.13</v>
      </c>
    </row>
    <row r="200" spans="1:7">
      <c r="A200" s="2984" t="s">
        <v>304</v>
      </c>
      <c r="B200" s="2973" t="s">
        <v>2899</v>
      </c>
      <c r="C200" s="2990"/>
      <c r="D200" s="2990"/>
      <c r="E200" s="2990"/>
      <c r="F200" s="2974">
        <v>0.13</v>
      </c>
      <c r="G200" s="2986"/>
    </row>
    <row r="201" spans="1:7">
      <c r="A201" s="2984" t="s">
        <v>304</v>
      </c>
      <c r="B201" s="2973" t="s">
        <v>2904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2907</v>
      </c>
      <c r="C203" s="2974">
        <v>0.129</v>
      </c>
      <c r="D203" s="2974">
        <v>0.129</v>
      </c>
      <c r="E203" s="2974">
        <v>0.13</v>
      </c>
      <c r="F203" s="2974">
        <v>0.13</v>
      </c>
      <c r="G203" s="2975">
        <v>0.13</v>
      </c>
    </row>
    <row r="204" spans="1:7">
      <c r="A204" s="2984" t="s">
        <v>304</v>
      </c>
      <c r="B204" s="2973" t="s">
        <v>2910</v>
      </c>
      <c r="C204" s="2974">
        <v>0.129</v>
      </c>
      <c r="D204" s="2974">
        <v>0.129</v>
      </c>
      <c r="E204" s="2974">
        <v>0.123</v>
      </c>
      <c r="F204" s="2974">
        <v>0.13</v>
      </c>
      <c r="G204" s="2975">
        <v>0.13</v>
      </c>
    </row>
    <row r="205" spans="1:7">
      <c r="A205" s="2984" t="s">
        <v>304</v>
      </c>
      <c r="B205" s="2973" t="s">
        <v>2912</v>
      </c>
      <c r="C205" s="2974">
        <v>0.13</v>
      </c>
      <c r="D205" s="2974">
        <v>0.13</v>
      </c>
      <c r="E205" s="2974">
        <v>0.13</v>
      </c>
      <c r="F205" s="2974">
        <v>0.13</v>
      </c>
      <c r="G205" s="2975">
        <v>0.13</v>
      </c>
    </row>
    <row r="206" spans="1:7">
      <c r="A206" s="2984" t="s">
        <v>304</v>
      </c>
      <c r="B206" s="2973" t="s">
        <v>2915</v>
      </c>
      <c r="C206" s="2974">
        <v>0.13</v>
      </c>
      <c r="D206" s="2974">
        <v>0.13</v>
      </c>
      <c r="E206" s="2974">
        <v>0.13</v>
      </c>
      <c r="F206" s="2974">
        <v>0.128</v>
      </c>
      <c r="G206" s="2975">
        <v>0.13</v>
      </c>
    </row>
    <row r="207" spans="1:7">
      <c r="A207" s="2984" t="s">
        <v>304</v>
      </c>
      <c r="B207" s="2973" t="s">
        <v>2917</v>
      </c>
      <c r="C207" s="2974">
        <v>0.13</v>
      </c>
      <c r="D207" s="2974">
        <v>0.13</v>
      </c>
      <c r="E207" s="2974">
        <v>0.13</v>
      </c>
      <c r="F207" s="2974">
        <v>0.13</v>
      </c>
      <c r="G207" s="2975">
        <v>0.13</v>
      </c>
    </row>
    <row r="208" spans="1:7">
      <c r="A208" s="2984" t="s">
        <v>304</v>
      </c>
      <c r="B208" s="2973" t="s">
        <v>2920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2927</v>
      </c>
      <c r="C210" s="2974">
        <v>0.121</v>
      </c>
      <c r="D210" s="2974">
        <v>0.121</v>
      </c>
      <c r="E210" s="2974">
        <v>0.125</v>
      </c>
      <c r="F210" s="2974">
        <v>0.13</v>
      </c>
      <c r="G210" s="2975">
        <v>0.123</v>
      </c>
    </row>
    <row r="211" spans="1:7">
      <c r="A211" s="2984" t="s">
        <v>304</v>
      </c>
      <c r="B211" s="2973" t="s">
        <v>2930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2942</v>
      </c>
      <c r="C214" s="2974">
        <v>0.128</v>
      </c>
      <c r="D214" s="2974">
        <v>0.128</v>
      </c>
      <c r="E214" s="2974">
        <v>0.13</v>
      </c>
      <c r="F214" s="2974">
        <v>0.13</v>
      </c>
      <c r="G214" s="2975">
        <v>0.13</v>
      </c>
    </row>
    <row r="215" spans="1:7">
      <c r="A215" s="2984" t="s">
        <v>304</v>
      </c>
      <c r="B215" s="2973" t="s">
        <v>2946</v>
      </c>
      <c r="C215" s="2974">
        <v>0.13</v>
      </c>
      <c r="D215" s="2974">
        <v>0.13</v>
      </c>
      <c r="E215" s="2974">
        <v>0.13</v>
      </c>
      <c r="F215" s="2974">
        <v>0.129</v>
      </c>
      <c r="G215" s="2975">
        <v>0.13</v>
      </c>
    </row>
    <row r="216" spans="1:7">
      <c r="A216" s="2984" t="s">
        <v>304</v>
      </c>
      <c r="B216" s="2973" t="s">
        <v>2953</v>
      </c>
      <c r="C216" s="2974">
        <v>0.13</v>
      </c>
      <c r="D216" s="2974">
        <v>0.13</v>
      </c>
      <c r="E216" s="2974">
        <v>0.13</v>
      </c>
      <c r="F216" s="2974">
        <v>0.13</v>
      </c>
      <c r="G216" s="2975">
        <v>0.13</v>
      </c>
    </row>
    <row r="217" spans="1:7">
      <c r="A217" s="2984" t="s">
        <v>304</v>
      </c>
      <c r="B217" s="2973" t="s">
        <v>2960</v>
      </c>
      <c r="C217" s="2974">
        <v>0.129</v>
      </c>
      <c r="D217" s="2974">
        <v>0.129</v>
      </c>
      <c r="E217" s="2974">
        <v>0.13</v>
      </c>
      <c r="F217" s="2974">
        <v>0.13</v>
      </c>
      <c r="G217" s="2975">
        <v>0.13</v>
      </c>
    </row>
    <row r="218" spans="1:7">
      <c r="A218" s="2984" t="s">
        <v>304</v>
      </c>
      <c r="B218" s="2973" t="s">
        <v>2966</v>
      </c>
      <c r="C218" s="2985"/>
      <c r="D218" s="2985"/>
      <c r="E218" s="2985"/>
      <c r="F218" s="2974">
        <v>0.05</v>
      </c>
      <c r="G218" s="2991"/>
    </row>
    <row r="219" spans="1:7">
      <c r="A219" s="2984" t="s">
        <v>304</v>
      </c>
      <c r="B219" s="2973" t="s">
        <v>2973</v>
      </c>
      <c r="C219" s="2985"/>
      <c r="D219" s="2985"/>
      <c r="E219" s="2985"/>
      <c r="F219" s="2974">
        <v>0.05</v>
      </c>
      <c r="G219" s="2991"/>
    </row>
    <row r="220" spans="1:7">
      <c r="A220" s="2984" t="s">
        <v>304</v>
      </c>
      <c r="B220" s="2973" t="s">
        <v>2979</v>
      </c>
      <c r="C220" s="2985"/>
      <c r="D220" s="2985"/>
      <c r="E220" s="2985"/>
      <c r="F220" s="2974">
        <v>0.05</v>
      </c>
      <c r="G220" s="2991"/>
    </row>
    <row r="221" spans="1:7">
      <c r="A221" s="2984" t="s">
        <v>304</v>
      </c>
      <c r="B221" s="2973" t="s">
        <v>2984</v>
      </c>
      <c r="C221" s="2985"/>
      <c r="D221" s="2985"/>
      <c r="E221" s="2985"/>
      <c r="F221" s="2974">
        <v>0.05</v>
      </c>
      <c r="G221" s="2991"/>
    </row>
    <row r="222" spans="1:7">
      <c r="A222" s="2984" t="s">
        <v>304</v>
      </c>
      <c r="B222" s="2973" t="s">
        <v>2988</v>
      </c>
      <c r="C222" s="2985"/>
      <c r="D222" s="2985"/>
      <c r="E222" s="2985"/>
      <c r="F222" s="2974">
        <v>0.05</v>
      </c>
      <c r="G222" s="2991"/>
    </row>
    <row r="223" spans="1:7">
      <c r="A223" s="2984" t="s">
        <v>304</v>
      </c>
      <c r="B223" s="2973" t="s">
        <v>2993</v>
      </c>
      <c r="C223" s="2985"/>
      <c r="D223" s="2985"/>
      <c r="E223" s="2985"/>
      <c r="F223" s="2974">
        <v>0.05</v>
      </c>
      <c r="G223" s="2991"/>
    </row>
    <row r="224" spans="1:7">
      <c r="A224" s="2984" t="s">
        <v>304</v>
      </c>
      <c r="B224" s="2973" t="s">
        <v>2998</v>
      </c>
      <c r="C224" s="2985"/>
      <c r="D224" s="2985"/>
      <c r="E224" s="2985"/>
      <c r="F224" s="2974">
        <v>0.05</v>
      </c>
      <c r="G224" s="2991"/>
    </row>
    <row r="225" spans="1:7">
      <c r="A225" s="2984" t="s">
        <v>304</v>
      </c>
      <c r="B225" s="2973" t="s">
        <v>3003</v>
      </c>
      <c r="C225" s="2985"/>
      <c r="D225" s="2985"/>
      <c r="E225" s="2985"/>
      <c r="F225" s="2974">
        <v>0.05</v>
      </c>
      <c r="G225" s="2991"/>
    </row>
    <row r="226" spans="1:7">
      <c r="A226" s="2984" t="s">
        <v>304</v>
      </c>
      <c r="B226" s="2973" t="s">
        <v>3205</v>
      </c>
      <c r="C226" s="2985"/>
      <c r="D226" s="2985"/>
      <c r="E226" s="2985"/>
      <c r="F226" s="2974">
        <v>0.05</v>
      </c>
      <c r="G226" s="2991"/>
    </row>
    <row r="227" spans="1:7">
      <c r="A227" s="2984" t="s">
        <v>304</v>
      </c>
      <c r="B227" s="2973" t="s">
        <v>3206</v>
      </c>
      <c r="C227" s="2985"/>
      <c r="D227" s="2985"/>
      <c r="E227" s="2985"/>
      <c r="F227" s="2974">
        <v>0.05</v>
      </c>
      <c r="G227" s="2991"/>
    </row>
    <row r="228" spans="1:7">
      <c r="A228" s="2984" t="s">
        <v>304</v>
      </c>
      <c r="B228" s="2973" t="s">
        <v>3207</v>
      </c>
      <c r="C228" s="2985"/>
      <c r="D228" s="2985"/>
      <c r="E228" s="2985"/>
      <c r="F228" s="2974">
        <v>0.05</v>
      </c>
      <c r="G228" s="2991"/>
    </row>
    <row r="229" spans="1:7">
      <c r="A229" s="2984" t="s">
        <v>304</v>
      </c>
      <c r="B229" s="2973" t="s">
        <v>3208</v>
      </c>
      <c r="C229" s="2985"/>
      <c r="D229" s="2985"/>
      <c r="E229" s="2985"/>
      <c r="F229" s="2974">
        <v>0.05</v>
      </c>
      <c r="G229" s="2991"/>
    </row>
    <row r="230" spans="1:7">
      <c r="A230" s="2984" t="s">
        <v>304</v>
      </c>
      <c r="B230" s="2973" t="s">
        <v>3209</v>
      </c>
      <c r="C230" s="2985"/>
      <c r="D230" s="2985"/>
      <c r="E230" s="2985"/>
      <c r="F230" s="2974">
        <v>0.05</v>
      </c>
      <c r="G230" s="2991"/>
    </row>
    <row r="231" spans="1:7">
      <c r="A231" s="2984" t="s">
        <v>304</v>
      </c>
      <c r="B231" s="2973" t="s">
        <v>3210</v>
      </c>
      <c r="C231" s="2985"/>
      <c r="D231" s="2985"/>
      <c r="E231" s="2985"/>
      <c r="F231" s="2974">
        <v>0.05</v>
      </c>
      <c r="G231" s="2991"/>
    </row>
    <row r="232" spans="1:7">
      <c r="A232" s="2984" t="s">
        <v>304</v>
      </c>
      <c r="B232" s="2973" t="s">
        <v>3211</v>
      </c>
      <c r="C232" s="2985"/>
      <c r="D232" s="2985"/>
      <c r="E232" s="2985"/>
      <c r="F232" s="2974">
        <v>0.05</v>
      </c>
      <c r="G232" s="2991"/>
    </row>
    <row r="233" spans="1:7" ht="14.25" thickBot="1">
      <c r="A233" s="2987" t="s">
        <v>304</v>
      </c>
      <c r="B233" s="2977" t="s">
        <v>3212</v>
      </c>
      <c r="C233" s="2979"/>
      <c r="D233" s="2979"/>
      <c r="E233" s="2979"/>
      <c r="F233" s="2978">
        <v>0.05</v>
      </c>
      <c r="G233" s="2992"/>
    </row>
    <row r="234" spans="1:7">
      <c r="A234" s="2983" t="s">
        <v>305</v>
      </c>
      <c r="B234" s="2969" t="s">
        <v>2861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2881</v>
      </c>
      <c r="C238" s="2974">
        <v>0.14899999999999999</v>
      </c>
      <c r="D238" s="2974">
        <v>0.14899999999999999</v>
      </c>
      <c r="E238" s="2974">
        <v>0.15</v>
      </c>
      <c r="F238" s="2974">
        <v>0.15</v>
      </c>
      <c r="G238" s="2975">
        <v>0.15</v>
      </c>
    </row>
    <row r="239" spans="1:7">
      <c r="A239" s="2984" t="s">
        <v>305</v>
      </c>
      <c r="B239" s="2973" t="s">
        <v>2885</v>
      </c>
      <c r="C239" s="2974">
        <v>0.15</v>
      </c>
      <c r="D239" s="2974">
        <v>0.15</v>
      </c>
      <c r="E239" s="2974">
        <v>0.15</v>
      </c>
      <c r="F239" s="2974">
        <v>0.15</v>
      </c>
      <c r="G239" s="2975">
        <v>0.15</v>
      </c>
    </row>
    <row r="240" spans="1:7">
      <c r="A240" s="2984" t="s">
        <v>305</v>
      </c>
      <c r="B240" s="2973" t="s">
        <v>2890</v>
      </c>
      <c r="C240" s="2974">
        <v>0.15</v>
      </c>
      <c r="D240" s="2974">
        <v>0.15</v>
      </c>
      <c r="E240" s="2974">
        <v>0.15</v>
      </c>
      <c r="F240" s="2974">
        <v>0.15</v>
      </c>
      <c r="G240" s="2975">
        <v>0.15</v>
      </c>
    </row>
    <row r="241" spans="1:7">
      <c r="A241" s="2984" t="s">
        <v>305</v>
      </c>
      <c r="B241" s="2973" t="s">
        <v>2894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2900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2943</v>
      </c>
      <c r="C258" s="2974">
        <v>0.14299999999999999</v>
      </c>
      <c r="D258" s="2974">
        <v>0.14299999999999999</v>
      </c>
      <c r="E258" s="2974">
        <v>0.15</v>
      </c>
      <c r="F258" s="2974">
        <v>0.14799999999999999</v>
      </c>
      <c r="G258" s="2975">
        <v>0.14599999999999999</v>
      </c>
    </row>
    <row r="259" spans="1:7">
      <c r="A259" s="2984" t="s">
        <v>305</v>
      </c>
      <c r="B259" s="2973" t="s">
        <v>2947</v>
      </c>
      <c r="C259" s="2974">
        <v>0.14399999999999999</v>
      </c>
      <c r="D259" s="2974">
        <v>0.14399999999999999</v>
      </c>
      <c r="E259" s="2974">
        <v>0.14899999999999999</v>
      </c>
      <c r="F259" s="2974">
        <v>0.14699999999999999</v>
      </c>
      <c r="G259" s="2975">
        <v>0.14599999999999999</v>
      </c>
    </row>
    <row r="260" spans="1:7">
      <c r="A260" s="2984" t="s">
        <v>305</v>
      </c>
      <c r="B260" s="2973" t="s">
        <v>2954</v>
      </c>
      <c r="C260" s="2974">
        <v>0.109</v>
      </c>
      <c r="D260" s="2974">
        <v>0.111</v>
      </c>
      <c r="E260" s="2974">
        <v>0.13100000000000001</v>
      </c>
      <c r="F260" s="2974">
        <v>0.126</v>
      </c>
      <c r="G260" s="2975">
        <v>0.11899999999999999</v>
      </c>
    </row>
    <row r="261" spans="1:7">
      <c r="A261" s="2984" t="s">
        <v>305</v>
      </c>
      <c r="B261" s="2973" t="s">
        <v>2961</v>
      </c>
      <c r="C261" s="2974">
        <v>0.1</v>
      </c>
      <c r="D261" s="2974">
        <v>0.1</v>
      </c>
      <c r="E261" s="2974">
        <v>0.11799999999999999</v>
      </c>
      <c r="F261" s="2974">
        <v>0.108</v>
      </c>
      <c r="G261" s="2975">
        <v>0.107</v>
      </c>
    </row>
    <row r="262" spans="1:7">
      <c r="A262" s="2984" t="s">
        <v>305</v>
      </c>
      <c r="B262" s="2973" t="s">
        <v>2967</v>
      </c>
      <c r="C262" s="2974">
        <v>0.1</v>
      </c>
      <c r="D262" s="2974">
        <v>0.1</v>
      </c>
      <c r="E262" s="2974">
        <v>0.1</v>
      </c>
      <c r="F262" s="2974">
        <v>0.14099999999999999</v>
      </c>
      <c r="G262" s="2975">
        <v>0.1</v>
      </c>
    </row>
    <row r="263" spans="1:7">
      <c r="A263" s="2984" t="s">
        <v>305</v>
      </c>
      <c r="B263" s="2973" t="s">
        <v>2974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2985</v>
      </c>
      <c r="C265" s="2985"/>
      <c r="D265" s="2985"/>
      <c r="E265" s="2985"/>
      <c r="F265" s="2974">
        <v>0.05</v>
      </c>
      <c r="G265" s="2991"/>
    </row>
    <row r="266" spans="1:7">
      <c r="A266" s="2984" t="s">
        <v>305</v>
      </c>
      <c r="B266" s="2973" t="s">
        <v>2989</v>
      </c>
      <c r="C266" s="2985"/>
      <c r="D266" s="2985"/>
      <c r="E266" s="2985"/>
      <c r="F266" s="2974">
        <v>0.05</v>
      </c>
      <c r="G266" s="2991"/>
    </row>
    <row r="267" spans="1:7">
      <c r="A267" s="2984" t="s">
        <v>305</v>
      </c>
      <c r="B267" s="2973" t="s">
        <v>2994</v>
      </c>
      <c r="C267" s="2985"/>
      <c r="D267" s="2985"/>
      <c r="E267" s="2985"/>
      <c r="F267" s="2974">
        <v>0.05</v>
      </c>
      <c r="G267" s="2991"/>
    </row>
    <row r="268" spans="1:7">
      <c r="A268" s="2984" t="s">
        <v>305</v>
      </c>
      <c r="B268" s="2973" t="s">
        <v>2999</v>
      </c>
      <c r="C268" s="2985"/>
      <c r="D268" s="2985"/>
      <c r="E268" s="2985"/>
      <c r="F268" s="2974">
        <v>0.05</v>
      </c>
      <c r="G268" s="2991"/>
    </row>
    <row r="269" spans="1:7">
      <c r="A269" s="2984" t="s">
        <v>305</v>
      </c>
      <c r="B269" s="2973" t="s">
        <v>3004</v>
      </c>
      <c r="C269" s="2985"/>
      <c r="D269" s="2985"/>
      <c r="E269" s="2985"/>
      <c r="F269" s="2974">
        <v>0.05</v>
      </c>
      <c r="G269" s="2991"/>
    </row>
    <row r="270" spans="1:7">
      <c r="A270" s="2984" t="s">
        <v>305</v>
      </c>
      <c r="B270" s="2973" t="s">
        <v>3009</v>
      </c>
      <c r="C270" s="2985"/>
      <c r="D270" s="2985"/>
      <c r="E270" s="2985"/>
      <c r="F270" s="2974">
        <v>0.05</v>
      </c>
      <c r="G270" s="2991"/>
    </row>
    <row r="271" spans="1:7">
      <c r="A271" s="2984" t="s">
        <v>305</v>
      </c>
      <c r="B271" s="2973" t="s">
        <v>3213</v>
      </c>
      <c r="C271" s="2985"/>
      <c r="D271" s="2985"/>
      <c r="E271" s="2985"/>
      <c r="F271" s="2974">
        <v>0.05</v>
      </c>
      <c r="G271" s="2991"/>
    </row>
    <row r="272" spans="1:7">
      <c r="A272" s="2984" t="s">
        <v>305</v>
      </c>
      <c r="B272" s="2973" t="s">
        <v>3214</v>
      </c>
      <c r="C272" s="2985"/>
      <c r="D272" s="2985"/>
      <c r="E272" s="2985"/>
      <c r="F272" s="2974">
        <v>0.05</v>
      </c>
      <c r="G272" s="2991"/>
    </row>
    <row r="273" spans="1:7">
      <c r="A273" s="2984" t="s">
        <v>305</v>
      </c>
      <c r="B273" s="2973" t="s">
        <v>3215</v>
      </c>
      <c r="C273" s="2985"/>
      <c r="D273" s="2985"/>
      <c r="E273" s="2985"/>
      <c r="F273" s="2974">
        <v>0.05</v>
      </c>
      <c r="G273" s="2991"/>
    </row>
    <row r="274" spans="1:7">
      <c r="A274" s="2984" t="s">
        <v>305</v>
      </c>
      <c r="B274" s="2973" t="s">
        <v>3216</v>
      </c>
      <c r="C274" s="2985"/>
      <c r="D274" s="2985"/>
      <c r="E274" s="2985"/>
      <c r="F274" s="2974">
        <v>0.05</v>
      </c>
      <c r="G274" s="2991"/>
    </row>
    <row r="275" spans="1:7">
      <c r="A275" s="2984" t="s">
        <v>305</v>
      </c>
      <c r="B275" s="2973" t="s">
        <v>3217</v>
      </c>
      <c r="C275" s="2985"/>
      <c r="D275" s="2985"/>
      <c r="E275" s="2985"/>
      <c r="F275" s="2974">
        <v>0.05</v>
      </c>
      <c r="G275" s="2991"/>
    </row>
    <row r="276" spans="1:7" ht="14.25" thickBot="1">
      <c r="A276" s="2987" t="s">
        <v>305</v>
      </c>
      <c r="B276" s="2977" t="s">
        <v>3218</v>
      </c>
      <c r="C276" s="2979"/>
      <c r="D276" s="2979"/>
      <c r="E276" s="2979"/>
      <c r="F276" s="2978">
        <v>0.05</v>
      </c>
      <c r="G276" s="2992"/>
    </row>
    <row r="277" spans="1:7">
      <c r="A277" s="2983" t="s">
        <v>306</v>
      </c>
      <c r="B277" s="2969" t="s">
        <v>2862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2874</v>
      </c>
      <c r="C279" s="2974">
        <v>0.15</v>
      </c>
      <c r="D279" s="2974">
        <v>0.15</v>
      </c>
      <c r="E279" s="2974">
        <v>0.15</v>
      </c>
      <c r="F279" s="2974">
        <v>0.15</v>
      </c>
      <c r="G279" s="2975">
        <v>0.15</v>
      </c>
    </row>
    <row r="280" spans="1:7">
      <c r="A280" s="2984" t="s">
        <v>306</v>
      </c>
      <c r="B280" s="2973" t="s">
        <v>2878</v>
      </c>
      <c r="C280" s="2974">
        <v>0.15</v>
      </c>
      <c r="D280" s="2974">
        <v>0.15</v>
      </c>
      <c r="E280" s="2974">
        <v>0.15</v>
      </c>
      <c r="F280" s="2974">
        <v>0.15</v>
      </c>
      <c r="G280" s="2975">
        <v>0.15</v>
      </c>
    </row>
    <row r="281" spans="1:7">
      <c r="A281" s="2984" t="s">
        <v>306</v>
      </c>
      <c r="B281" s="2973" t="s">
        <v>2882</v>
      </c>
      <c r="C281" s="2974">
        <v>0.15</v>
      </c>
      <c r="D281" s="2974">
        <v>0.15</v>
      </c>
      <c r="E281" s="2974">
        <v>0.15</v>
      </c>
      <c r="F281" s="2974">
        <v>0.15</v>
      </c>
      <c r="G281" s="2975">
        <v>0.15</v>
      </c>
    </row>
    <row r="282" spans="1:7">
      <c r="A282" s="2984" t="s">
        <v>306</v>
      </c>
      <c r="B282" s="2973" t="s">
        <v>2886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2916</v>
      </c>
      <c r="C293" s="2974">
        <v>0.15</v>
      </c>
      <c r="D293" s="2974">
        <v>0.15</v>
      </c>
      <c r="E293" s="2974">
        <v>0.15</v>
      </c>
      <c r="F293" s="2974">
        <v>0.14499999999999999</v>
      </c>
      <c r="G293" s="2975">
        <v>0.15</v>
      </c>
    </row>
    <row r="294" spans="1:7">
      <c r="A294" s="2984" t="s">
        <v>306</v>
      </c>
      <c r="B294" s="2973" t="s">
        <v>2918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2948</v>
      </c>
      <c r="C302" s="2974">
        <v>0.15</v>
      </c>
      <c r="D302" s="2974">
        <v>0.15</v>
      </c>
      <c r="E302" s="2974">
        <v>0.15</v>
      </c>
      <c r="F302" s="2974">
        <v>0.14699999999999999</v>
      </c>
      <c r="G302" s="2975">
        <v>0.15</v>
      </c>
    </row>
    <row r="303" spans="1:7">
      <c r="A303" s="2984" t="s">
        <v>306</v>
      </c>
      <c r="B303" s="2973" t="s">
        <v>2955</v>
      </c>
      <c r="C303" s="2974">
        <v>0.15</v>
      </c>
      <c r="D303" s="2974">
        <v>0.15</v>
      </c>
      <c r="E303" s="2974">
        <v>0.15</v>
      </c>
      <c r="F303" s="2974">
        <v>0.14199999999999999</v>
      </c>
      <c r="G303" s="2975">
        <v>0.15</v>
      </c>
    </row>
    <row r="304" spans="1:7">
      <c r="A304" s="2984" t="s">
        <v>306</v>
      </c>
      <c r="B304" s="2973" t="s">
        <v>2962</v>
      </c>
      <c r="C304" s="2974">
        <v>0.15</v>
      </c>
      <c r="D304" s="2974">
        <v>0.15</v>
      </c>
      <c r="E304" s="2974">
        <v>0.15</v>
      </c>
      <c r="F304" s="2974">
        <v>0.14499999999999999</v>
      </c>
      <c r="G304" s="2975">
        <v>0.15</v>
      </c>
    </row>
    <row r="305" spans="1:7">
      <c r="A305" s="2984" t="s">
        <v>306</v>
      </c>
      <c r="B305" s="2973" t="s">
        <v>2968</v>
      </c>
      <c r="C305" s="2974">
        <v>0.15</v>
      </c>
      <c r="D305" s="2974">
        <v>0.15</v>
      </c>
      <c r="E305" s="2974">
        <v>0.15</v>
      </c>
      <c r="F305" s="2974">
        <v>0.111</v>
      </c>
      <c r="G305" s="2975">
        <v>0.15</v>
      </c>
    </row>
    <row r="306" spans="1:7">
      <c r="A306" s="2984" t="s">
        <v>306</v>
      </c>
      <c r="B306" s="2973" t="s">
        <v>2975</v>
      </c>
      <c r="C306" s="2974">
        <v>0.15</v>
      </c>
      <c r="D306" s="2974">
        <v>0.15</v>
      </c>
      <c r="E306" s="2974">
        <v>0.15</v>
      </c>
      <c r="F306" s="2974">
        <v>0.126</v>
      </c>
      <c r="G306" s="2975">
        <v>0.15</v>
      </c>
    </row>
    <row r="307" spans="1:7">
      <c r="A307" s="2984" t="s">
        <v>306</v>
      </c>
      <c r="B307" s="2973" t="s">
        <v>2980</v>
      </c>
      <c r="C307" s="2974">
        <v>0.15</v>
      </c>
      <c r="D307" s="2974">
        <v>0.15</v>
      </c>
      <c r="E307" s="2974">
        <v>0.15</v>
      </c>
      <c r="F307" s="2974">
        <v>0.12</v>
      </c>
      <c r="G307" s="2975">
        <v>0.15</v>
      </c>
    </row>
    <row r="308" spans="1:7">
      <c r="A308" s="2984" t="s">
        <v>306</v>
      </c>
      <c r="B308" s="2973" t="s">
        <v>2986</v>
      </c>
      <c r="C308" s="2974">
        <v>0.15</v>
      </c>
      <c r="D308" s="2974">
        <v>0.15</v>
      </c>
      <c r="E308" s="2974">
        <v>0.15</v>
      </c>
      <c r="F308" s="2974">
        <v>0.13</v>
      </c>
      <c r="G308" s="2975">
        <v>0.15</v>
      </c>
    </row>
    <row r="309" spans="1:7">
      <c r="A309" s="2984" t="s">
        <v>306</v>
      </c>
      <c r="B309" s="2973" t="s">
        <v>2990</v>
      </c>
      <c r="C309" s="2974">
        <v>0.15</v>
      </c>
      <c r="D309" s="2974">
        <v>0.15</v>
      </c>
      <c r="E309" s="2974">
        <v>0.15</v>
      </c>
      <c r="F309" s="2974">
        <v>0.14099999999999999</v>
      </c>
      <c r="G309" s="2975">
        <v>0.15</v>
      </c>
    </row>
    <row r="310" spans="1:7">
      <c r="A310" s="2984" t="s">
        <v>306</v>
      </c>
      <c r="B310" s="2973" t="s">
        <v>2995</v>
      </c>
      <c r="C310" s="2974">
        <v>0.15</v>
      </c>
      <c r="D310" s="2974">
        <v>0.15</v>
      </c>
      <c r="E310" s="2974">
        <v>0.15</v>
      </c>
      <c r="F310" s="2974">
        <v>0.15</v>
      </c>
      <c r="G310" s="2975">
        <v>0.15</v>
      </c>
    </row>
    <row r="311" spans="1:7">
      <c r="A311" s="2984" t="s">
        <v>306</v>
      </c>
      <c r="B311" s="2973" t="s">
        <v>3000</v>
      </c>
      <c r="C311" s="2974">
        <v>0.13200000000000001</v>
      </c>
      <c r="D311" s="2974">
        <v>0.13300000000000001</v>
      </c>
      <c r="E311" s="2974">
        <v>0.14499999999999999</v>
      </c>
      <c r="F311" s="2974">
        <v>0.14199999999999999</v>
      </c>
      <c r="G311" s="2975">
        <v>0.14000000000000001</v>
      </c>
    </row>
    <row r="312" spans="1:7">
      <c r="A312" s="2984" t="s">
        <v>306</v>
      </c>
      <c r="B312" s="2973" t="s">
        <v>3005</v>
      </c>
      <c r="C312" s="2974">
        <v>0.13800000000000001</v>
      </c>
      <c r="D312" s="2974">
        <v>0.14000000000000001</v>
      </c>
      <c r="E312" s="2974">
        <v>0.14599999999999999</v>
      </c>
      <c r="F312" s="2974">
        <v>0.14899999999999999</v>
      </c>
      <c r="G312" s="2975">
        <v>0.14199999999999999</v>
      </c>
    </row>
    <row r="313" spans="1:7">
      <c r="A313" s="2984" t="s">
        <v>306</v>
      </c>
      <c r="B313" s="2973" t="s">
        <v>3010</v>
      </c>
      <c r="C313" s="2974">
        <v>0.125</v>
      </c>
      <c r="D313" s="2974">
        <v>0.127</v>
      </c>
      <c r="E313" s="2974">
        <v>0.14399999999999999</v>
      </c>
      <c r="F313" s="2974">
        <v>0.115</v>
      </c>
      <c r="G313" s="2975">
        <v>0.13600000000000001</v>
      </c>
    </row>
    <row r="314" spans="1:7">
      <c r="A314" s="2984" t="s">
        <v>306</v>
      </c>
      <c r="B314" s="2973" t="s">
        <v>3219</v>
      </c>
      <c r="C314" s="2990"/>
      <c r="D314" s="2990"/>
      <c r="E314" s="2990"/>
      <c r="F314" s="2974">
        <v>0.05</v>
      </c>
      <c r="G314" s="2991"/>
    </row>
    <row r="315" spans="1:7">
      <c r="A315" s="2984" t="s">
        <v>306</v>
      </c>
      <c r="B315" s="2973" t="s">
        <v>3220</v>
      </c>
      <c r="C315" s="2990"/>
      <c r="D315" s="2990"/>
      <c r="E315" s="2990"/>
      <c r="F315" s="2974">
        <v>0.05</v>
      </c>
      <c r="G315" s="2991"/>
    </row>
    <row r="316" spans="1:7">
      <c r="A316" s="2984" t="s">
        <v>306</v>
      </c>
      <c r="B316" s="2973" t="s">
        <v>3221</v>
      </c>
      <c r="C316" s="2985"/>
      <c r="D316" s="2985"/>
      <c r="E316" s="2985"/>
      <c r="F316" s="2974">
        <v>0.05</v>
      </c>
      <c r="G316" s="2991"/>
    </row>
    <row r="317" spans="1:7">
      <c r="A317" s="2984" t="s">
        <v>306</v>
      </c>
      <c r="B317" s="2973" t="s">
        <v>3222</v>
      </c>
      <c r="C317" s="2985"/>
      <c r="D317" s="2985"/>
      <c r="E317" s="2985"/>
      <c r="F317" s="2974">
        <v>0.05</v>
      </c>
      <c r="G317" s="2991"/>
    </row>
    <row r="318" spans="1:7">
      <c r="A318" s="2984" t="s">
        <v>306</v>
      </c>
      <c r="B318" s="2973" t="s">
        <v>3223</v>
      </c>
      <c r="C318" s="2985"/>
      <c r="D318" s="2985"/>
      <c r="E318" s="2985"/>
      <c r="F318" s="2974">
        <v>0.05</v>
      </c>
      <c r="G318" s="2991"/>
    </row>
    <row r="319" spans="1:7">
      <c r="A319" s="2984" t="s">
        <v>306</v>
      </c>
      <c r="B319" s="2973" t="s">
        <v>3224</v>
      </c>
      <c r="C319" s="2985"/>
      <c r="D319" s="2985"/>
      <c r="E319" s="2985"/>
      <c r="F319" s="2974">
        <v>0.05</v>
      </c>
      <c r="G319" s="2991"/>
    </row>
    <row r="320" spans="1:7">
      <c r="A320" s="2984" t="s">
        <v>306</v>
      </c>
      <c r="B320" s="2973" t="s">
        <v>3225</v>
      </c>
      <c r="C320" s="2985"/>
      <c r="D320" s="2985"/>
      <c r="E320" s="2985"/>
      <c r="F320" s="2974">
        <v>0.05</v>
      </c>
      <c r="G320" s="2991"/>
    </row>
    <row r="321" spans="1:7">
      <c r="A321" s="2984" t="s">
        <v>306</v>
      </c>
      <c r="B321" s="2973" t="s">
        <v>3226</v>
      </c>
      <c r="C321" s="2985"/>
      <c r="D321" s="2985"/>
      <c r="E321" s="2985"/>
      <c r="F321" s="2974">
        <v>0.05</v>
      </c>
      <c r="G321" s="2991"/>
    </row>
    <row r="322" spans="1:7">
      <c r="A322" s="2984" t="s">
        <v>306</v>
      </c>
      <c r="B322" s="2973" t="s">
        <v>3227</v>
      </c>
      <c r="C322" s="2985"/>
      <c r="D322" s="2985"/>
      <c r="E322" s="2985"/>
      <c r="F322" s="2974">
        <v>0.05</v>
      </c>
      <c r="G322" s="2991"/>
    </row>
    <row r="323" spans="1:7">
      <c r="A323" s="2984" t="s">
        <v>306</v>
      </c>
      <c r="B323" s="2973" t="s">
        <v>3228</v>
      </c>
      <c r="C323" s="2985"/>
      <c r="D323" s="2985"/>
      <c r="E323" s="2985"/>
      <c r="F323" s="2974">
        <v>0.05</v>
      </c>
      <c r="G323" s="2991"/>
    </row>
    <row r="324" spans="1:7">
      <c r="A324" s="2984" t="s">
        <v>306</v>
      </c>
      <c r="B324" s="2973" t="s">
        <v>3229</v>
      </c>
      <c r="C324" s="2985"/>
      <c r="D324" s="2985"/>
      <c r="E324" s="2985"/>
      <c r="F324" s="2974">
        <v>0.05</v>
      </c>
      <c r="G324" s="2991"/>
    </row>
    <row r="325" spans="1:7">
      <c r="A325" s="2984" t="s">
        <v>306</v>
      </c>
      <c r="B325" s="2973" t="s">
        <v>3230</v>
      </c>
      <c r="C325" s="2985"/>
      <c r="D325" s="2985"/>
      <c r="E325" s="2985"/>
      <c r="F325" s="2974">
        <v>0.05</v>
      </c>
      <c r="G325" s="2991"/>
    </row>
    <row r="326" spans="1:7" ht="14.25" thickBot="1">
      <c r="A326" s="2987" t="s">
        <v>306</v>
      </c>
      <c r="B326" s="2977" t="s">
        <v>3231</v>
      </c>
      <c r="C326" s="2979"/>
      <c r="D326" s="2979"/>
      <c r="E326" s="2979"/>
      <c r="F326" s="2978">
        <v>0.05</v>
      </c>
      <c r="G326" s="2992"/>
    </row>
    <row r="327" spans="1:7">
      <c r="A327" s="2983" t="s">
        <v>307</v>
      </c>
      <c r="B327" s="2969" t="s">
        <v>2863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2875</v>
      </c>
      <c r="C329" s="2974">
        <v>0.15</v>
      </c>
      <c r="D329" s="2974">
        <v>0.15</v>
      </c>
      <c r="E329" s="2974">
        <v>0.15</v>
      </c>
      <c r="F329" s="2974">
        <v>0.15</v>
      </c>
      <c r="G329" s="2975">
        <v>0.15</v>
      </c>
    </row>
    <row r="330" spans="1:7">
      <c r="A330" s="2984" t="s">
        <v>307</v>
      </c>
      <c r="B330" s="2973" t="s">
        <v>2879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2887</v>
      </c>
      <c r="C332" s="2974">
        <v>0.15</v>
      </c>
      <c r="D332" s="2974">
        <v>0.15</v>
      </c>
      <c r="E332" s="2974">
        <v>0.15</v>
      </c>
      <c r="F332" s="2974">
        <v>0.15</v>
      </c>
      <c r="G332" s="2975">
        <v>0.15</v>
      </c>
    </row>
    <row r="333" spans="1:7">
      <c r="A333" s="2984" t="s">
        <v>307</v>
      </c>
      <c r="B333" s="2973" t="s">
        <v>2891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2897</v>
      </c>
      <c r="C336" s="2974">
        <v>0.15</v>
      </c>
      <c r="D336" s="2974">
        <v>0.15</v>
      </c>
      <c r="E336" s="2974">
        <v>0.15</v>
      </c>
      <c r="F336" s="2974">
        <v>0.14199999999999999</v>
      </c>
      <c r="G336" s="2975">
        <v>0.15</v>
      </c>
    </row>
    <row r="337" spans="1:7">
      <c r="A337" s="2984" t="s">
        <v>307</v>
      </c>
      <c r="B337" s="2973" t="s">
        <v>2902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2922</v>
      </c>
      <c r="C345" s="2974">
        <v>0.15</v>
      </c>
      <c r="D345" s="2974">
        <v>0.15</v>
      </c>
      <c r="E345" s="2974">
        <v>0.15</v>
      </c>
      <c r="F345" s="2974">
        <v>0.13800000000000001</v>
      </c>
      <c r="G345" s="2975">
        <v>0.15</v>
      </c>
    </row>
    <row r="346" spans="1:7">
      <c r="A346" s="2984" t="s">
        <v>307</v>
      </c>
      <c r="B346" s="2973" t="s">
        <v>2924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2931</v>
      </c>
      <c r="C348" s="2974">
        <v>0.15</v>
      </c>
      <c r="D348" s="2974">
        <v>0.15</v>
      </c>
      <c r="E348" s="2974">
        <v>0.15</v>
      </c>
      <c r="F348" s="2974">
        <v>0.14399999999999999</v>
      </c>
      <c r="G348" s="2975">
        <v>0.15</v>
      </c>
    </row>
    <row r="349" spans="1:7">
      <c r="A349" s="2984" t="s">
        <v>307</v>
      </c>
      <c r="B349" s="2973" t="s">
        <v>2936</v>
      </c>
      <c r="C349" s="2974">
        <v>0.15</v>
      </c>
      <c r="D349" s="2974">
        <v>0.15</v>
      </c>
      <c r="E349" s="2974">
        <v>0.15</v>
      </c>
      <c r="F349" s="2974">
        <v>0.15</v>
      </c>
      <c r="G349" s="2975">
        <v>0.15</v>
      </c>
    </row>
    <row r="350" spans="1:7">
      <c r="A350" s="2984" t="s">
        <v>307</v>
      </c>
      <c r="B350" s="2973" t="s">
        <v>2939</v>
      </c>
      <c r="C350" s="2974">
        <v>0.15</v>
      </c>
      <c r="D350" s="2974">
        <v>0.15</v>
      </c>
      <c r="E350" s="2974">
        <v>0.15</v>
      </c>
      <c r="F350" s="2974">
        <v>0.14699999999999999</v>
      </c>
      <c r="G350" s="2975">
        <v>0.15</v>
      </c>
    </row>
    <row r="351" spans="1:7">
      <c r="A351" s="2984" t="s">
        <v>307</v>
      </c>
      <c r="B351" s="2973" t="s">
        <v>2944</v>
      </c>
      <c r="C351" s="2974">
        <v>0.15</v>
      </c>
      <c r="D351" s="2974">
        <v>0.15</v>
      </c>
      <c r="E351" s="2974">
        <v>0.15</v>
      </c>
      <c r="F351" s="2974">
        <v>0.13</v>
      </c>
      <c r="G351" s="2975">
        <v>0.15</v>
      </c>
    </row>
    <row r="352" spans="1:7">
      <c r="A352" s="2984" t="s">
        <v>307</v>
      </c>
      <c r="B352" s="2973" t="s">
        <v>2949</v>
      </c>
      <c r="C352" s="2974">
        <v>0.15</v>
      </c>
      <c r="D352" s="2974">
        <v>0.15</v>
      </c>
      <c r="E352" s="2974">
        <v>0.15</v>
      </c>
      <c r="F352" s="2974">
        <v>0.14599999999999999</v>
      </c>
      <c r="G352" s="2975">
        <v>0.15</v>
      </c>
    </row>
    <row r="353" spans="1:7">
      <c r="A353" s="2984" t="s">
        <v>307</v>
      </c>
      <c r="B353" s="2973" t="s">
        <v>2956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2969</v>
      </c>
      <c r="C355" s="2974">
        <v>0.15</v>
      </c>
      <c r="D355" s="2974">
        <v>0.15</v>
      </c>
      <c r="E355" s="2974">
        <v>0.15</v>
      </c>
      <c r="F355" s="2974">
        <v>0.15</v>
      </c>
      <c r="G355" s="2975">
        <v>0.15</v>
      </c>
    </row>
    <row r="356" spans="1:7">
      <c r="A356" s="2984" t="s">
        <v>307</v>
      </c>
      <c r="B356" s="2973" t="s">
        <v>2976</v>
      </c>
      <c r="C356" s="2974">
        <v>0.15</v>
      </c>
      <c r="D356" s="2974">
        <v>0.15</v>
      </c>
      <c r="E356" s="2974">
        <v>0.15</v>
      </c>
      <c r="F356" s="2974">
        <v>0.15</v>
      </c>
      <c r="G356" s="2975">
        <v>0.15</v>
      </c>
    </row>
    <row r="357" spans="1:7" ht="14.25" thickBot="1">
      <c r="A357" s="2987" t="s">
        <v>307</v>
      </c>
      <c r="B357" s="2977" t="s">
        <v>2981</v>
      </c>
      <c r="C357" s="2978">
        <v>0.126</v>
      </c>
      <c r="D357" s="2978">
        <v>0.127</v>
      </c>
      <c r="E357" s="2978">
        <v>0.14299999999999999</v>
      </c>
      <c r="F357" s="2978">
        <v>0.125</v>
      </c>
      <c r="G357" s="2980">
        <v>0.129</v>
      </c>
    </row>
    <row r="358" spans="1:7">
      <c r="A358" s="2983" t="s">
        <v>2850</v>
      </c>
      <c r="B358" s="2969" t="s">
        <v>2864</v>
      </c>
      <c r="C358" s="2970">
        <v>0.15</v>
      </c>
      <c r="D358" s="2970">
        <v>0.15</v>
      </c>
      <c r="E358" s="2970">
        <v>0.15</v>
      </c>
      <c r="F358" s="2970">
        <v>0.15</v>
      </c>
      <c r="G358" s="2971">
        <v>0.15</v>
      </c>
    </row>
    <row r="359" spans="1:7">
      <c r="A359" s="2984" t="s">
        <v>2850</v>
      </c>
      <c r="B359" s="2973" t="s">
        <v>2870</v>
      </c>
      <c r="C359" s="2974">
        <v>0.1</v>
      </c>
      <c r="D359" s="2974">
        <v>0.1</v>
      </c>
      <c r="E359" s="2974">
        <v>0.1</v>
      </c>
      <c r="F359" s="2974">
        <v>0.1</v>
      </c>
      <c r="G359" s="2975">
        <v>0.1</v>
      </c>
    </row>
    <row r="360" spans="1:7">
      <c r="A360" s="2984" t="s">
        <v>2850</v>
      </c>
      <c r="B360" s="2973" t="s">
        <v>2876</v>
      </c>
      <c r="C360" s="2974">
        <v>0.15</v>
      </c>
      <c r="D360" s="2974">
        <v>0.15</v>
      </c>
      <c r="E360" s="2974">
        <v>0.15</v>
      </c>
      <c r="F360" s="2974">
        <v>0.14899999999999999</v>
      </c>
      <c r="G360" s="2975">
        <v>0.15</v>
      </c>
    </row>
    <row r="361" spans="1:7">
      <c r="A361" s="2984" t="s">
        <v>2850</v>
      </c>
      <c r="B361" s="2973" t="s">
        <v>153</v>
      </c>
      <c r="C361" s="2974">
        <v>0.15</v>
      </c>
      <c r="D361" s="2974">
        <v>0.15</v>
      </c>
      <c r="E361" s="2974">
        <v>0.15</v>
      </c>
      <c r="F361" s="2974">
        <v>0.115</v>
      </c>
      <c r="G361" s="2975">
        <v>0.15</v>
      </c>
    </row>
    <row r="362" spans="1:7">
      <c r="A362" s="2984" t="s">
        <v>2850</v>
      </c>
      <c r="B362" s="2973" t="s">
        <v>2883</v>
      </c>
      <c r="C362" s="2974">
        <v>0.15</v>
      </c>
      <c r="D362" s="2974">
        <v>0.15</v>
      </c>
      <c r="E362" s="2974">
        <v>0.15</v>
      </c>
      <c r="F362" s="2974">
        <v>0.106</v>
      </c>
      <c r="G362" s="2975">
        <v>0.15</v>
      </c>
    </row>
    <row r="363" spans="1:7">
      <c r="A363" s="2984" t="s">
        <v>2850</v>
      </c>
      <c r="B363" s="2973" t="s">
        <v>2888</v>
      </c>
      <c r="C363" s="2974">
        <v>0.15</v>
      </c>
      <c r="D363" s="2974">
        <v>0.15</v>
      </c>
      <c r="E363" s="2974">
        <v>0.15</v>
      </c>
      <c r="F363" s="2974">
        <v>0.14699999999999999</v>
      </c>
      <c r="G363" s="2975">
        <v>0.15</v>
      </c>
    </row>
    <row r="364" spans="1:7">
      <c r="A364" s="2984" t="s">
        <v>2850</v>
      </c>
      <c r="B364" s="2973" t="s">
        <v>2892</v>
      </c>
      <c r="C364" s="2974">
        <v>0.15</v>
      </c>
      <c r="D364" s="2974">
        <v>0.15</v>
      </c>
      <c r="E364" s="2974">
        <v>0.15</v>
      </c>
      <c r="F364" s="2974">
        <v>0.14799999999999999</v>
      </c>
      <c r="G364" s="2975">
        <v>0.15</v>
      </c>
    </row>
    <row r="365" spans="1:7">
      <c r="A365" s="2984" t="s">
        <v>2850</v>
      </c>
      <c r="B365" s="2973" t="s">
        <v>200</v>
      </c>
      <c r="C365" s="2974">
        <v>0.15</v>
      </c>
      <c r="D365" s="2974">
        <v>0.15</v>
      </c>
      <c r="E365" s="2974">
        <v>0.15</v>
      </c>
      <c r="F365" s="2974">
        <v>0.15</v>
      </c>
      <c r="G365" s="2975">
        <v>0.15</v>
      </c>
    </row>
    <row r="366" spans="1:7">
      <c r="A366" s="2984" t="s">
        <v>2850</v>
      </c>
      <c r="B366" s="2973" t="s">
        <v>2895</v>
      </c>
      <c r="C366" s="2974">
        <v>0.15</v>
      </c>
      <c r="D366" s="2974">
        <v>0.15</v>
      </c>
      <c r="E366" s="2974">
        <v>0.15</v>
      </c>
      <c r="F366" s="2974">
        <v>0.15</v>
      </c>
      <c r="G366" s="2975">
        <v>0.15</v>
      </c>
    </row>
    <row r="367" spans="1:7">
      <c r="A367" s="2984" t="s">
        <v>2850</v>
      </c>
      <c r="B367" s="2973" t="s">
        <v>2898</v>
      </c>
      <c r="C367" s="2974">
        <v>0.15</v>
      </c>
      <c r="D367" s="2974">
        <v>0.15</v>
      </c>
      <c r="E367" s="2974">
        <v>0.15</v>
      </c>
      <c r="F367" s="2974">
        <v>0.14699999999999999</v>
      </c>
      <c r="G367" s="2975">
        <v>0.15</v>
      </c>
    </row>
    <row r="368" spans="1:7">
      <c r="A368" s="2984" t="s">
        <v>2850</v>
      </c>
      <c r="B368" s="2973" t="s">
        <v>2903</v>
      </c>
      <c r="C368" s="2974">
        <v>0.15</v>
      </c>
      <c r="D368" s="2974">
        <v>0.15</v>
      </c>
      <c r="E368" s="2974">
        <v>0.15</v>
      </c>
      <c r="F368" s="2974">
        <v>0.13600000000000001</v>
      </c>
      <c r="G368" s="2975">
        <v>0.15</v>
      </c>
    </row>
    <row r="369" spans="1:7">
      <c r="A369" s="2984" t="s">
        <v>2850</v>
      </c>
      <c r="B369" s="2973" t="s">
        <v>214</v>
      </c>
      <c r="C369" s="2974">
        <v>0.15</v>
      </c>
      <c r="D369" s="2974">
        <v>0.15</v>
      </c>
      <c r="E369" s="2974">
        <v>0.15</v>
      </c>
      <c r="F369" s="2974">
        <v>0.14399999999999999</v>
      </c>
      <c r="G369" s="2975">
        <v>0.15</v>
      </c>
    </row>
    <row r="370" spans="1:7">
      <c r="A370" s="2984" t="s">
        <v>2850</v>
      </c>
      <c r="B370" s="2973" t="s">
        <v>221</v>
      </c>
      <c r="C370" s="2974">
        <v>0.15</v>
      </c>
      <c r="D370" s="2974">
        <v>0.15</v>
      </c>
      <c r="E370" s="2974">
        <v>0.15</v>
      </c>
      <c r="F370" s="2974">
        <v>0.14599999999999999</v>
      </c>
      <c r="G370" s="2975">
        <v>0.15</v>
      </c>
    </row>
    <row r="371" spans="1:7">
      <c r="A371" s="2984" t="s">
        <v>2850</v>
      </c>
      <c r="B371" s="2973" t="s">
        <v>229</v>
      </c>
      <c r="C371" s="2974">
        <v>0.15</v>
      </c>
      <c r="D371" s="2974">
        <v>0.15</v>
      </c>
      <c r="E371" s="2974">
        <v>0.15</v>
      </c>
      <c r="F371" s="2974">
        <v>0.12</v>
      </c>
      <c r="G371" s="2975">
        <v>0.15</v>
      </c>
    </row>
    <row r="372" spans="1:7">
      <c r="A372" s="2984" t="s">
        <v>2850</v>
      </c>
      <c r="B372" s="2973" t="s">
        <v>2911</v>
      </c>
      <c r="C372" s="2974">
        <v>0.15</v>
      </c>
      <c r="D372" s="2974">
        <v>0.15</v>
      </c>
      <c r="E372" s="2974">
        <v>0.15</v>
      </c>
      <c r="F372" s="2974">
        <v>0.14299999999999999</v>
      </c>
      <c r="G372" s="2975">
        <v>0.15</v>
      </c>
    </row>
    <row r="373" spans="1:7">
      <c r="A373" s="2984" t="s">
        <v>2850</v>
      </c>
      <c r="B373" s="2973" t="s">
        <v>258</v>
      </c>
      <c r="C373" s="2974">
        <v>0.15</v>
      </c>
      <c r="D373" s="2974">
        <v>0.15</v>
      </c>
      <c r="E373" s="2974">
        <v>0.15</v>
      </c>
      <c r="F373" s="2974">
        <v>0.14599999999999999</v>
      </c>
      <c r="G373" s="2975">
        <v>0.15</v>
      </c>
    </row>
    <row r="374" spans="1:7">
      <c r="A374" s="2984" t="s">
        <v>2850</v>
      </c>
      <c r="B374" s="2973" t="s">
        <v>266</v>
      </c>
      <c r="C374" s="2974">
        <v>0.15</v>
      </c>
      <c r="D374" s="2974">
        <v>0.15</v>
      </c>
      <c r="E374" s="2974">
        <v>0.15</v>
      </c>
      <c r="F374" s="2974">
        <v>0.14399999999999999</v>
      </c>
      <c r="G374" s="2975">
        <v>0.15</v>
      </c>
    </row>
    <row r="375" spans="1:7">
      <c r="A375" s="2984" t="s">
        <v>2850</v>
      </c>
      <c r="B375" s="2973" t="s">
        <v>2919</v>
      </c>
      <c r="C375" s="2974">
        <v>0.15</v>
      </c>
      <c r="D375" s="2974">
        <v>0.15</v>
      </c>
      <c r="E375" s="2974">
        <v>0.15</v>
      </c>
      <c r="F375" s="2974">
        <v>0.13</v>
      </c>
      <c r="G375" s="2975">
        <v>0.15</v>
      </c>
    </row>
    <row r="376" spans="1:7">
      <c r="A376" s="2984" t="s">
        <v>2850</v>
      </c>
      <c r="B376" s="2973" t="s">
        <v>277</v>
      </c>
      <c r="C376" s="2974">
        <v>0.15</v>
      </c>
      <c r="D376" s="2974">
        <v>0.15</v>
      </c>
      <c r="E376" s="2974">
        <v>0.15</v>
      </c>
      <c r="F376" s="2974">
        <v>0.14199999999999999</v>
      </c>
      <c r="G376" s="2975">
        <v>0.15</v>
      </c>
    </row>
    <row r="377" spans="1:7" ht="14.25" thickBot="1">
      <c r="A377" s="2987" t="s">
        <v>2850</v>
      </c>
      <c r="B377" s="2977" t="s">
        <v>2925</v>
      </c>
      <c r="C377" s="2978">
        <v>0.15</v>
      </c>
      <c r="D377" s="2978">
        <v>0.15</v>
      </c>
      <c r="E377" s="2978">
        <v>0.15</v>
      </c>
      <c r="F377" s="2978">
        <v>0.14000000000000001</v>
      </c>
      <c r="G377" s="2980">
        <v>0.15</v>
      </c>
    </row>
    <row r="378" spans="1:7">
      <c r="A378" s="2983" t="s">
        <v>2851</v>
      </c>
      <c r="B378" s="2969" t="s">
        <v>2865</v>
      </c>
      <c r="C378" s="2970">
        <v>0.15</v>
      </c>
      <c r="D378" s="2970">
        <v>0.15</v>
      </c>
      <c r="E378" s="2970">
        <v>0.15</v>
      </c>
      <c r="F378" s="2970">
        <v>0.107</v>
      </c>
      <c r="G378" s="2971">
        <v>0.15</v>
      </c>
    </row>
    <row r="379" spans="1:7">
      <c r="A379" s="2984" t="s">
        <v>2851</v>
      </c>
      <c r="B379" s="2973" t="s">
        <v>2871</v>
      </c>
      <c r="C379" s="2974">
        <v>0.15</v>
      </c>
      <c r="D379" s="2974">
        <v>0.15</v>
      </c>
      <c r="E379" s="2974">
        <v>0.15</v>
      </c>
      <c r="F379" s="2974">
        <v>0.115</v>
      </c>
      <c r="G379" s="2975">
        <v>0.14899999999999999</v>
      </c>
    </row>
    <row r="380" spans="1:7">
      <c r="A380" s="2984" t="s">
        <v>2851</v>
      </c>
      <c r="B380" s="2973" t="s">
        <v>2877</v>
      </c>
      <c r="C380" s="2974">
        <v>0.15</v>
      </c>
      <c r="D380" s="2974">
        <v>0.15</v>
      </c>
      <c r="E380" s="2974">
        <v>0.15</v>
      </c>
      <c r="F380" s="2974">
        <v>0.1</v>
      </c>
      <c r="G380" s="2975">
        <v>0.14799999999999999</v>
      </c>
    </row>
    <row r="381" spans="1:7">
      <c r="A381" s="2984" t="s">
        <v>2851</v>
      </c>
      <c r="B381" s="2973" t="s">
        <v>2880</v>
      </c>
      <c r="C381" s="2974">
        <v>0.15</v>
      </c>
      <c r="D381" s="2974">
        <v>0.15</v>
      </c>
      <c r="E381" s="2974">
        <v>0.15</v>
      </c>
      <c r="F381" s="2974">
        <v>0.126</v>
      </c>
      <c r="G381" s="2975">
        <v>0.15</v>
      </c>
    </row>
    <row r="382" spans="1:7">
      <c r="A382" s="2984" t="s">
        <v>2851</v>
      </c>
      <c r="B382" s="2973" t="s">
        <v>2884</v>
      </c>
      <c r="C382" s="2974">
        <v>0.15</v>
      </c>
      <c r="D382" s="2974">
        <v>0.15</v>
      </c>
      <c r="E382" s="2974">
        <v>0.15</v>
      </c>
      <c r="F382" s="2974">
        <v>0.15</v>
      </c>
      <c r="G382" s="2975">
        <v>0.15</v>
      </c>
    </row>
    <row r="383" spans="1:7">
      <c r="A383" s="2984" t="s">
        <v>2851</v>
      </c>
      <c r="B383" s="2973" t="s">
        <v>2889</v>
      </c>
      <c r="C383" s="2974">
        <v>0.15</v>
      </c>
      <c r="D383" s="2974">
        <v>0.15</v>
      </c>
      <c r="E383" s="2974">
        <v>0.15</v>
      </c>
      <c r="F383" s="2974">
        <v>0.14699999999999999</v>
      </c>
      <c r="G383" s="2975">
        <v>0.15</v>
      </c>
    </row>
    <row r="384" spans="1:7" ht="14.25" thickBot="1">
      <c r="A384" s="2994" t="s">
        <v>2851</v>
      </c>
      <c r="B384" s="2995" t="s">
        <v>2893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F17"/>
  <sheetViews>
    <sheetView workbookViewId="0">
      <selection sqref="A1:XFD1048576"/>
    </sheetView>
  </sheetViews>
  <sheetFormatPr defaultColWidth="13.25" defaultRowHeight="13.5"/>
  <cols>
    <col min="1" max="16384" width="13.25" style="2809"/>
  </cols>
  <sheetData>
    <row r="1" spans="1:6">
      <c r="A1" s="3953" t="s">
        <v>3232</v>
      </c>
      <c r="B1" s="3953"/>
      <c r="C1" s="3953"/>
      <c r="D1" s="3953"/>
      <c r="E1" s="3953"/>
      <c r="F1" s="3954"/>
    </row>
    <row r="2" spans="1:6">
      <c r="A2" s="2998" t="s">
        <v>3233</v>
      </c>
    </row>
    <row r="3" spans="1:6">
      <c r="A3" s="2998" t="s">
        <v>3234</v>
      </c>
      <c r="F3" s="2999" t="s">
        <v>3235</v>
      </c>
    </row>
    <row r="4" spans="1:6">
      <c r="A4" s="3000" t="s">
        <v>672</v>
      </c>
      <c r="B4" s="3000" t="s">
        <v>673</v>
      </c>
      <c r="C4" s="3000" t="s">
        <v>21</v>
      </c>
      <c r="D4" s="3000" t="s">
        <v>674</v>
      </c>
      <c r="E4" s="3000" t="s">
        <v>3</v>
      </c>
      <c r="F4" s="3000" t="s">
        <v>3236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3">
        <f>基准地价修正!G23</f>
        <v>38867</v>
      </c>
      <c r="B1" s="2925" t="s">
        <v>2838</v>
      </c>
      <c r="C1" s="2926"/>
      <c r="D1" s="2926"/>
      <c r="E1" s="2926"/>
      <c r="F1" s="2926"/>
      <c r="G1" s="2926"/>
      <c r="H1" s="2926"/>
      <c r="I1" s="2926"/>
      <c r="J1" s="2892"/>
      <c r="K1" s="2926" t="s">
        <v>454</v>
      </c>
      <c r="L1" s="2926"/>
      <c r="M1" s="2926"/>
      <c r="N1" s="2926"/>
      <c r="O1" s="2926"/>
      <c r="P1" s="2926"/>
      <c r="Q1" s="2892"/>
      <c r="R1" s="3955" t="s">
        <v>456</v>
      </c>
      <c r="S1" s="3956"/>
      <c r="T1" s="3956"/>
      <c r="U1" s="3956"/>
      <c r="V1" s="3956"/>
      <c r="W1" s="3956"/>
      <c r="X1" s="2892"/>
      <c r="Y1" s="3955" t="s">
        <v>457</v>
      </c>
      <c r="Z1" s="3956"/>
      <c r="AA1" s="3956"/>
      <c r="AB1" s="3956"/>
      <c r="AC1" s="3956"/>
      <c r="AD1" s="3956"/>
    </row>
    <row r="2" spans="1:30" s="2006" customFormat="1" ht="14.25" thickBot="1">
      <c r="B2" s="2877"/>
      <c r="C2" s="2878"/>
      <c r="D2" s="2007" t="s">
        <v>2808</v>
      </c>
      <c r="E2" s="2008" t="s">
        <v>2809</v>
      </c>
      <c r="F2" s="2008" t="s">
        <v>2810</v>
      </c>
      <c r="G2" s="2008" t="s">
        <v>2811</v>
      </c>
      <c r="H2" s="2008" t="s">
        <v>2812</v>
      </c>
      <c r="I2" s="2008" t="s">
        <v>2629</v>
      </c>
      <c r="J2" s="2879"/>
      <c r="K2" s="2007" t="s">
        <v>2808</v>
      </c>
      <c r="L2" s="2008" t="s">
        <v>2809</v>
      </c>
      <c r="M2" s="2008" t="s">
        <v>2810</v>
      </c>
      <c r="N2" s="2008" t="s">
        <v>2811</v>
      </c>
      <c r="O2" s="2008" t="s">
        <v>2813</v>
      </c>
      <c r="P2" s="2008" t="s">
        <v>2629</v>
      </c>
      <c r="Q2" s="2879"/>
      <c r="R2" s="2007" t="s">
        <v>2808</v>
      </c>
      <c r="S2" s="2008" t="s">
        <v>2809</v>
      </c>
      <c r="T2" s="2008" t="s">
        <v>2810</v>
      </c>
      <c r="U2" s="2008" t="s">
        <v>2814</v>
      </c>
      <c r="V2" s="2008" t="s">
        <v>2815</v>
      </c>
      <c r="W2" s="2008" t="s">
        <v>2629</v>
      </c>
      <c r="X2" s="2879"/>
      <c r="Y2" s="2007" t="s">
        <v>2808</v>
      </c>
      <c r="Z2" s="2008" t="s">
        <v>2809</v>
      </c>
      <c r="AA2" s="2008" t="s">
        <v>2810</v>
      </c>
      <c r="AB2" s="2008" t="s">
        <v>2816</v>
      </c>
      <c r="AC2" s="2008" t="s">
        <v>2815</v>
      </c>
      <c r="AD2" s="2008" t="s">
        <v>2629</v>
      </c>
    </row>
    <row r="3" spans="1:30" s="2882" customFormat="1" ht="12.75">
      <c r="A3" s="2880" t="s">
        <v>2817</v>
      </c>
      <c r="B3" s="2881"/>
      <c r="D3" s="2882">
        <f>ROUND(AVERAGEIF(D4:D16,"&lt;&gt;0"),2)</f>
        <v>0.82</v>
      </c>
      <c r="E3" s="2882">
        <f t="shared" ref="E3:H3" si="0">ROUND(AVERAGEIF(E4:E16,"&lt;&gt;0"),2)</f>
        <v>0.38</v>
      </c>
      <c r="F3" s="2882">
        <f t="shared" si="0"/>
        <v>0.2</v>
      </c>
      <c r="G3" s="2882">
        <f t="shared" si="0"/>
        <v>0.89</v>
      </c>
      <c r="H3" s="2882">
        <f t="shared" si="0"/>
        <v>0.64</v>
      </c>
      <c r="I3" s="2882">
        <f>F3</f>
        <v>0.2</v>
      </c>
      <c r="J3" s="2883"/>
      <c r="K3" s="2884">
        <f>ROUND(AVERAGEIF(K4:K16,"&lt;&gt;0"),4)</f>
        <v>8.2000000000000007E-3</v>
      </c>
      <c r="L3" s="2885">
        <f t="shared" ref="L3:O3" si="1">ROUND(AVERAGEIF(L4:L16,"&lt;&gt;0"),4)</f>
        <v>3.8E-3</v>
      </c>
      <c r="M3" s="2885">
        <f t="shared" si="1"/>
        <v>2E-3</v>
      </c>
      <c r="N3" s="2885">
        <f t="shared" si="1"/>
        <v>8.8999999999999999E-3</v>
      </c>
      <c r="O3" s="2885">
        <f t="shared" si="1"/>
        <v>6.4000000000000003E-3</v>
      </c>
      <c r="P3" s="2885">
        <f>M3</f>
        <v>2E-3</v>
      </c>
      <c r="Q3" s="2883"/>
      <c r="R3" s="2886">
        <f>ROUND(SUMPRODUCT(PRODUCT(1+K4:K16)),4)</f>
        <v>1.0763</v>
      </c>
      <c r="S3" s="2887">
        <f t="shared" ref="S3:V3" si="2">ROUND(SUMPRODUCT(PRODUCT(1+L4:L16)),4)</f>
        <v>1.0343</v>
      </c>
      <c r="T3" s="2887">
        <f t="shared" si="2"/>
        <v>1.0177</v>
      </c>
      <c r="U3" s="2887">
        <f t="shared" si="2"/>
        <v>1.0833999999999999</v>
      </c>
      <c r="V3" s="2887">
        <f t="shared" si="2"/>
        <v>1.0592999999999999</v>
      </c>
      <c r="W3" s="2886">
        <f>T3</f>
        <v>1.0177</v>
      </c>
      <c r="X3" s="2883"/>
      <c r="Y3" s="2888">
        <f>ROUND(AVERAGEIF(Y5:Y16,"&lt;&gt;0"),4)</f>
        <v>8.6999999999999994E-3</v>
      </c>
      <c r="Z3" s="2889">
        <f t="shared" ref="Z3:AC3" si="3">ROUND(AVERAGEIF(Z5:Z16,"&lt;&gt;0"),4)</f>
        <v>3.5000000000000001E-3</v>
      </c>
      <c r="AA3" s="2890">
        <f t="shared" si="3"/>
        <v>8.9999999999999998E-4</v>
      </c>
      <c r="AB3" s="2888">
        <f t="shared" si="3"/>
        <v>9.4999999999999998E-3</v>
      </c>
      <c r="AC3" s="2891">
        <f t="shared" si="3"/>
        <v>6.1000000000000004E-3</v>
      </c>
      <c r="AD3" s="2888">
        <f>AA3</f>
        <v>8.9999999999999998E-4</v>
      </c>
    </row>
    <row r="4" spans="1:30" s="2005" customFormat="1" ht="12.75">
      <c r="B4" s="2021"/>
      <c r="J4" s="2892"/>
      <c r="K4" s="2893"/>
      <c r="L4" s="2894"/>
      <c r="M4" s="2894"/>
      <c r="N4" s="2894"/>
      <c r="O4" s="2894"/>
      <c r="P4" s="2894"/>
      <c r="Q4" s="2892"/>
      <c r="R4" s="2023"/>
      <c r="S4" s="2895"/>
      <c r="T4" s="2896"/>
      <c r="U4" s="2023"/>
      <c r="V4" s="2897"/>
      <c r="W4" s="2023"/>
      <c r="X4" s="2892"/>
      <c r="Y4" s="2024"/>
      <c r="Z4" s="2898"/>
      <c r="AA4" s="2899"/>
      <c r="AB4" s="2024"/>
      <c r="AC4" s="2900"/>
      <c r="AD4" s="2024"/>
    </row>
    <row r="5" spans="1:30" s="2041" customFormat="1" ht="12.75">
      <c r="A5" s="2901" t="s">
        <v>3369</v>
      </c>
      <c r="B5" s="2027">
        <v>2023</v>
      </c>
      <c r="C5" s="2038">
        <v>4</v>
      </c>
      <c r="D5" s="2003">
        <v>0</v>
      </c>
      <c r="E5" s="2003">
        <v>0</v>
      </c>
      <c r="F5" s="2003">
        <v>0</v>
      </c>
      <c r="G5" s="2003">
        <v>0</v>
      </c>
      <c r="H5" s="2003">
        <v>0</v>
      </c>
      <c r="I5" s="2004">
        <f t="shared" ref="I5:I16" si="4">F5</f>
        <v>0</v>
      </c>
      <c r="J5" s="2902"/>
      <c r="K5" s="2039">
        <f t="shared" ref="K5:O16" si="5">D5/100</f>
        <v>0</v>
      </c>
      <c r="L5" s="2024">
        <f t="shared" si="5"/>
        <v>0</v>
      </c>
      <c r="M5" s="2024">
        <f t="shared" si="5"/>
        <v>0</v>
      </c>
      <c r="N5" s="2024">
        <f t="shared" si="5"/>
        <v>0</v>
      </c>
      <c r="O5" s="2024">
        <f t="shared" si="5"/>
        <v>0</v>
      </c>
      <c r="P5" s="2024">
        <f>M5</f>
        <v>0</v>
      </c>
      <c r="Q5" s="2902"/>
      <c r="R5" s="2023">
        <f>ROUND(IF(项目基本情况!$B$8="出让",SUMPRODUCT(PRODUCT(1+K5:$K$16)),SUMPRODUCT(PRODUCT(1+K5:$K$15))),4)</f>
        <v>1.0659000000000001</v>
      </c>
      <c r="S5" s="2023">
        <f>ROUND(IF(项目基本情况!$B$8="出让",SUMPRODUCT(PRODUCT(1+L5:$L$16)),SUMPRODUCT(PRODUCT(1+L5:$L$15))),4)</f>
        <v>1.0326</v>
      </c>
      <c r="T5" s="2023">
        <f>ROUND(IF(项目基本情况!$B$8="出让",SUMPRODUCT(PRODUCT(1+M5:$M$16)),SUMPRODUCT(PRODUCT(1+M5:$M$15))),4)</f>
        <v>1.0203</v>
      </c>
      <c r="U5" s="2023">
        <f>ROUND(IF(项目基本情况!$B$8="出让",SUMPRODUCT(PRODUCT(1+N5:$N$16)),SUMPRODUCT(PRODUCT(1+N5:$N$15))),4)</f>
        <v>1.0714999999999999</v>
      </c>
      <c r="V5" s="2023">
        <f>ROUND(IF(项目基本情况!$B$8="出让",SUMPRODUCT(PRODUCT(1+O5:$O$16)),SUMPRODUCT(PRODUCT(1+O5:$O$15))),4)</f>
        <v>1.0555000000000001</v>
      </c>
      <c r="W5" s="2023">
        <f>T5</f>
        <v>1.0203</v>
      </c>
      <c r="X5" s="2902"/>
      <c r="Y5" s="2024">
        <f>IF(D5=0,0,ROUND(AVERAGE(D5:D16)/100,4))</f>
        <v>0</v>
      </c>
      <c r="Z5" s="2024">
        <f t="shared" ref="Z5:AC5" si="6">IF(E5=0,0,ROUND(AVERAGE(E5:E16)/100,4))</f>
        <v>0</v>
      </c>
      <c r="AA5" s="2024">
        <f t="shared" si="6"/>
        <v>0</v>
      </c>
      <c r="AB5" s="2024">
        <f t="shared" si="6"/>
        <v>0</v>
      </c>
      <c r="AC5" s="2024">
        <f t="shared" si="6"/>
        <v>0</v>
      </c>
      <c r="AD5" s="2024">
        <f t="shared" ref="AD5:AD15" si="7">AA5</f>
        <v>0</v>
      </c>
    </row>
    <row r="6" spans="1:30" s="2041" customFormat="1" ht="12.75">
      <c r="A6" s="2901" t="s">
        <v>3370</v>
      </c>
      <c r="B6" s="2027">
        <v>2023</v>
      </c>
      <c r="C6" s="2038">
        <v>3</v>
      </c>
      <c r="D6" s="2003">
        <v>0</v>
      </c>
      <c r="E6" s="2003">
        <v>0</v>
      </c>
      <c r="F6" s="2003">
        <v>0</v>
      </c>
      <c r="G6" s="2003">
        <v>0</v>
      </c>
      <c r="H6" s="2003">
        <v>0</v>
      </c>
      <c r="I6" s="2004">
        <f t="shared" si="4"/>
        <v>0</v>
      </c>
      <c r="J6" s="2902"/>
      <c r="K6" s="2039">
        <f t="shared" ref="K6:K8" si="8">D6/100</f>
        <v>0</v>
      </c>
      <c r="L6" s="2024">
        <f t="shared" ref="L6:L8" si="9">E6/100</f>
        <v>0</v>
      </c>
      <c r="M6" s="2024">
        <f t="shared" ref="M6:M8" si="10">F6/100</f>
        <v>0</v>
      </c>
      <c r="N6" s="2024">
        <f t="shared" ref="N6:N8" si="11">G6/100</f>
        <v>0</v>
      </c>
      <c r="O6" s="2024">
        <f t="shared" ref="O6:O8" si="12">H6/100</f>
        <v>0</v>
      </c>
      <c r="P6" s="2024">
        <f t="shared" ref="P6:P8" si="13">M6</f>
        <v>0</v>
      </c>
      <c r="Q6" s="2902"/>
      <c r="R6" s="2023">
        <f>ROUND(IF(项目基本情况!$B$8="出让",SUMPRODUCT(PRODUCT(1+K6:$K$16)),SUMPRODUCT(PRODUCT(1+K6:$K$15))),4)</f>
        <v>1.0659000000000001</v>
      </c>
      <c r="S6" s="2023">
        <f>ROUND(IF(项目基本情况!$B$8="出让",SUMPRODUCT(PRODUCT(1+L6:$L$16)),SUMPRODUCT(PRODUCT(1+L6:$L$15))),4)</f>
        <v>1.0326</v>
      </c>
      <c r="T6" s="2023">
        <f>ROUND(IF(项目基本情况!$B$8="出让",SUMPRODUCT(PRODUCT(1+M6:$M$16)),SUMPRODUCT(PRODUCT(1+M6:$M$15))),4)</f>
        <v>1.0203</v>
      </c>
      <c r="U6" s="2023">
        <f>ROUND(IF(项目基本情况!$B$8="出让",SUMPRODUCT(PRODUCT(1+N6:$N$16)),SUMPRODUCT(PRODUCT(1+N6:$N$15))),4)</f>
        <v>1.0714999999999999</v>
      </c>
      <c r="V6" s="2023">
        <f>ROUND(IF(项目基本情况!$B$8="出让",SUMPRODUCT(PRODUCT(1+O6:$O$16)),SUMPRODUCT(PRODUCT(1+O6:$O$15))),4)</f>
        <v>1.0555000000000001</v>
      </c>
      <c r="W6" s="2023">
        <f t="shared" ref="W6:W8" si="14">T6</f>
        <v>1.0203</v>
      </c>
      <c r="X6" s="2902"/>
      <c r="Y6" s="2024"/>
      <c r="Z6" s="2024"/>
      <c r="AA6" s="2024"/>
      <c r="AB6" s="2024"/>
      <c r="AC6" s="2024"/>
      <c r="AD6" s="2024"/>
    </row>
    <row r="7" spans="1:30" s="2041" customFormat="1" ht="12.75">
      <c r="A7" s="2901" t="s">
        <v>3368</v>
      </c>
      <c r="B7" s="2027">
        <v>2023</v>
      </c>
      <c r="C7" s="2038">
        <v>2</v>
      </c>
      <c r="D7" s="2003">
        <v>0</v>
      </c>
      <c r="E7" s="2003">
        <v>0</v>
      </c>
      <c r="F7" s="2003">
        <v>0</v>
      </c>
      <c r="G7" s="2003">
        <v>0</v>
      </c>
      <c r="H7" s="2003">
        <v>0</v>
      </c>
      <c r="I7" s="2004">
        <f t="shared" si="4"/>
        <v>0</v>
      </c>
      <c r="J7" s="2902"/>
      <c r="K7" s="2039">
        <f t="shared" si="8"/>
        <v>0</v>
      </c>
      <c r="L7" s="2024">
        <f t="shared" si="9"/>
        <v>0</v>
      </c>
      <c r="M7" s="2024">
        <f t="shared" si="10"/>
        <v>0</v>
      </c>
      <c r="N7" s="2024">
        <f t="shared" si="11"/>
        <v>0</v>
      </c>
      <c r="O7" s="2024">
        <f t="shared" si="12"/>
        <v>0</v>
      </c>
      <c r="P7" s="2024">
        <f t="shared" si="13"/>
        <v>0</v>
      </c>
      <c r="Q7" s="2902"/>
      <c r="R7" s="2023">
        <f>ROUND(IF(项目基本情况!$B$8="出让",SUMPRODUCT(PRODUCT(1+K7:$K$16)),SUMPRODUCT(PRODUCT(1+K7:$K$15))),4)</f>
        <v>1.0659000000000001</v>
      </c>
      <c r="S7" s="2023">
        <f>ROUND(IF(项目基本情况!$B$8="出让",SUMPRODUCT(PRODUCT(1+L7:$L$16)),SUMPRODUCT(PRODUCT(1+L7:$L$15))),4)</f>
        <v>1.0326</v>
      </c>
      <c r="T7" s="2023">
        <f>ROUND(IF(项目基本情况!$B$8="出让",SUMPRODUCT(PRODUCT(1+M7:$M$16)),SUMPRODUCT(PRODUCT(1+M7:$M$15))),4)</f>
        <v>1.0203</v>
      </c>
      <c r="U7" s="2023">
        <f>ROUND(IF(项目基本情况!$B$8="出让",SUMPRODUCT(PRODUCT(1+N7:$N$16)),SUMPRODUCT(PRODUCT(1+N7:$N$15))),4)</f>
        <v>1.0714999999999999</v>
      </c>
      <c r="V7" s="2023">
        <f>ROUND(IF(项目基本情况!$B$8="出让",SUMPRODUCT(PRODUCT(1+O7:$O$16)),SUMPRODUCT(PRODUCT(1+O7:$O$15))),4)</f>
        <v>1.0555000000000001</v>
      </c>
      <c r="W7" s="2023">
        <f t="shared" si="14"/>
        <v>1.0203</v>
      </c>
      <c r="X7" s="2902"/>
      <c r="Y7" s="2024"/>
      <c r="Z7" s="2024"/>
      <c r="AA7" s="2024"/>
      <c r="AB7" s="2024"/>
      <c r="AC7" s="2024"/>
      <c r="AD7" s="2024"/>
    </row>
    <row r="8" spans="1:30" s="2912" customFormat="1" ht="12.75">
      <c r="A8" s="2903" t="s">
        <v>3371</v>
      </c>
      <c r="B8" s="2904">
        <v>2023</v>
      </c>
      <c r="C8" s="2905">
        <v>1</v>
      </c>
      <c r="D8" s="2906">
        <v>0.89</v>
      </c>
      <c r="E8" s="2906">
        <v>0.74</v>
      </c>
      <c r="F8" s="2906">
        <v>0.56999999999999995</v>
      </c>
      <c r="G8" s="2906">
        <v>0.92</v>
      </c>
      <c r="H8" s="2907">
        <v>0.5</v>
      </c>
      <c r="I8" s="2908">
        <f t="shared" si="4"/>
        <v>0.56999999999999995</v>
      </c>
      <c r="J8" s="2909"/>
      <c r="K8" s="2910">
        <f t="shared" si="8"/>
        <v>8.8999999999999999E-3</v>
      </c>
      <c r="L8" s="2911">
        <f t="shared" si="9"/>
        <v>7.4000000000000003E-3</v>
      </c>
      <c r="M8" s="2911">
        <f t="shared" si="10"/>
        <v>5.6999999999999993E-3</v>
      </c>
      <c r="N8" s="2911">
        <f t="shared" si="11"/>
        <v>9.1999999999999998E-3</v>
      </c>
      <c r="O8" s="2911">
        <f t="shared" si="12"/>
        <v>5.0000000000000001E-3</v>
      </c>
      <c r="P8" s="2911">
        <f t="shared" si="13"/>
        <v>5.6999999999999993E-3</v>
      </c>
      <c r="Q8" s="2909"/>
      <c r="R8" s="2909">
        <f>ROUND(IF(项目基本情况!$B$8="出让",SUMPRODUCT(PRODUCT(1+K8:$K$16)),SUMPRODUCT(PRODUCT(1+K8:$K$15))),4)</f>
        <v>1.0659000000000001</v>
      </c>
      <c r="S8" s="2909">
        <f>ROUND(IF(项目基本情况!$B$8="出让",SUMPRODUCT(PRODUCT(1+L8:$L$16)),SUMPRODUCT(PRODUCT(1+L8:$L$15))),4)</f>
        <v>1.0326</v>
      </c>
      <c r="T8" s="2909">
        <f>ROUND(IF(项目基本情况!$B$8="出让",SUMPRODUCT(PRODUCT(1+M8:$M$16)),SUMPRODUCT(PRODUCT(1+M8:$M$15))),4)</f>
        <v>1.0203</v>
      </c>
      <c r="U8" s="2909">
        <f>ROUND(IF(项目基本情况!$B$8="出让",SUMPRODUCT(PRODUCT(1+N8:$N$16)),SUMPRODUCT(PRODUCT(1+N8:$N$15))),4)</f>
        <v>1.0714999999999999</v>
      </c>
      <c r="V8" s="2909">
        <f>ROUND(IF(项目基本情况!$B$8="出让",SUMPRODUCT(PRODUCT(1+O8:$O$16)),SUMPRODUCT(PRODUCT(1+O8:$O$15))),4)</f>
        <v>1.0555000000000001</v>
      </c>
      <c r="W8" s="2909">
        <f t="shared" si="14"/>
        <v>1.0203</v>
      </c>
      <c r="X8" s="2909"/>
      <c r="Y8" s="2911"/>
      <c r="Z8" s="2911"/>
      <c r="AA8" s="2911"/>
      <c r="AB8" s="2911"/>
      <c r="AC8" s="2911"/>
      <c r="AD8" s="2911"/>
    </row>
    <row r="9" spans="1:30" s="2041" customFormat="1" ht="12.75">
      <c r="A9" s="2901" t="s">
        <v>3372</v>
      </c>
      <c r="B9" s="2027">
        <v>2022</v>
      </c>
      <c r="C9" s="2038">
        <v>4</v>
      </c>
      <c r="D9" s="2003">
        <v>0.62</v>
      </c>
      <c r="E9" s="2003">
        <v>0.2</v>
      </c>
      <c r="F9" s="2003">
        <v>0.11</v>
      </c>
      <c r="G9" s="2003">
        <v>0.69</v>
      </c>
      <c r="H9" s="2913">
        <v>0.53</v>
      </c>
      <c r="I9" s="2004">
        <f t="shared" si="4"/>
        <v>0.11</v>
      </c>
      <c r="J9" s="2902"/>
      <c r="K9" s="2039">
        <f t="shared" si="5"/>
        <v>6.1999999999999998E-3</v>
      </c>
      <c r="L9" s="2024">
        <f t="shared" si="5"/>
        <v>2E-3</v>
      </c>
      <c r="M9" s="2024">
        <f t="shared" si="5"/>
        <v>1.1000000000000001E-3</v>
      </c>
      <c r="N9" s="2024">
        <f t="shared" si="5"/>
        <v>6.8999999999999999E-3</v>
      </c>
      <c r="O9" s="2024">
        <f t="shared" si="5"/>
        <v>5.3E-3</v>
      </c>
      <c r="P9" s="2024">
        <f t="shared" ref="P9:P16" si="15">M9</f>
        <v>1.1000000000000001E-3</v>
      </c>
      <c r="Q9" s="2902"/>
      <c r="R9" s="2023">
        <f>ROUND(IF([3]项目基本情况!B8="出让",SUMPRODUCT(PRODUCT(1+K9:K16)),SUMPRODUCT(PRODUCT(1+K9:K15))),4)</f>
        <v>1.0565</v>
      </c>
      <c r="S9" s="2023">
        <f>ROUND(IF([3]项目基本情况!B8="出让",SUMPRODUCT(PRODUCT(1+L9:L16)),SUMPRODUCT(PRODUCT(1+L9:L15))),4)</f>
        <v>1.0250999999999999</v>
      </c>
      <c r="T9" s="2023">
        <f>ROUND(IF([3]项目基本情况!B8="出让",SUMPRODUCT(PRODUCT(1+M9:M16)),SUMPRODUCT(PRODUCT(1+M9:M15))),4)</f>
        <v>1.0145</v>
      </c>
      <c r="U9" s="2023">
        <f>ROUND(IF([3]项目基本情况!B8="出让",SUMPRODUCT(PRODUCT(1+N9:N16)),SUMPRODUCT(PRODUCT(1+N9:N15))),4)</f>
        <v>1.0618000000000001</v>
      </c>
      <c r="V9" s="2023">
        <f>ROUND(IF([3]项目基本情况!B8="出让",SUMPRODUCT(PRODUCT(1+O9:O16)),SUMPRODUCT(PRODUCT(1+O9:O15))),4)</f>
        <v>1.0502</v>
      </c>
      <c r="W9" s="2023">
        <f t="shared" ref="W9:W16" si="16">T9</f>
        <v>1.0145</v>
      </c>
      <c r="X9" s="2902"/>
      <c r="Y9" s="2024">
        <f>IF(D9=0,0,ROUND(AVERAGE(D9:D17)/100,4))</f>
        <v>8.0999999999999996E-3</v>
      </c>
      <c r="Z9" s="2024">
        <f t="shared" ref="Z9:AC9" si="17">IF(E9=0,0,ROUND(AVERAGE(E9:E16)/100,4))</f>
        <v>3.3E-3</v>
      </c>
      <c r="AA9" s="2024">
        <f t="shared" si="17"/>
        <v>1.5E-3</v>
      </c>
      <c r="AB9" s="2024">
        <f t="shared" si="17"/>
        <v>8.8999999999999999E-3</v>
      </c>
      <c r="AC9" s="2024">
        <f t="shared" si="17"/>
        <v>6.6E-3</v>
      </c>
      <c r="AD9" s="2024">
        <f t="shared" si="7"/>
        <v>1.5E-3</v>
      </c>
    </row>
    <row r="10" spans="1:30" s="2041" customFormat="1" ht="12.75">
      <c r="A10" s="2901" t="s">
        <v>3364</v>
      </c>
      <c r="B10" s="2027">
        <v>2022</v>
      </c>
      <c r="C10" s="2038">
        <v>3</v>
      </c>
      <c r="D10" s="2003">
        <v>0.66</v>
      </c>
      <c r="E10" s="2003">
        <v>0.32</v>
      </c>
      <c r="F10" s="2003">
        <v>0.23</v>
      </c>
      <c r="G10" s="2003">
        <v>0.72</v>
      </c>
      <c r="H10" s="2913">
        <v>0.63</v>
      </c>
      <c r="I10" s="2004">
        <f t="shared" si="4"/>
        <v>0.23</v>
      </c>
      <c r="J10" s="2902"/>
      <c r="K10" s="2039">
        <f t="shared" si="5"/>
        <v>6.6E-3</v>
      </c>
      <c r="L10" s="2024">
        <f t="shared" si="5"/>
        <v>3.2000000000000002E-3</v>
      </c>
      <c r="M10" s="2024">
        <f t="shared" si="5"/>
        <v>2.3E-3</v>
      </c>
      <c r="N10" s="2024">
        <f t="shared" si="5"/>
        <v>7.1999999999999998E-3</v>
      </c>
      <c r="O10" s="2024">
        <f t="shared" si="5"/>
        <v>6.3E-3</v>
      </c>
      <c r="P10" s="2024">
        <f t="shared" si="15"/>
        <v>2.3E-3</v>
      </c>
      <c r="Q10" s="2902"/>
      <c r="R10" s="2023">
        <f>ROUND(IF([3]项目基本情况!B8="出让",SUMPRODUCT(PRODUCT(1+K10:K16)),SUMPRODUCT(PRODUCT(1+K10:K15))),4)</f>
        <v>1.05</v>
      </c>
      <c r="S10" s="2023">
        <f>ROUND(IF([3]项目基本情况!B8="出让",SUMPRODUCT(PRODUCT(1+L10:L16)),SUMPRODUCT(PRODUCT(1+L10:L15))),4)</f>
        <v>1.0229999999999999</v>
      </c>
      <c r="T10" s="2023">
        <f>ROUND(IF([3]项目基本情况!B8="出让",SUMPRODUCT(PRODUCT(1+M10:M16)),SUMPRODUCT(PRODUCT(1+M10:M15))),4)</f>
        <v>1.0134000000000001</v>
      </c>
      <c r="U10" s="2023">
        <f>ROUND(IF([3]项目基本情况!B8="出让",SUMPRODUCT(PRODUCT(1+N10:N16)),SUMPRODUCT(PRODUCT(1+N10:N15))),4)</f>
        <v>1.0545</v>
      </c>
      <c r="V10" s="2023">
        <f>ROUND(IF([3]项目基本情况!B8="出让",SUMPRODUCT(PRODUCT(1+O10:O16)),SUMPRODUCT(PRODUCT(1+O10:O15))),4)</f>
        <v>1.0447</v>
      </c>
      <c r="W10" s="2023">
        <f t="shared" si="16"/>
        <v>1.0134000000000001</v>
      </c>
      <c r="X10" s="2902"/>
      <c r="Y10" s="2024">
        <f>IF(D10=0,0,ROUND(AVERAGE(D10:D16)/100,4))</f>
        <v>8.3999999999999995E-3</v>
      </c>
      <c r="Z10" s="2024">
        <f t="shared" ref="Z10:AC10" si="18">IF(E10=0,0,ROUND(AVERAGE(E10:E16)/100,4))</f>
        <v>3.5000000000000001E-3</v>
      </c>
      <c r="AA10" s="2024">
        <f t="shared" si="18"/>
        <v>1.5E-3</v>
      </c>
      <c r="AB10" s="2024">
        <f t="shared" si="18"/>
        <v>9.1999999999999998E-3</v>
      </c>
      <c r="AC10" s="2024">
        <f t="shared" si="18"/>
        <v>6.7999999999999996E-3</v>
      </c>
      <c r="AD10" s="2024">
        <f t="shared" si="7"/>
        <v>1.5E-3</v>
      </c>
    </row>
    <row r="11" spans="1:30" s="2041" customFormat="1" ht="12.75">
      <c r="A11" s="2901" t="s">
        <v>3355</v>
      </c>
      <c r="B11" s="2027">
        <v>2022</v>
      </c>
      <c r="C11" s="2038">
        <v>2</v>
      </c>
      <c r="D11" s="2003">
        <v>0.93</v>
      </c>
      <c r="E11" s="2003">
        <v>0.15</v>
      </c>
      <c r="F11" s="2003">
        <v>0.01</v>
      </c>
      <c r="G11" s="2003">
        <v>1.05</v>
      </c>
      <c r="H11" s="2913">
        <v>1.08</v>
      </c>
      <c r="I11" s="2004">
        <f t="shared" si="4"/>
        <v>0.01</v>
      </c>
      <c r="J11" s="2902"/>
      <c r="K11" s="2039">
        <f t="shared" si="5"/>
        <v>9.300000000000001E-3</v>
      </c>
      <c r="L11" s="2024">
        <f t="shared" si="5"/>
        <v>1.5E-3</v>
      </c>
      <c r="M11" s="2024">
        <f t="shared" si="5"/>
        <v>1E-4</v>
      </c>
      <c r="N11" s="2024">
        <f t="shared" si="5"/>
        <v>1.0500000000000001E-2</v>
      </c>
      <c r="O11" s="2024">
        <f t="shared" si="5"/>
        <v>1.0800000000000001E-2</v>
      </c>
      <c r="P11" s="2024">
        <f t="shared" si="15"/>
        <v>1E-4</v>
      </c>
      <c r="Q11" s="2902"/>
      <c r="R11" s="2023">
        <f>ROUND(IF([3]项目基本情况!B8="出让",SUMPRODUCT(PRODUCT(1+K11:K16)),SUMPRODUCT(PRODUCT(1+K11:K15))),4)</f>
        <v>1.0430999999999999</v>
      </c>
      <c r="S11" s="2023">
        <f>ROUND(IF([3]项目基本情况!B8="出让",SUMPRODUCT(PRODUCT(1+L11:L16)),SUMPRODUCT(PRODUCT(1+L11:L15))),4)</f>
        <v>1.0197000000000001</v>
      </c>
      <c r="T11" s="2023">
        <f>ROUND(IF([3]项目基本情况!B8="出让",SUMPRODUCT(PRODUCT(1+M11:M16)),SUMPRODUCT(PRODUCT(1+M11:M15))),4)</f>
        <v>1.0109999999999999</v>
      </c>
      <c r="U11" s="2023">
        <f>ROUND(IF([3]项目基本情况!B8="出让",SUMPRODUCT(PRODUCT(1+N11:N16)),SUMPRODUCT(PRODUCT(1+N11:N15))),4)</f>
        <v>1.0468999999999999</v>
      </c>
      <c r="V11" s="2023">
        <f>ROUND(IF([3]项目基本情况!B8="出让",SUMPRODUCT(PRODUCT(1+O11:O16)),SUMPRODUCT(PRODUCT(1+O11:O15))),4)</f>
        <v>1.0382</v>
      </c>
      <c r="W11" s="2023">
        <f t="shared" si="16"/>
        <v>1.0109999999999999</v>
      </c>
      <c r="X11" s="2902"/>
      <c r="Y11" s="2024">
        <f>IF(D11=0,0,ROUND(AVERAGE(D11:D16)/100,4))</f>
        <v>8.6999999999999994E-3</v>
      </c>
      <c r="Z11" s="2024">
        <f t="shared" ref="Z11:AC11" si="19">IF(E11=0,0,ROUND(AVERAGE(E11:E16)/100,4))</f>
        <v>3.5000000000000001E-3</v>
      </c>
      <c r="AA11" s="2024">
        <f t="shared" si="19"/>
        <v>1.4E-3</v>
      </c>
      <c r="AB11" s="2024">
        <f t="shared" si="19"/>
        <v>9.4999999999999998E-3</v>
      </c>
      <c r="AC11" s="2024">
        <f t="shared" si="19"/>
        <v>6.8999999999999999E-3</v>
      </c>
      <c r="AD11" s="2024">
        <f t="shared" si="7"/>
        <v>1.4E-3</v>
      </c>
    </row>
    <row r="12" spans="1:30" s="2041" customFormat="1" ht="12.75">
      <c r="A12" s="2901" t="s">
        <v>2818</v>
      </c>
      <c r="B12" s="2027">
        <v>2022</v>
      </c>
      <c r="C12" s="2038">
        <v>1</v>
      </c>
      <c r="D12" s="2003">
        <v>0.89</v>
      </c>
      <c r="E12" s="2003">
        <v>0.44</v>
      </c>
      <c r="F12" s="2003">
        <v>0.37</v>
      </c>
      <c r="G12" s="2003">
        <v>0.96</v>
      </c>
      <c r="H12" s="2913">
        <v>0.64</v>
      </c>
      <c r="I12" s="2004">
        <f t="shared" si="4"/>
        <v>0.37</v>
      </c>
      <c r="J12" s="2902"/>
      <c r="K12" s="2039">
        <f t="shared" si="5"/>
        <v>8.8999999999999999E-3</v>
      </c>
      <c r="L12" s="2024">
        <f t="shared" si="5"/>
        <v>4.4000000000000003E-3</v>
      </c>
      <c r="M12" s="2024">
        <f t="shared" si="5"/>
        <v>3.7000000000000002E-3</v>
      </c>
      <c r="N12" s="2024">
        <f t="shared" si="5"/>
        <v>9.5999999999999992E-3</v>
      </c>
      <c r="O12" s="2024">
        <f t="shared" si="5"/>
        <v>6.4000000000000003E-3</v>
      </c>
      <c r="P12" s="2024">
        <f t="shared" si="15"/>
        <v>3.7000000000000002E-3</v>
      </c>
      <c r="Q12" s="2902"/>
      <c r="R12" s="2023">
        <f>ROUND(IF([3]项目基本情况!B8="出让",SUMPRODUCT(PRODUCT(1+K12:K16)),SUMPRODUCT(PRODUCT(1+K12:K15))),4)</f>
        <v>1.0335000000000001</v>
      </c>
      <c r="S12" s="2023">
        <f>ROUND(IF([3]项目基本情况!B8="出让",SUMPRODUCT(PRODUCT(1+L12:L16)),SUMPRODUCT(PRODUCT(1+L12:L15))),4)</f>
        <v>1.0182</v>
      </c>
      <c r="T12" s="2023">
        <f>ROUND(IF([3]项目基本情况!B8="出让",SUMPRODUCT(PRODUCT(1+M12:M16)),SUMPRODUCT(PRODUCT(1+M12:M15))),4)</f>
        <v>1.0108999999999999</v>
      </c>
      <c r="U12" s="2023">
        <f>ROUND(IF([3]项目基本情况!B8="出让",SUMPRODUCT(PRODUCT(1+N12:N16)),SUMPRODUCT(PRODUCT(1+N12:N15))),4)</f>
        <v>1.0361</v>
      </c>
      <c r="V12" s="2023">
        <f>ROUND(IF([3]项目基本情况!B8="出让",SUMPRODUCT(PRODUCT(1+O12:O16)),SUMPRODUCT(PRODUCT(1+O12:O15))),4)</f>
        <v>1.0270999999999999</v>
      </c>
      <c r="W12" s="2023">
        <f t="shared" si="16"/>
        <v>1.0108999999999999</v>
      </c>
      <c r="X12" s="2902"/>
      <c r="Y12" s="2024">
        <f>IF(D12=0,0,ROUND(AVERAGE(D12:D16)/100,4))</f>
        <v>8.6E-3</v>
      </c>
      <c r="Z12" s="2024">
        <f t="shared" ref="Z12:AC12" si="20">IF(E12=0,0,ROUND(AVERAGE(E12:E16)/100,4))</f>
        <v>3.8999999999999998E-3</v>
      </c>
      <c r="AA12" s="2024">
        <f t="shared" si="20"/>
        <v>1.6999999999999999E-3</v>
      </c>
      <c r="AB12" s="2024">
        <f t="shared" si="20"/>
        <v>9.2999999999999992E-3</v>
      </c>
      <c r="AC12" s="2024">
        <f t="shared" si="20"/>
        <v>6.1000000000000004E-3</v>
      </c>
      <c r="AD12" s="2024">
        <f t="shared" si="7"/>
        <v>1.6999999999999999E-3</v>
      </c>
    </row>
    <row r="13" spans="1:30" s="2041" customFormat="1" ht="12.75">
      <c r="A13" s="2901" t="s">
        <v>2819</v>
      </c>
      <c r="B13" s="2027">
        <v>2021</v>
      </c>
      <c r="C13" s="2038">
        <v>4</v>
      </c>
      <c r="D13" s="2003">
        <v>1.03</v>
      </c>
      <c r="E13" s="2003">
        <v>0.24</v>
      </c>
      <c r="F13" s="2003">
        <v>7.0000000000000007E-2</v>
      </c>
      <c r="G13" s="2003">
        <v>1.17</v>
      </c>
      <c r="H13" s="2913">
        <v>0.55000000000000004</v>
      </c>
      <c r="I13" s="2004">
        <f t="shared" si="4"/>
        <v>7.0000000000000007E-2</v>
      </c>
      <c r="J13" s="2902"/>
      <c r="K13" s="2039">
        <f t="shared" si="5"/>
        <v>1.03E-2</v>
      </c>
      <c r="L13" s="2024">
        <f t="shared" si="5"/>
        <v>2.3999999999999998E-3</v>
      </c>
      <c r="M13" s="2024">
        <f t="shared" si="5"/>
        <v>7.000000000000001E-4</v>
      </c>
      <c r="N13" s="2024">
        <f t="shared" si="5"/>
        <v>1.1699999999999999E-2</v>
      </c>
      <c r="O13" s="2024">
        <f t="shared" si="5"/>
        <v>5.5000000000000005E-3</v>
      </c>
      <c r="P13" s="2024">
        <f t="shared" si="15"/>
        <v>7.000000000000001E-4</v>
      </c>
      <c r="Q13" s="2902"/>
      <c r="R13" s="2023">
        <f>ROUND(IF([3]项目基本情况!B8="出让",SUMPRODUCT(PRODUCT(1+K13:K16)),SUMPRODUCT(PRODUCT(1+K13:K15))),4)</f>
        <v>1.0244</v>
      </c>
      <c r="S13" s="2023">
        <f>ROUND(IF([3]项目基本情况!B8="出让",SUMPRODUCT(PRODUCT(1+L13:L16)),SUMPRODUCT(PRODUCT(1+L13:L15))),4)</f>
        <v>1.0138</v>
      </c>
      <c r="T13" s="2023">
        <f>ROUND(IF([3]项目基本情况!B8="出让",SUMPRODUCT(PRODUCT(1+M13:M16)),SUMPRODUCT(PRODUCT(1+M13:M15))),4)</f>
        <v>1.0072000000000001</v>
      </c>
      <c r="U13" s="2023">
        <f>ROUND(IF([3]项目基本情况!B8="出让",SUMPRODUCT(PRODUCT(1+N13:N16)),SUMPRODUCT(PRODUCT(1+N13:N15))),4)</f>
        <v>1.0262</v>
      </c>
      <c r="V13" s="2023">
        <f>ROUND(IF([3]项目基本情况!B8="出让",SUMPRODUCT(PRODUCT(1+O13:O16)),SUMPRODUCT(PRODUCT(1+O13:O15))),4)</f>
        <v>1.0205</v>
      </c>
      <c r="W13" s="2023">
        <f t="shared" si="16"/>
        <v>1.0072000000000001</v>
      </c>
      <c r="X13" s="2902"/>
      <c r="Y13" s="2024">
        <f>IF(D13=0,0,ROUND(AVERAGE(D13:D16)/100,4))</f>
        <v>8.5000000000000006E-3</v>
      </c>
      <c r="Z13" s="2024">
        <f t="shared" ref="Z13:AC13" si="21">IF(E13=0,0,ROUND(AVERAGE(E13:E16)/100,4))</f>
        <v>3.8E-3</v>
      </c>
      <c r="AA13" s="2024">
        <f t="shared" si="21"/>
        <v>1.1999999999999999E-3</v>
      </c>
      <c r="AB13" s="2024">
        <f t="shared" si="21"/>
        <v>9.2999999999999992E-3</v>
      </c>
      <c r="AC13" s="2024">
        <f t="shared" si="21"/>
        <v>6.0000000000000001E-3</v>
      </c>
      <c r="AD13" s="2024">
        <f t="shared" si="7"/>
        <v>1.1999999999999999E-3</v>
      </c>
    </row>
    <row r="14" spans="1:30" s="2041" customFormat="1" ht="12.75">
      <c r="A14" s="2901" t="s">
        <v>2820</v>
      </c>
      <c r="B14" s="2027">
        <v>2021</v>
      </c>
      <c r="C14" s="2038">
        <v>3</v>
      </c>
      <c r="D14" s="2003">
        <v>0.47</v>
      </c>
      <c r="E14" s="2003">
        <v>0.41</v>
      </c>
      <c r="F14" s="2003">
        <v>0.24</v>
      </c>
      <c r="G14" s="2003">
        <v>0.48</v>
      </c>
      <c r="H14" s="2913">
        <v>0.48</v>
      </c>
      <c r="I14" s="2004">
        <f t="shared" si="4"/>
        <v>0.24</v>
      </c>
      <c r="J14" s="2902"/>
      <c r="K14" s="2039">
        <f t="shared" si="5"/>
        <v>4.6999999999999993E-3</v>
      </c>
      <c r="L14" s="2024">
        <f t="shared" si="5"/>
        <v>4.0999999999999995E-3</v>
      </c>
      <c r="M14" s="2024">
        <f t="shared" si="5"/>
        <v>2.3999999999999998E-3</v>
      </c>
      <c r="N14" s="2024">
        <f t="shared" si="5"/>
        <v>4.7999999999999996E-3</v>
      </c>
      <c r="O14" s="2024">
        <f t="shared" si="5"/>
        <v>4.7999999999999996E-3</v>
      </c>
      <c r="P14" s="2024">
        <f t="shared" si="15"/>
        <v>2.3999999999999998E-3</v>
      </c>
      <c r="Q14" s="2902"/>
      <c r="R14" s="2023">
        <f>ROUND(IF([3]项目基本情况!B8="出让",SUMPRODUCT(PRODUCT(1+K14:K16)),SUMPRODUCT(PRODUCT(1+K14:K15))),4)</f>
        <v>1.0139</v>
      </c>
      <c r="S14" s="2023">
        <f>ROUND(IF([3]项目基本情况!B8="出让",SUMPRODUCT(PRODUCT(1+L14:L16)),SUMPRODUCT(PRODUCT(1+L14:L15))),4)</f>
        <v>1.0113000000000001</v>
      </c>
      <c r="T14" s="2023">
        <f>ROUND(IF([3]项目基本情况!B8="出让",SUMPRODUCT(PRODUCT(1+M14:M16)),SUMPRODUCT(PRODUCT(1+M14:M15))),4)</f>
        <v>1.0065</v>
      </c>
      <c r="U14" s="2023">
        <f>ROUND(IF([3]项目基本情况!B8="出让",SUMPRODUCT(PRODUCT(1+N14:N16)),SUMPRODUCT(PRODUCT(1+N14:N15))),4)</f>
        <v>1.0143</v>
      </c>
      <c r="V14" s="2023">
        <f>ROUND(IF([3]项目基本情况!B8="出让",SUMPRODUCT(PRODUCT(1+O14:O16)),SUMPRODUCT(PRODUCT(1+O14:O15))),4)</f>
        <v>1.0148999999999999</v>
      </c>
      <c r="W14" s="2023">
        <f t="shared" si="16"/>
        <v>1.0065</v>
      </c>
      <c r="X14" s="2902"/>
      <c r="Y14" s="2024">
        <f>IF(D14=0,0,ROUND(AVERAGE(D14:D16)/100,4))</f>
        <v>7.9000000000000008E-3</v>
      </c>
      <c r="Z14" s="2024">
        <f>IF(E14=0,0,ROUND(AVERAGE(E14:E16)/100,4))</f>
        <v>4.3E-3</v>
      </c>
      <c r="AA14" s="2024">
        <f>IF(F14=0,0,ROUND(AVERAGE(F14:F16)/100,4))</f>
        <v>1.2999999999999999E-3</v>
      </c>
      <c r="AB14" s="2024">
        <f>IF(G14=0,0,ROUND(AVERAGE(G14:G16)/100,4))</f>
        <v>8.5000000000000006E-3</v>
      </c>
      <c r="AC14" s="2024">
        <f>IF(H14=0,0,ROUND(AVERAGE(H14:H16)/100,4))</f>
        <v>6.1999999999999998E-3</v>
      </c>
      <c r="AD14" s="2024">
        <f t="shared" si="7"/>
        <v>1.2999999999999999E-3</v>
      </c>
    </row>
    <row r="15" spans="1:30" s="2041" customFormat="1" ht="12.75">
      <c r="A15" s="2901" t="s">
        <v>2821</v>
      </c>
      <c r="B15" s="2027">
        <v>2021</v>
      </c>
      <c r="C15" s="2038">
        <v>2</v>
      </c>
      <c r="D15" s="2003">
        <v>0.92</v>
      </c>
      <c r="E15" s="2003">
        <v>0.72</v>
      </c>
      <c r="F15" s="2003">
        <v>0.41</v>
      </c>
      <c r="G15" s="2003">
        <v>0.95</v>
      </c>
      <c r="H15" s="2913">
        <v>1.01</v>
      </c>
      <c r="I15" s="2004">
        <f t="shared" si="4"/>
        <v>0.41</v>
      </c>
      <c r="J15" s="2902"/>
      <c r="K15" s="2039">
        <f t="shared" si="5"/>
        <v>9.1999999999999998E-3</v>
      </c>
      <c r="L15" s="2024">
        <f t="shared" si="5"/>
        <v>7.1999999999999998E-3</v>
      </c>
      <c r="M15" s="2024">
        <f t="shared" si="5"/>
        <v>4.0999999999999995E-3</v>
      </c>
      <c r="N15" s="2024">
        <f t="shared" si="5"/>
        <v>9.4999999999999998E-3</v>
      </c>
      <c r="O15" s="2024">
        <f t="shared" si="5"/>
        <v>1.01E-2</v>
      </c>
      <c r="P15" s="2024">
        <f t="shared" si="15"/>
        <v>4.0999999999999995E-3</v>
      </c>
      <c r="Q15" s="2902"/>
      <c r="R15" s="2023">
        <f>ROUND(IF([3]项目基本情况!B8="出让",SUMPRODUCT(PRODUCT(1+K15:K16)),SUMPRODUCT(PRODUCT(1+K15:K15))),4)</f>
        <v>1.0092000000000001</v>
      </c>
      <c r="S15" s="2023">
        <f>ROUND(IF([3]项目基本情况!B8="出让",SUMPRODUCT(PRODUCT(1+L15:L16)),SUMPRODUCT(PRODUCT(1+L15:L15))),4)</f>
        <v>1.0072000000000001</v>
      </c>
      <c r="T15" s="2023">
        <f>ROUND(IF([3]项目基本情况!B8="出让",SUMPRODUCT(PRODUCT(1+M15:M16)),SUMPRODUCT(PRODUCT(1+M15:M15))),4)</f>
        <v>1.0041</v>
      </c>
      <c r="U15" s="2023">
        <f>ROUND(IF([3]项目基本情况!B8="出让",SUMPRODUCT(PRODUCT(1+N15:N16)),SUMPRODUCT(PRODUCT(1+N15:N15))),4)</f>
        <v>1.0095000000000001</v>
      </c>
      <c r="V15" s="2023">
        <f>ROUND(IF([3]项目基本情况!B8="出让",SUMPRODUCT(PRODUCT(1+O15:O16)),SUMPRODUCT(PRODUCT(1+O15:O15))),4)</f>
        <v>1.0101</v>
      </c>
      <c r="W15" s="2023">
        <f t="shared" si="16"/>
        <v>1.0041</v>
      </c>
      <c r="X15" s="2902"/>
      <c r="Y15" s="2024">
        <f>IF(D15=0,0,ROUND(AVERAGE(D15:D16)/100,4))</f>
        <v>9.4999999999999998E-3</v>
      </c>
      <c r="Z15" s="2024">
        <f>IF(E15=0,0,ROUND(AVERAGE(E15:E16)/100,4))</f>
        <v>4.4000000000000003E-3</v>
      </c>
      <c r="AA15" s="2024">
        <f>IF(F15=0,0,ROUND(AVERAGE(F15:F16)/100,4))</f>
        <v>8.0000000000000004E-4</v>
      </c>
      <c r="AB15" s="2024">
        <f>IF(G15=0,0,ROUND(AVERAGE(G15:G16)/100,4))</f>
        <v>1.03E-2</v>
      </c>
      <c r="AC15" s="2024">
        <f>IF(H15=0,0,ROUND(AVERAGE(H15:H16)/100,4))</f>
        <v>6.8999999999999999E-3</v>
      </c>
      <c r="AD15" s="2024">
        <f t="shared" si="7"/>
        <v>8.0000000000000004E-4</v>
      </c>
    </row>
    <row r="16" spans="1:30" s="2924" customFormat="1" thickBot="1">
      <c r="A16" s="2914" t="s">
        <v>2822</v>
      </c>
      <c r="B16" s="2915">
        <v>2021</v>
      </c>
      <c r="C16" s="2916">
        <v>1</v>
      </c>
      <c r="D16" s="2917">
        <v>0.97</v>
      </c>
      <c r="E16" s="2917">
        <v>0.16</v>
      </c>
      <c r="F16" s="2917">
        <v>-0.25</v>
      </c>
      <c r="G16" s="2917">
        <v>1.1100000000000001</v>
      </c>
      <c r="H16" s="2918">
        <v>0.36</v>
      </c>
      <c r="I16" s="2919">
        <f t="shared" si="4"/>
        <v>-0.25</v>
      </c>
      <c r="J16" s="2920"/>
      <c r="K16" s="2921">
        <f t="shared" si="5"/>
        <v>9.7000000000000003E-3</v>
      </c>
      <c r="L16" s="2922">
        <f t="shared" si="5"/>
        <v>1.6000000000000001E-3</v>
      </c>
      <c r="M16" s="2922">
        <f>F16/100</f>
        <v>-2.5000000000000001E-3</v>
      </c>
      <c r="N16" s="2922">
        <f t="shared" si="5"/>
        <v>1.11E-2</v>
      </c>
      <c r="O16" s="2922">
        <f t="shared" si="5"/>
        <v>3.5999999999999999E-3</v>
      </c>
      <c r="P16" s="2922">
        <f t="shared" si="15"/>
        <v>-2.5000000000000001E-3</v>
      </c>
      <c r="Q16" s="2920"/>
      <c r="R16" s="2923">
        <v>1</v>
      </c>
      <c r="S16" s="2923">
        <v>1</v>
      </c>
      <c r="T16" s="2923">
        <v>1</v>
      </c>
      <c r="U16" s="2923">
        <v>1</v>
      </c>
      <c r="V16" s="2923">
        <v>1</v>
      </c>
      <c r="W16" s="2923">
        <f t="shared" si="16"/>
        <v>1</v>
      </c>
      <c r="X16" s="2920"/>
      <c r="Y16" s="2922">
        <f>IF(D16=0,0,ROUND(AVERAGE(D16:D16)/100,4))</f>
        <v>9.7000000000000003E-3</v>
      </c>
      <c r="Z16" s="2922">
        <f>IF(E16=0,0,ROUND(AVERAGE(E16:E16)/100,4))</f>
        <v>1.6000000000000001E-3</v>
      </c>
      <c r="AA16" s="2922">
        <f>IF(F16=0,0,ROUND(AVERAGE(F16:F16)/100,4))</f>
        <v>-2.5000000000000001E-3</v>
      </c>
      <c r="AB16" s="2922">
        <f>IF(G16=0,0,ROUND(AVERAGE(G16:G16)/100,4))</f>
        <v>1.11E-2</v>
      </c>
      <c r="AC16" s="2922">
        <f>IF(H16=0,0,ROUND(AVERAGE(H16:H16)/100,4))</f>
        <v>3.5999999999999999E-3</v>
      </c>
      <c r="AD16" s="2922">
        <f>AA16</f>
        <v>-2.5000000000000001E-3</v>
      </c>
    </row>
    <row r="17" spans="1:30" ht="14.25" thickTop="1"/>
    <row r="18" spans="1:30">
      <c r="A18" s="3139" t="s">
        <v>3366</v>
      </c>
    </row>
    <row r="19" spans="1:30">
      <c r="I19" s="1404" t="s">
        <v>2823</v>
      </c>
    </row>
    <row r="21" spans="1:30" s="2005" customFormat="1" ht="12.75">
      <c r="B21" s="2925" t="s">
        <v>2824</v>
      </c>
      <c r="C21" s="2926"/>
      <c r="D21" s="2926"/>
      <c r="E21" s="2926"/>
      <c r="F21" s="2926"/>
      <c r="G21" s="2926"/>
      <c r="H21" s="2926"/>
      <c r="I21" s="2926"/>
      <c r="J21" s="2892"/>
      <c r="K21" s="2926" t="s">
        <v>2825</v>
      </c>
      <c r="L21" s="2926"/>
      <c r="M21" s="2926"/>
      <c r="N21" s="2926"/>
      <c r="O21" s="2926"/>
      <c r="P21" s="2926"/>
      <c r="Q21" s="2892"/>
      <c r="R21" s="3955" t="s">
        <v>2826</v>
      </c>
      <c r="S21" s="3956"/>
      <c r="T21" s="3956"/>
      <c r="U21" s="3956"/>
      <c r="V21" s="3956"/>
      <c r="W21" s="3956"/>
      <c r="X21" s="2892"/>
      <c r="Y21" s="3955" t="s">
        <v>2827</v>
      </c>
      <c r="Z21" s="3956"/>
      <c r="AA21" s="3956"/>
      <c r="AB21" s="3956"/>
      <c r="AC21" s="3956"/>
      <c r="AD21" s="3956"/>
    </row>
    <row r="22" spans="1:30" s="2006" customFormat="1" ht="14.25" thickBot="1">
      <c r="B22" s="2877"/>
      <c r="C22" s="2878"/>
      <c r="D22" s="2007" t="s">
        <v>2828</v>
      </c>
      <c r="E22" s="2008" t="s">
        <v>2829</v>
      </c>
      <c r="F22" s="2008" t="s">
        <v>2830</v>
      </c>
      <c r="G22" s="2008" t="s">
        <v>2831</v>
      </c>
      <c r="H22" s="2008"/>
      <c r="I22" s="2008" t="s">
        <v>2832</v>
      </c>
      <c r="J22" s="2879"/>
      <c r="K22" s="2007" t="s">
        <v>2828</v>
      </c>
      <c r="L22" s="2008" t="s">
        <v>2829</v>
      </c>
      <c r="M22" s="2008" t="s">
        <v>2830</v>
      </c>
      <c r="N22" s="2008" t="s">
        <v>2831</v>
      </c>
      <c r="O22" s="2008"/>
      <c r="P22" s="2008" t="s">
        <v>2832</v>
      </c>
      <c r="Q22" s="2879"/>
      <c r="R22" s="2007" t="s">
        <v>2828</v>
      </c>
      <c r="S22" s="2008" t="s">
        <v>2829</v>
      </c>
      <c r="T22" s="2008" t="s">
        <v>2830</v>
      </c>
      <c r="U22" s="2008" t="s">
        <v>2831</v>
      </c>
      <c r="V22" s="2008"/>
      <c r="W22" s="2008" t="s">
        <v>2832</v>
      </c>
      <c r="X22" s="2879"/>
      <c r="Y22" s="2007" t="s">
        <v>2828</v>
      </c>
      <c r="Z22" s="2008" t="s">
        <v>2829</v>
      </c>
      <c r="AA22" s="2008" t="s">
        <v>2830</v>
      </c>
      <c r="AB22" s="2008" t="s">
        <v>2831</v>
      </c>
      <c r="AC22" s="2008"/>
      <c r="AD22" s="2008" t="s">
        <v>2832</v>
      </c>
    </row>
    <row r="23" spans="1:30" s="2882" customFormat="1" ht="12.75">
      <c r="A23" s="2880" t="s">
        <v>2833</v>
      </c>
      <c r="B23" s="2881"/>
      <c r="E23" s="2882">
        <f t="shared" ref="E23:G23" si="22">ROUND(AVERAGEIF(E24:E36,"&lt;&gt;0"),2)</f>
        <v>0.42</v>
      </c>
      <c r="F23" s="2882">
        <f t="shared" si="22"/>
        <v>0.3</v>
      </c>
      <c r="G23" s="2882">
        <f t="shared" si="22"/>
        <v>0.73</v>
      </c>
      <c r="I23" s="2882">
        <f>F23</f>
        <v>0.3</v>
      </c>
      <c r="J23" s="2883"/>
      <c r="K23" s="2884"/>
      <c r="L23" s="2885">
        <f t="shared" ref="L23:N23" si="23">ROUND(AVERAGEIF(L24:L36,"&lt;&gt;0"),4)</f>
        <v>4.1999999999999997E-3</v>
      </c>
      <c r="M23" s="2885">
        <f t="shared" si="23"/>
        <v>3.0000000000000001E-3</v>
      </c>
      <c r="N23" s="2885">
        <f t="shared" si="23"/>
        <v>7.3000000000000001E-3</v>
      </c>
      <c r="O23" s="2885"/>
      <c r="P23" s="2885">
        <f>M23</f>
        <v>3.0000000000000001E-3</v>
      </c>
      <c r="Q23" s="2883"/>
      <c r="R23" s="2886"/>
      <c r="S23" s="2887">
        <f>ROUND(SUMPRODUCT(PRODUCT(1+L24:L36)),4)</f>
        <v>1.038</v>
      </c>
      <c r="T23" s="2887">
        <f t="shared" ref="T23:U23" si="24">ROUND(SUMPRODUCT(PRODUCT(1+M24:M36)),4)</f>
        <v>1.0273000000000001</v>
      </c>
      <c r="U23" s="2887">
        <f t="shared" si="24"/>
        <v>1.0677000000000001</v>
      </c>
      <c r="V23" s="2887"/>
      <c r="W23" s="2886">
        <f>T23</f>
        <v>1.0273000000000001</v>
      </c>
      <c r="X23" s="2883"/>
      <c r="Y23" s="2888"/>
      <c r="Z23" s="2889">
        <f t="shared" ref="Z23:AB23" si="25">ROUND(AVERAGEIF(Z24:Z36,"&lt;&gt;0"),4)</f>
        <v>4.3E-3</v>
      </c>
      <c r="AA23" s="2890">
        <f t="shared" si="25"/>
        <v>3.5999999999999999E-3</v>
      </c>
      <c r="AB23" s="2888">
        <f t="shared" si="25"/>
        <v>8.8999999999999999E-3</v>
      </c>
      <c r="AC23" s="2891"/>
      <c r="AD23" s="2888">
        <f>AA23</f>
        <v>3.5999999999999999E-3</v>
      </c>
    </row>
    <row r="24" spans="1:30" s="2005" customFormat="1" ht="12.75">
      <c r="B24" s="2021"/>
      <c r="J24" s="2892"/>
      <c r="K24" s="2893"/>
      <c r="L24" s="2894"/>
      <c r="M24" s="2894"/>
      <c r="N24" s="2894"/>
      <c r="O24" s="2894"/>
      <c r="P24" s="2894"/>
      <c r="Q24" s="2892"/>
      <c r="R24" s="2023"/>
      <c r="S24" s="2895"/>
      <c r="T24" s="2896"/>
      <c r="U24" s="2023"/>
      <c r="V24" s="2897"/>
      <c r="W24" s="2023"/>
      <c r="X24" s="2892"/>
      <c r="Y24" s="2024"/>
      <c r="Z24" s="2898"/>
      <c r="AA24" s="2899"/>
      <c r="AB24" s="2024"/>
      <c r="AC24" s="2900"/>
      <c r="AD24" s="2024"/>
    </row>
    <row r="25" spans="1:30" s="2041" customFormat="1" ht="12.75">
      <c r="A25" s="2901" t="s">
        <v>3369</v>
      </c>
      <c r="B25" s="2027">
        <v>2023</v>
      </c>
      <c r="C25" s="2038">
        <v>4</v>
      </c>
      <c r="D25" s="2003"/>
      <c r="E25" s="2003">
        <v>0</v>
      </c>
      <c r="F25" s="2003">
        <v>0</v>
      </c>
      <c r="G25" s="2003">
        <v>0</v>
      </c>
      <c r="H25" s="2003"/>
      <c r="I25" s="2004">
        <f t="shared" ref="I25:I36" si="26">F25</f>
        <v>0</v>
      </c>
      <c r="J25" s="2902"/>
      <c r="K25" s="2039"/>
      <c r="L25" s="2024">
        <f t="shared" ref="L25:N36" si="27">E25/100</f>
        <v>0</v>
      </c>
      <c r="M25" s="2024">
        <f t="shared" si="27"/>
        <v>0</v>
      </c>
      <c r="N25" s="2024">
        <f t="shared" si="27"/>
        <v>0</v>
      </c>
      <c r="O25" s="2024"/>
      <c r="P25" s="2024">
        <f>M25</f>
        <v>0</v>
      </c>
      <c r="Q25" s="2902"/>
      <c r="R25" s="2023"/>
      <c r="S25" s="2023">
        <f>ROUND(IF([3]项目基本情况!$B$8="出让",SUMPRODUCT(PRODUCT(1+L25:L$36)),SUMPRODUCT(PRODUCT(1+L25:L$35))),4)</f>
        <v>1.0344</v>
      </c>
      <c r="T25" s="2023">
        <f>ROUND(IF([3]项目基本情况!$B$8="出让",SUMPRODUCT(PRODUCT(1+M25:M$36)),SUMPRODUCT(PRODUCT(1+M25:M$35))),4)</f>
        <v>1.0224</v>
      </c>
      <c r="U25" s="2023">
        <f>ROUND(IF([3]项目基本情况!$B$8="出让",SUMPRODUCT(PRODUCT(1+N25:N$36)),SUMPRODUCT(PRODUCT(1+N25:N$35))),4)</f>
        <v>1.0573999999999999</v>
      </c>
      <c r="V25" s="2023"/>
      <c r="W25" s="2023">
        <f>T25</f>
        <v>1.0224</v>
      </c>
      <c r="X25" s="2902"/>
      <c r="Y25" s="2024"/>
      <c r="Z25" s="2898">
        <f>IF(E25=0,0,ROUND(AVERAGE(E25:E36)/100,4))</f>
        <v>0</v>
      </c>
      <c r="AA25" s="2898">
        <f>IF(F25=0,0,ROUND(AVERAGE(F25:F36)/100,4))</f>
        <v>0</v>
      </c>
      <c r="AB25" s="2898">
        <f>IF(G25=0,0,ROUND(AVERAGE(G25:G36)/100,4))</f>
        <v>0</v>
      </c>
      <c r="AC25" s="2900"/>
      <c r="AD25" s="2024">
        <f>IF(I25=0,0,ROUND(AVERAGE(I25:I36)/100,4))</f>
        <v>0</v>
      </c>
    </row>
    <row r="26" spans="1:30" s="2041" customFormat="1" ht="12.75">
      <c r="A26" s="2901" t="s">
        <v>3370</v>
      </c>
      <c r="B26" s="2027">
        <v>2023</v>
      </c>
      <c r="C26" s="2038">
        <v>3</v>
      </c>
      <c r="D26" s="2003"/>
      <c r="E26" s="2003">
        <v>0</v>
      </c>
      <c r="F26" s="2003">
        <v>0</v>
      </c>
      <c r="G26" s="2003">
        <v>0</v>
      </c>
      <c r="H26" s="2913"/>
      <c r="I26" s="2004">
        <f t="shared" si="26"/>
        <v>0</v>
      </c>
      <c r="J26" s="2902"/>
      <c r="K26" s="2039"/>
      <c r="L26" s="2024">
        <f t="shared" ref="L26:L28" si="28">E26/100</f>
        <v>0</v>
      </c>
      <c r="M26" s="2024">
        <f t="shared" ref="M26:M28" si="29">F26/100</f>
        <v>0</v>
      </c>
      <c r="N26" s="2024">
        <f t="shared" ref="N26:N28" si="30">G26/100</f>
        <v>0</v>
      </c>
      <c r="O26" s="2024"/>
      <c r="P26" s="2024">
        <f t="shared" ref="P26:P28" si="31">M26</f>
        <v>0</v>
      </c>
      <c r="Q26" s="2902"/>
      <c r="R26" s="2023"/>
      <c r="S26" s="2023">
        <f>ROUND(IF([3]项目基本情况!$B$8="出让",SUMPRODUCT(PRODUCT(1+L26:L$36)),SUMPRODUCT(PRODUCT(1+L26:L$35))),4)</f>
        <v>1.0344</v>
      </c>
      <c r="T26" s="2023">
        <f>ROUND(IF([3]项目基本情况!$B$8="出让",SUMPRODUCT(PRODUCT(1+M26:M$36)),SUMPRODUCT(PRODUCT(1+M26:M$35))),4)</f>
        <v>1.0224</v>
      </c>
      <c r="U26" s="2023">
        <f>ROUND(IF([3]项目基本情况!$B$8="出让",SUMPRODUCT(PRODUCT(1+N26:N$36)),SUMPRODUCT(PRODUCT(1+N26:N$35))),4)</f>
        <v>1.0573999999999999</v>
      </c>
      <c r="V26" s="2023"/>
      <c r="W26" s="2023">
        <f t="shared" ref="W26:W28" si="32">T26</f>
        <v>1.0224</v>
      </c>
      <c r="X26" s="2902"/>
      <c r="Y26" s="2024"/>
      <c r="Z26" s="2898"/>
      <c r="AA26" s="2024"/>
      <c r="AB26" s="2024"/>
      <c r="AC26" s="2900"/>
      <c r="AD26" s="2024"/>
    </row>
    <row r="27" spans="1:30" s="2041" customFormat="1" ht="12.75">
      <c r="A27" s="2901" t="s">
        <v>3368</v>
      </c>
      <c r="B27" s="2027">
        <v>2023</v>
      </c>
      <c r="C27" s="2038">
        <v>2</v>
      </c>
      <c r="D27" s="2003"/>
      <c r="E27" s="2003">
        <v>0</v>
      </c>
      <c r="F27" s="2003">
        <v>0</v>
      </c>
      <c r="G27" s="2003">
        <v>0</v>
      </c>
      <c r="H27" s="2913"/>
      <c r="I27" s="2004">
        <f t="shared" si="26"/>
        <v>0</v>
      </c>
      <c r="J27" s="2902"/>
      <c r="K27" s="2039"/>
      <c r="L27" s="2024">
        <f t="shared" si="28"/>
        <v>0</v>
      </c>
      <c r="M27" s="2024">
        <f t="shared" si="29"/>
        <v>0</v>
      </c>
      <c r="N27" s="2024">
        <f t="shared" si="30"/>
        <v>0</v>
      </c>
      <c r="O27" s="2024"/>
      <c r="P27" s="2024">
        <f t="shared" si="31"/>
        <v>0</v>
      </c>
      <c r="Q27" s="2902"/>
      <c r="R27" s="2023"/>
      <c r="S27" s="2023">
        <f>ROUND(IF([3]项目基本情况!$B$8="出让",SUMPRODUCT(PRODUCT(1+L27:L$36)),SUMPRODUCT(PRODUCT(1+L27:L$35))),4)</f>
        <v>1.0344</v>
      </c>
      <c r="T27" s="2023">
        <f>ROUND(IF([3]项目基本情况!$B$8="出让",SUMPRODUCT(PRODUCT(1+M27:M$36)),SUMPRODUCT(PRODUCT(1+M27:M$35))),4)</f>
        <v>1.0224</v>
      </c>
      <c r="U27" s="2023">
        <f>ROUND(IF([3]项目基本情况!$B$8="出让",SUMPRODUCT(PRODUCT(1+N27:N$36)),SUMPRODUCT(PRODUCT(1+N27:N$35))),4)</f>
        <v>1.0573999999999999</v>
      </c>
      <c r="V27" s="2023"/>
      <c r="W27" s="2023">
        <f t="shared" si="32"/>
        <v>1.0224</v>
      </c>
      <c r="X27" s="2902"/>
      <c r="Y27" s="2024"/>
      <c r="Z27" s="2898"/>
      <c r="AA27" s="2024"/>
      <c r="AB27" s="2024"/>
      <c r="AC27" s="2900"/>
      <c r="AD27" s="2024"/>
    </row>
    <row r="28" spans="1:30" s="2912" customFormat="1" ht="12.75">
      <c r="A28" s="2903" t="s">
        <v>3371</v>
      </c>
      <c r="B28" s="2904">
        <v>2023</v>
      </c>
      <c r="C28" s="2905">
        <v>1</v>
      </c>
      <c r="D28" s="2906"/>
      <c r="E28" s="2906">
        <v>0.55000000000000004</v>
      </c>
      <c r="F28" s="2906">
        <v>0.59</v>
      </c>
      <c r="G28" s="2906">
        <v>0.64</v>
      </c>
      <c r="H28" s="2907"/>
      <c r="I28" s="2908">
        <f t="shared" si="26"/>
        <v>0.59</v>
      </c>
      <c r="J28" s="2909"/>
      <c r="K28" s="2910"/>
      <c r="L28" s="2911">
        <f t="shared" si="28"/>
        <v>5.5000000000000005E-3</v>
      </c>
      <c r="M28" s="2911">
        <f t="shared" si="29"/>
        <v>5.8999999999999999E-3</v>
      </c>
      <c r="N28" s="2911">
        <f t="shared" si="30"/>
        <v>6.4000000000000003E-3</v>
      </c>
      <c r="O28" s="2911"/>
      <c r="P28" s="2911">
        <f t="shared" si="31"/>
        <v>5.8999999999999999E-3</v>
      </c>
      <c r="Q28" s="2909"/>
      <c r="R28" s="2909"/>
      <c r="S28" s="2909">
        <f>ROUND(IF([3]项目基本情况!$B$8="出让",SUMPRODUCT(PRODUCT(1+L28:L$36)),SUMPRODUCT(PRODUCT(1+L28:L$35))),4)</f>
        <v>1.0344</v>
      </c>
      <c r="T28" s="2909">
        <f>ROUND(IF([3]项目基本情况!$B$8="出让",SUMPRODUCT(PRODUCT(1+M28:M$36)),SUMPRODUCT(PRODUCT(1+M28:M$35))),4)</f>
        <v>1.0224</v>
      </c>
      <c r="U28" s="2909">
        <f>ROUND(IF([3]项目基本情况!$B$8="出让",SUMPRODUCT(PRODUCT(1+N28:N$36)),SUMPRODUCT(PRODUCT(1+N28:N$35))),4)</f>
        <v>1.0573999999999999</v>
      </c>
      <c r="V28" s="2909"/>
      <c r="W28" s="2909">
        <f t="shared" si="32"/>
        <v>1.0224</v>
      </c>
      <c r="X28" s="2909"/>
      <c r="Y28" s="2911"/>
      <c r="Z28" s="2927"/>
      <c r="AA28" s="2928"/>
      <c r="AB28" s="2911"/>
      <c r="AC28" s="2929"/>
      <c r="AD28" s="2911"/>
    </row>
    <row r="29" spans="1:30" s="2041" customFormat="1" ht="12.75">
      <c r="A29" s="2901" t="s">
        <v>3372</v>
      </c>
      <c r="B29" s="2027">
        <v>2022</v>
      </c>
      <c r="C29" s="2038">
        <v>4</v>
      </c>
      <c r="D29" s="2003"/>
      <c r="E29" s="2003">
        <v>0.45</v>
      </c>
      <c r="F29" s="2003">
        <v>0.2</v>
      </c>
      <c r="G29" s="2003">
        <v>0.38</v>
      </c>
      <c r="H29" s="2913"/>
      <c r="I29" s="2004">
        <f t="shared" si="26"/>
        <v>0.2</v>
      </c>
      <c r="J29" s="2902"/>
      <c r="K29" s="2039"/>
      <c r="L29" s="2024">
        <f t="shared" si="27"/>
        <v>4.5000000000000005E-3</v>
      </c>
      <c r="M29" s="2024">
        <f t="shared" si="27"/>
        <v>2E-3</v>
      </c>
      <c r="N29" s="2024">
        <f t="shared" si="27"/>
        <v>3.8E-3</v>
      </c>
      <c r="O29" s="2024"/>
      <c r="P29" s="2024">
        <f t="shared" ref="P29:P36" si="33">M29</f>
        <v>2E-3</v>
      </c>
      <c r="Q29" s="2902"/>
      <c r="R29" s="2023"/>
      <c r="S29" s="2023">
        <f>ROUND(IF([3]项目基本情况!$B$8="出让",SUMPRODUCT(PRODUCT(1+L29:L$36)),SUMPRODUCT(PRODUCT(1+L29:L$35))),4)</f>
        <v>1.0286999999999999</v>
      </c>
      <c r="T29" s="2023">
        <f>ROUND(IF([3]项目基本情况!$B$8="出让",SUMPRODUCT(PRODUCT(1+M29:M$36)),SUMPRODUCT(PRODUCT(1+M29:M$35))),4)</f>
        <v>1.0164</v>
      </c>
      <c r="U29" s="2023">
        <f>ROUND(IF([3]项目基本情况!$B$8="出让",SUMPRODUCT(PRODUCT(1+N29:N$36)),SUMPRODUCT(PRODUCT(1+N29:N$35))),4)</f>
        <v>1.0506</v>
      </c>
      <c r="V29" s="2023"/>
      <c r="W29" s="2023">
        <f t="shared" ref="W29:W36" si="34">T29</f>
        <v>1.0164</v>
      </c>
      <c r="X29" s="2902"/>
      <c r="Y29" s="2024"/>
      <c r="Z29" s="2898">
        <f t="shared" ref="Z29:AD36" si="35">IF(E29=0,0,ROUND(AVERAGE(E29:E37)/100,4))</f>
        <v>4.0000000000000001E-3</v>
      </c>
      <c r="AA29" s="2899">
        <f t="shared" si="35"/>
        <v>2.5999999999999999E-3</v>
      </c>
      <c r="AB29" s="2024">
        <f t="shared" si="35"/>
        <v>7.4000000000000003E-3</v>
      </c>
      <c r="AC29" s="2900"/>
      <c r="AD29" s="2024">
        <f t="shared" si="35"/>
        <v>2.5999999999999999E-3</v>
      </c>
    </row>
    <row r="30" spans="1:30" s="2041" customFormat="1" ht="12.75">
      <c r="A30" s="2901" t="s">
        <v>3365</v>
      </c>
      <c r="B30" s="2027">
        <v>2022</v>
      </c>
      <c r="C30" s="2038">
        <v>3</v>
      </c>
      <c r="D30" s="2003"/>
      <c r="E30" s="2003">
        <v>0.3</v>
      </c>
      <c r="F30" s="2003">
        <v>0.28999999999999998</v>
      </c>
      <c r="G30" s="2003">
        <v>0.83</v>
      </c>
      <c r="H30" s="2913"/>
      <c r="I30" s="2004">
        <f t="shared" si="26"/>
        <v>0.28999999999999998</v>
      </c>
      <c r="J30" s="2902"/>
      <c r="K30" s="2039"/>
      <c r="L30" s="2024">
        <f t="shared" si="27"/>
        <v>3.0000000000000001E-3</v>
      </c>
      <c r="M30" s="2024">
        <f t="shared" si="27"/>
        <v>2.8999999999999998E-3</v>
      </c>
      <c r="N30" s="2024">
        <f t="shared" si="27"/>
        <v>8.3000000000000001E-3</v>
      </c>
      <c r="O30" s="2024"/>
      <c r="P30" s="2024">
        <f t="shared" si="33"/>
        <v>2.8999999999999998E-3</v>
      </c>
      <c r="Q30" s="2902"/>
      <c r="R30" s="2023"/>
      <c r="S30" s="2023">
        <f>ROUND(IF([3]项目基本情况!$B$8="出让",SUMPRODUCT(PRODUCT(1+L30:L$36)),SUMPRODUCT(PRODUCT(1+L30:L$35))),4)</f>
        <v>1.0241</v>
      </c>
      <c r="T30" s="2023">
        <f>ROUND(IF([3]项目基本情况!$B$8="出让",SUMPRODUCT(PRODUCT(1+M30:M$36)),SUMPRODUCT(PRODUCT(1+M30:M$35))),4)</f>
        <v>1.0144</v>
      </c>
      <c r="U30" s="2023">
        <f>ROUND(IF([3]项目基本情况!$B$8="出让",SUMPRODUCT(PRODUCT(1+N30:N$36)),SUMPRODUCT(PRODUCT(1+N30:N$35))),4)</f>
        <v>1.0467</v>
      </c>
      <c r="V30" s="2023"/>
      <c r="W30" s="2023">
        <f t="shared" si="34"/>
        <v>1.0144</v>
      </c>
      <c r="X30" s="2902"/>
      <c r="Y30" s="2024"/>
      <c r="Z30" s="2898">
        <f t="shared" si="35"/>
        <v>3.8999999999999998E-3</v>
      </c>
      <c r="AA30" s="2899">
        <f t="shared" si="35"/>
        <v>2.7000000000000001E-3</v>
      </c>
      <c r="AB30" s="2024">
        <f t="shared" si="35"/>
        <v>7.9000000000000008E-3</v>
      </c>
      <c r="AC30" s="2900"/>
      <c r="AD30" s="2024">
        <f t="shared" si="35"/>
        <v>2.7000000000000001E-3</v>
      </c>
    </row>
    <row r="31" spans="1:30" s="2041" customFormat="1" ht="12.75">
      <c r="A31" s="2901" t="s">
        <v>3355</v>
      </c>
      <c r="B31" s="2027">
        <v>2022</v>
      </c>
      <c r="C31" s="2038">
        <v>2</v>
      </c>
      <c r="D31" s="2003"/>
      <c r="E31" s="2003">
        <v>-0.11</v>
      </c>
      <c r="F31" s="2003">
        <v>-0.13</v>
      </c>
      <c r="G31" s="2003">
        <v>0.53</v>
      </c>
      <c r="H31" s="2913"/>
      <c r="I31" s="2004">
        <f t="shared" si="26"/>
        <v>-0.13</v>
      </c>
      <c r="J31" s="2902"/>
      <c r="K31" s="2039"/>
      <c r="L31" s="2024">
        <f t="shared" si="27"/>
        <v>-1.1000000000000001E-3</v>
      </c>
      <c r="M31" s="2024">
        <f t="shared" si="27"/>
        <v>-1.2999999999999999E-3</v>
      </c>
      <c r="N31" s="2024">
        <f t="shared" si="27"/>
        <v>5.3E-3</v>
      </c>
      <c r="O31" s="2024"/>
      <c r="P31" s="2024">
        <f t="shared" si="33"/>
        <v>-1.2999999999999999E-3</v>
      </c>
      <c r="Q31" s="2902"/>
      <c r="R31" s="2023"/>
      <c r="S31" s="2023">
        <f>ROUND(IF([3]项目基本情况!$B$8="出让",SUMPRODUCT(PRODUCT(1+L31:L$36)),SUMPRODUCT(PRODUCT(1+L31:L$35))),4)</f>
        <v>1.0210999999999999</v>
      </c>
      <c r="T31" s="2023">
        <f>ROUND(IF([3]项目基本情况!$B$8="出让",SUMPRODUCT(PRODUCT(1+M31:M$36)),SUMPRODUCT(PRODUCT(1+M31:M$35))),4)</f>
        <v>1.0114000000000001</v>
      </c>
      <c r="U31" s="2023">
        <f>ROUND(IF([3]项目基本情况!$B$8="出让",SUMPRODUCT(PRODUCT(1+N31:N$36)),SUMPRODUCT(PRODUCT(1+N31:N$35))),4)</f>
        <v>1.0381</v>
      </c>
      <c r="V31" s="2023"/>
      <c r="W31" s="2023">
        <f t="shared" si="34"/>
        <v>1.0114000000000001</v>
      </c>
      <c r="X31" s="2902"/>
      <c r="Y31" s="2024"/>
      <c r="Z31" s="2898">
        <f t="shared" si="35"/>
        <v>4.1000000000000003E-3</v>
      </c>
      <c r="AA31" s="2899">
        <f t="shared" si="35"/>
        <v>2.7000000000000001E-3</v>
      </c>
      <c r="AB31" s="2024">
        <f t="shared" si="35"/>
        <v>7.9000000000000008E-3</v>
      </c>
      <c r="AC31" s="2900"/>
      <c r="AD31" s="2024">
        <f t="shared" si="35"/>
        <v>2.7000000000000001E-3</v>
      </c>
    </row>
    <row r="32" spans="1:30" s="2041" customFormat="1" ht="12.75">
      <c r="A32" s="2901" t="s">
        <v>2834</v>
      </c>
      <c r="B32" s="2027">
        <v>2022</v>
      </c>
      <c r="C32" s="2038">
        <v>1</v>
      </c>
      <c r="D32" s="2003"/>
      <c r="E32" s="2003">
        <v>0.6</v>
      </c>
      <c r="F32" s="2003">
        <v>0.45</v>
      </c>
      <c r="G32" s="2003">
        <v>0.53</v>
      </c>
      <c r="H32" s="2913"/>
      <c r="I32" s="2004">
        <f t="shared" si="26"/>
        <v>0.45</v>
      </c>
      <c r="J32" s="2902"/>
      <c r="K32" s="2039"/>
      <c r="L32" s="2024">
        <f t="shared" si="27"/>
        <v>6.0000000000000001E-3</v>
      </c>
      <c r="M32" s="2024">
        <f t="shared" si="27"/>
        <v>4.5000000000000005E-3</v>
      </c>
      <c r="N32" s="2024">
        <f t="shared" si="27"/>
        <v>5.3E-3</v>
      </c>
      <c r="O32" s="2024"/>
      <c r="P32" s="2024">
        <f t="shared" si="33"/>
        <v>4.5000000000000005E-3</v>
      </c>
      <c r="Q32" s="2902"/>
      <c r="R32" s="2023"/>
      <c r="S32" s="2023">
        <f>ROUND(IF([3]项目基本情况!$B$8="出让",SUMPRODUCT(PRODUCT(1+L32:L$36)),SUMPRODUCT(PRODUCT(1+L32:L$35))),4)</f>
        <v>1.0222</v>
      </c>
      <c r="T32" s="2023">
        <f>ROUND(IF([3]项目基本情况!$B$8="出让",SUMPRODUCT(PRODUCT(1+M32:M$36)),SUMPRODUCT(PRODUCT(1+M32:M$35))),4)</f>
        <v>1.0127999999999999</v>
      </c>
      <c r="U32" s="2023">
        <f>ROUND(IF([3]项目基本情况!$B$8="出让",SUMPRODUCT(PRODUCT(1+N32:N$36)),SUMPRODUCT(PRODUCT(1+N32:N$35))),4)</f>
        <v>1.0326</v>
      </c>
      <c r="V32" s="2023"/>
      <c r="W32" s="2023">
        <f t="shared" si="34"/>
        <v>1.0127999999999999</v>
      </c>
      <c r="X32" s="2902"/>
      <c r="Y32" s="2024"/>
      <c r="Z32" s="2898">
        <f t="shared" si="35"/>
        <v>5.1000000000000004E-3</v>
      </c>
      <c r="AA32" s="2899">
        <f t="shared" si="35"/>
        <v>3.5000000000000001E-3</v>
      </c>
      <c r="AB32" s="2024">
        <f t="shared" si="35"/>
        <v>8.3999999999999995E-3</v>
      </c>
      <c r="AC32" s="2900"/>
      <c r="AD32" s="2024">
        <f t="shared" si="35"/>
        <v>3.5000000000000001E-3</v>
      </c>
    </row>
    <row r="33" spans="1:30" s="2041" customFormat="1" ht="12.75">
      <c r="A33" s="2901" t="s">
        <v>2835</v>
      </c>
      <c r="B33" s="2027">
        <v>2021</v>
      </c>
      <c r="C33" s="2038">
        <v>4</v>
      </c>
      <c r="D33" s="2003"/>
      <c r="E33" s="2003">
        <v>0.57999999999999996</v>
      </c>
      <c r="F33" s="2003">
        <v>0.08</v>
      </c>
      <c r="G33" s="2003">
        <v>0.68</v>
      </c>
      <c r="H33" s="2913"/>
      <c r="I33" s="2004">
        <f t="shared" si="26"/>
        <v>0.08</v>
      </c>
      <c r="J33" s="2902"/>
      <c r="K33" s="2039"/>
      <c r="L33" s="2024">
        <f t="shared" si="27"/>
        <v>5.7999999999999996E-3</v>
      </c>
      <c r="M33" s="2024">
        <f t="shared" si="27"/>
        <v>8.0000000000000004E-4</v>
      </c>
      <c r="N33" s="2024">
        <f t="shared" si="27"/>
        <v>6.8000000000000005E-3</v>
      </c>
      <c r="O33" s="2024"/>
      <c r="P33" s="2024">
        <f t="shared" si="33"/>
        <v>8.0000000000000004E-4</v>
      </c>
      <c r="Q33" s="2902"/>
      <c r="R33" s="2023"/>
      <c r="S33" s="2023">
        <f>ROUND(IF([3]项目基本情况!$B$8="出让",SUMPRODUCT(PRODUCT(1+L33:L$36)),SUMPRODUCT(PRODUCT(1+L33:L$35))),4)</f>
        <v>1.0161</v>
      </c>
      <c r="T33" s="2023">
        <f>ROUND(IF([3]项目基本情况!$B$8="出让",SUMPRODUCT(PRODUCT(1+M33:M$36)),SUMPRODUCT(PRODUCT(1+M33:M$35))),4)</f>
        <v>1.0082</v>
      </c>
      <c r="U33" s="2023">
        <f>ROUND(IF([3]项目基本情况!$B$8="出让",SUMPRODUCT(PRODUCT(1+N33:N$36)),SUMPRODUCT(PRODUCT(1+N33:N$35))),4)</f>
        <v>1.0270999999999999</v>
      </c>
      <c r="V33" s="2023"/>
      <c r="W33" s="2023">
        <f t="shared" si="34"/>
        <v>1.0082</v>
      </c>
      <c r="X33" s="2902"/>
      <c r="Y33" s="2024"/>
      <c r="Z33" s="2898">
        <f t="shared" si="35"/>
        <v>4.8999999999999998E-3</v>
      </c>
      <c r="AA33" s="2899">
        <f t="shared" si="35"/>
        <v>3.3E-3</v>
      </c>
      <c r="AB33" s="2024">
        <f t="shared" si="35"/>
        <v>9.1999999999999998E-3</v>
      </c>
      <c r="AC33" s="2900"/>
      <c r="AD33" s="2024">
        <f t="shared" si="35"/>
        <v>3.3E-3</v>
      </c>
    </row>
    <row r="34" spans="1:30" s="2041" customFormat="1" ht="12.75">
      <c r="A34" s="2901" t="s">
        <v>2836</v>
      </c>
      <c r="B34" s="2027">
        <v>2021</v>
      </c>
      <c r="C34" s="2038">
        <v>3</v>
      </c>
      <c r="D34" s="2003"/>
      <c r="E34" s="2003">
        <v>0.47</v>
      </c>
      <c r="F34" s="2003">
        <v>0.28000000000000003</v>
      </c>
      <c r="G34" s="2003">
        <v>0.91</v>
      </c>
      <c r="H34" s="2913"/>
      <c r="I34" s="2004">
        <f t="shared" si="26"/>
        <v>0.28000000000000003</v>
      </c>
      <c r="J34" s="2902"/>
      <c r="K34" s="2039"/>
      <c r="L34" s="2024">
        <f t="shared" si="27"/>
        <v>4.6999999999999993E-3</v>
      </c>
      <c r="M34" s="2024">
        <f t="shared" si="27"/>
        <v>2.8000000000000004E-3</v>
      </c>
      <c r="N34" s="2024">
        <f t="shared" si="27"/>
        <v>9.1000000000000004E-3</v>
      </c>
      <c r="O34" s="2024"/>
      <c r="P34" s="2024">
        <f t="shared" si="33"/>
        <v>2.8000000000000004E-3</v>
      </c>
      <c r="Q34" s="2902"/>
      <c r="R34" s="2023"/>
      <c r="S34" s="2023">
        <f>ROUND(IF([3]项目基本情况!$B$8="出让",SUMPRODUCT(PRODUCT(1+L34:L$36)),SUMPRODUCT(PRODUCT(1+L34:L$35))),4)</f>
        <v>1.0102</v>
      </c>
      <c r="T34" s="2023">
        <f>ROUND(IF([3]项目基本情况!$B$8="出让",SUMPRODUCT(PRODUCT(1+M34:M$36)),SUMPRODUCT(PRODUCT(1+M34:M$35))),4)</f>
        <v>1.0074000000000001</v>
      </c>
      <c r="U34" s="2023">
        <f>ROUND(IF([3]项目基本情况!$B$8="出让",SUMPRODUCT(PRODUCT(1+N34:N$36)),SUMPRODUCT(PRODUCT(1+N34:N$35))),4)</f>
        <v>1.0202</v>
      </c>
      <c r="V34" s="2023"/>
      <c r="W34" s="2023">
        <f t="shared" si="34"/>
        <v>1.0074000000000001</v>
      </c>
      <c r="X34" s="2902"/>
      <c r="Y34" s="2024"/>
      <c r="Z34" s="2898">
        <f t="shared" si="35"/>
        <v>4.5999999999999999E-3</v>
      </c>
      <c r="AA34" s="2899">
        <f t="shared" si="35"/>
        <v>4.1000000000000003E-3</v>
      </c>
      <c r="AB34" s="2024">
        <f t="shared" si="35"/>
        <v>0.01</v>
      </c>
      <c r="AC34" s="2900"/>
      <c r="AD34" s="2024">
        <f t="shared" si="35"/>
        <v>4.1000000000000003E-3</v>
      </c>
    </row>
    <row r="35" spans="1:30" s="2041" customFormat="1" ht="12.75">
      <c r="A35" s="2901" t="s">
        <v>2837</v>
      </c>
      <c r="B35" s="2027">
        <v>2021</v>
      </c>
      <c r="C35" s="2038">
        <v>2</v>
      </c>
      <c r="D35" s="2003"/>
      <c r="E35" s="2003">
        <v>0.55000000000000004</v>
      </c>
      <c r="F35" s="2003">
        <v>0.46</v>
      </c>
      <c r="G35" s="2003">
        <v>1.1000000000000001</v>
      </c>
      <c r="H35" s="2913"/>
      <c r="I35" s="2004">
        <f t="shared" si="26"/>
        <v>0.46</v>
      </c>
      <c r="J35" s="2902"/>
      <c r="K35" s="2039"/>
      <c r="L35" s="2024">
        <f t="shared" si="27"/>
        <v>5.5000000000000005E-3</v>
      </c>
      <c r="M35" s="2024">
        <f t="shared" si="27"/>
        <v>4.5999999999999999E-3</v>
      </c>
      <c r="N35" s="2024">
        <f t="shared" si="27"/>
        <v>1.1000000000000001E-2</v>
      </c>
      <c r="O35" s="2024"/>
      <c r="P35" s="2024">
        <f t="shared" si="33"/>
        <v>4.5999999999999999E-3</v>
      </c>
      <c r="Q35" s="2902"/>
      <c r="R35" s="2023"/>
      <c r="S35" s="2023">
        <f>ROUND(IF([3]项目基本情况!$B$8="出让",SUMPRODUCT(PRODUCT(1+L35:L$36)),SUMPRODUCT(PRODUCT(1+L35:L$35))),4)</f>
        <v>1.0055000000000001</v>
      </c>
      <c r="T35" s="2023">
        <f>ROUND(IF([3]项目基本情况!$B$8="出让",SUMPRODUCT(PRODUCT(1+M35:M$36)),SUMPRODUCT(PRODUCT(1+M35:M$35))),4)</f>
        <v>1.0045999999999999</v>
      </c>
      <c r="U35" s="2023">
        <f>ROUND(IF([3]项目基本情况!$B$8="出让",SUMPRODUCT(PRODUCT(1+N35:N$36)),SUMPRODUCT(PRODUCT(1+N35:N$35))),4)</f>
        <v>1.0109999999999999</v>
      </c>
      <c r="V35" s="2023"/>
      <c r="W35" s="2023">
        <f t="shared" si="34"/>
        <v>1.0045999999999999</v>
      </c>
      <c r="X35" s="2902"/>
      <c r="Y35" s="2024"/>
      <c r="Z35" s="2898">
        <f t="shared" si="35"/>
        <v>4.4999999999999997E-3</v>
      </c>
      <c r="AA35" s="2899">
        <f t="shared" si="35"/>
        <v>4.7000000000000002E-3</v>
      </c>
      <c r="AB35" s="2024">
        <f t="shared" si="35"/>
        <v>1.04E-2</v>
      </c>
      <c r="AC35" s="2900"/>
      <c r="AD35" s="2024">
        <f t="shared" si="35"/>
        <v>4.7000000000000002E-3</v>
      </c>
    </row>
    <row r="36" spans="1:30" s="2924" customFormat="1" thickBot="1">
      <c r="A36" s="2914" t="s">
        <v>2822</v>
      </c>
      <c r="B36" s="2915">
        <v>2021</v>
      </c>
      <c r="C36" s="2916">
        <v>1</v>
      </c>
      <c r="D36" s="2917"/>
      <c r="E36" s="2917">
        <v>0.35</v>
      </c>
      <c r="F36" s="2917">
        <v>0.48</v>
      </c>
      <c r="G36" s="2917">
        <v>0.98</v>
      </c>
      <c r="H36" s="2918"/>
      <c r="I36" s="2919">
        <f t="shared" si="26"/>
        <v>0.48</v>
      </c>
      <c r="J36" s="2920"/>
      <c r="K36" s="2921"/>
      <c r="L36" s="2922">
        <f t="shared" si="27"/>
        <v>3.4999999999999996E-3</v>
      </c>
      <c r="M36" s="2922">
        <f>F36/100</f>
        <v>4.7999999999999996E-3</v>
      </c>
      <c r="N36" s="2922">
        <f t="shared" si="27"/>
        <v>9.7999999999999997E-3</v>
      </c>
      <c r="O36" s="2922"/>
      <c r="P36" s="2922">
        <f t="shared" si="33"/>
        <v>4.7999999999999996E-3</v>
      </c>
      <c r="Q36" s="2920"/>
      <c r="R36" s="2923"/>
      <c r="S36" s="2923">
        <v>1</v>
      </c>
      <c r="T36" s="2923">
        <v>1</v>
      </c>
      <c r="U36" s="2923">
        <v>1</v>
      </c>
      <c r="V36" s="2923"/>
      <c r="W36" s="2923">
        <f t="shared" si="34"/>
        <v>1</v>
      </c>
      <c r="X36" s="2920"/>
      <c r="Y36" s="2922"/>
      <c r="Z36" s="2930">
        <f t="shared" si="35"/>
        <v>3.5000000000000001E-3</v>
      </c>
      <c r="AA36" s="2931">
        <f t="shared" si="35"/>
        <v>4.7999999999999996E-3</v>
      </c>
      <c r="AB36" s="2922">
        <f t="shared" si="35"/>
        <v>9.7999999999999997E-3</v>
      </c>
      <c r="AC36" s="2932"/>
      <c r="AD36" s="2922">
        <f t="shared" si="35"/>
        <v>4.7999999999999996E-3</v>
      </c>
    </row>
    <row r="37" spans="1:30" ht="14.25" thickTop="1"/>
    <row r="38" spans="1:30">
      <c r="A38" s="3139"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960" t="s">
        <v>452</v>
      </c>
      <c r="C1" s="3960"/>
      <c r="D1" s="3960"/>
      <c r="E1" s="3960"/>
      <c r="F1" s="3960"/>
      <c r="G1" s="3956" t="s">
        <v>453</v>
      </c>
      <c r="H1" s="3956"/>
      <c r="I1" s="3956"/>
      <c r="J1" s="3956"/>
      <c r="K1" s="3956"/>
      <c r="L1" s="3956"/>
      <c r="N1" s="3956" t="s">
        <v>454</v>
      </c>
      <c r="O1" s="3956"/>
      <c r="P1" s="3956"/>
      <c r="Q1" s="3956"/>
      <c r="S1" s="3956" t="s">
        <v>455</v>
      </c>
      <c r="T1" s="3956"/>
      <c r="U1" s="3956"/>
      <c r="V1" s="3956"/>
      <c r="X1" s="3955" t="s">
        <v>456</v>
      </c>
      <c r="Y1" s="3956"/>
      <c r="Z1" s="3956"/>
      <c r="AA1" s="3956"/>
      <c r="AB1" s="3956"/>
      <c r="AD1" s="3955" t="s">
        <v>457</v>
      </c>
      <c r="AE1" s="3956"/>
      <c r="AF1" s="3956"/>
      <c r="AG1" s="3956"/>
      <c r="AH1" s="3956"/>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2111</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3363</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3360</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2112</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3361</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3362</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2434</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2311</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2310</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2309</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2307</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2306</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2127</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2125</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2124</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2123</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2121</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2120</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2122</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958">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2118</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958"/>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2117</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958"/>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2110</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965"/>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2108</v>
      </c>
      <c r="B25" s="2045">
        <v>439</v>
      </c>
      <c r="C25" s="2045">
        <v>327</v>
      </c>
      <c r="D25" s="2045">
        <f>C25</f>
        <v>327</v>
      </c>
      <c r="E25" s="2045">
        <v>627</v>
      </c>
      <c r="F25" s="2046">
        <v>283</v>
      </c>
      <c r="G25" s="3961">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2109</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958"/>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958"/>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965"/>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961">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958"/>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958"/>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959"/>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957">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958"/>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958"/>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959"/>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957">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958"/>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958"/>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959"/>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962">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963"/>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963"/>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964"/>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957">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958"/>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958"/>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959"/>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957">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958">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958">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959">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957">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958">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958">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959">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957">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958">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958">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959">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957">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958">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958">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959">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957">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958">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958">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959">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957">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958">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958">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959">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957">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958">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958">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959">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957">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958">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958">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959">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957">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958">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958">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959">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957">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958">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958">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959">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IW72"/>
  <sheetViews>
    <sheetView workbookViewId="0">
      <selection activeCell="E48" sqref="E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38867</v>
      </c>
      <c r="D1" s="1216" t="s">
        <v>603</v>
      </c>
      <c r="E1" s="1211">
        <f>'数据-取费表'!B22</f>
        <v>1</v>
      </c>
      <c r="F1" s="1216" t="s">
        <v>604</v>
      </c>
      <c r="G1" s="1212">
        <f ca="1">INDIRECT("d"&amp;$K$1)/100</f>
        <v>5.8499999999999996E-2</v>
      </c>
      <c r="H1" s="1216" t="s">
        <v>634</v>
      </c>
      <c r="I1" s="1212">
        <f ca="1">F4/100</f>
        <v>2.2499999999999999E-2</v>
      </c>
      <c r="J1" s="1217">
        <f>IF(C1&gt;C13,0,MATCH(C1,C$13:C$109,-1))+IF(SUMIF(C13:C109,C1,D13:D109)=0,13,12)</f>
        <v>48</v>
      </c>
      <c r="K1" s="1217">
        <f ca="1">MATCH(E1,C3:C7,1)+IF(SUMIF(C3:C7,E1,D3:D7)=0,2,1)</f>
        <v>4</v>
      </c>
      <c r="L1" s="1217">
        <f>IF(C1&gt;M13,0,MATCH(C1,M$13:M$100,-1))+IF(SUMIF(M13:M100,C1,N13:N100)=0,13,12)</f>
        <v>38</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5.4</v>
      </c>
      <c r="E3" s="1162">
        <v>0.5</v>
      </c>
      <c r="F3" s="1163">
        <f ca="1">INDIRECT("p"&amp;$L$1)</f>
        <v>2.0699999999999998</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5.85</v>
      </c>
      <c r="E4" s="1168">
        <v>1</v>
      </c>
      <c r="F4" s="1169">
        <f ca="1">INDIRECT("q"&amp;$L$1)</f>
        <v>2.25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6.03</v>
      </c>
      <c r="E5" s="1168">
        <v>2</v>
      </c>
      <c r="F5" s="1169">
        <f ca="1">INDIRECT("r"&amp;$L$1)</f>
        <v>2.7</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6.12</v>
      </c>
      <c r="E6" s="1168">
        <v>3</v>
      </c>
      <c r="F6" s="1169">
        <f ca="1">INDIRECT("s"&amp;$L$1)</f>
        <v>3.24</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6.39</v>
      </c>
      <c r="E7" s="1173">
        <v>5</v>
      </c>
      <c r="F7" s="1174">
        <f ca="1">INDIRECT("t"&amp;$L$1)</f>
        <v>3.6</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1">
        <v>44795</v>
      </c>
      <c r="D13" s="1200">
        <v>3.65</v>
      </c>
      <c r="E13" s="1200">
        <f>D13</f>
        <v>3.65</v>
      </c>
      <c r="F13" s="1200">
        <f>D13</f>
        <v>3.65</v>
      </c>
      <c r="G13" s="1200">
        <f>D13</f>
        <v>3.65</v>
      </c>
      <c r="H13" s="1200">
        <v>4.3</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44701</v>
      </c>
      <c r="D14" s="1204">
        <v>3.7</v>
      </c>
      <c r="E14" s="1204">
        <f>D14</f>
        <v>3.7</v>
      </c>
      <c r="F14" s="1204">
        <f>D14</f>
        <v>3.7</v>
      </c>
      <c r="G14" s="1204">
        <f>D14</f>
        <v>3.7</v>
      </c>
      <c r="H14" s="1204">
        <v>4.45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44581</v>
      </c>
      <c r="D15" s="1204">
        <v>3.7</v>
      </c>
      <c r="E15" s="1204">
        <f>D15</f>
        <v>3.7</v>
      </c>
      <c r="F15" s="1204">
        <f>D15</f>
        <v>3.7</v>
      </c>
      <c r="G15" s="1204">
        <f>D15</f>
        <v>3.7</v>
      </c>
      <c r="H15" s="1204">
        <v>4.5999999999999996</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204"/>
      <c r="C16" s="1205">
        <v>44550</v>
      </c>
      <c r="D16" s="1204">
        <v>3.8</v>
      </c>
      <c r="E16" s="1204">
        <f>D16</f>
        <v>3.8</v>
      </c>
      <c r="F16" s="1204">
        <f>D16</f>
        <v>3.8</v>
      </c>
      <c r="G16" s="1204">
        <f>D16</f>
        <v>3.8</v>
      </c>
      <c r="H16" s="1204">
        <v>4.6500000000000004</v>
      </c>
      <c r="I16" s="1204"/>
      <c r="J16" s="1200"/>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204"/>
      <c r="C17" s="1205">
        <v>43941</v>
      </c>
      <c r="D17" s="1204">
        <v>3.85</v>
      </c>
      <c r="E17" s="1204">
        <v>3.85</v>
      </c>
      <c r="F17" s="1204">
        <v>3.85</v>
      </c>
      <c r="G17" s="1204">
        <v>3.85</v>
      </c>
      <c r="H17" s="1204">
        <v>4.6500000000000004</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43881</v>
      </c>
      <c r="D18" s="1204">
        <v>4.05</v>
      </c>
      <c r="E18" s="1204">
        <v>4.05</v>
      </c>
      <c r="F18" s="1204">
        <v>4.05</v>
      </c>
      <c r="G18" s="1204">
        <v>4.05</v>
      </c>
      <c r="H18" s="1204">
        <v>4.75</v>
      </c>
      <c r="I18" s="1204"/>
      <c r="J18" s="1204"/>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8"/>
      <c r="B19" s="1204"/>
      <c r="C19" s="1205">
        <v>43789</v>
      </c>
      <c r="D19" s="1204">
        <v>4.1500000000000004</v>
      </c>
      <c r="E19" s="1204">
        <v>4.1500000000000004</v>
      </c>
      <c r="F19" s="1204">
        <v>4.1500000000000004</v>
      </c>
      <c r="G19" s="1204">
        <v>4.1500000000000004</v>
      </c>
      <c r="H19" s="1204">
        <v>4.8</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43728</v>
      </c>
      <c r="D20" s="1204">
        <v>4.2</v>
      </c>
      <c r="E20" s="1204">
        <v>4.2</v>
      </c>
      <c r="F20" s="1204">
        <v>4.2</v>
      </c>
      <c r="G20" s="1204">
        <v>4.2</v>
      </c>
      <c r="H20" s="1204">
        <v>4.8499999999999996</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t="s">
        <v>2308</v>
      </c>
      <c r="C21" s="1206">
        <v>43697</v>
      </c>
      <c r="D21" s="2570">
        <v>4.25</v>
      </c>
      <c r="E21" s="2570">
        <v>4.25</v>
      </c>
      <c r="F21" s="2570">
        <v>4.25</v>
      </c>
      <c r="G21" s="2570">
        <v>4.25</v>
      </c>
      <c r="H21" s="2570">
        <v>4.8499999999999996</v>
      </c>
      <c r="I21" s="2570"/>
      <c r="J21" s="2570"/>
      <c r="K21" s="1187"/>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2572"/>
      <c r="B22" s="2573"/>
      <c r="C22" s="2574">
        <v>42301</v>
      </c>
      <c r="D22" s="2575">
        <v>4.3499999999999996</v>
      </c>
      <c r="E22" s="2575">
        <v>4.3499999999999996</v>
      </c>
      <c r="F22" s="2575">
        <v>4.75</v>
      </c>
      <c r="G22" s="2575">
        <v>4.75</v>
      </c>
      <c r="H22" s="2575">
        <v>4.9000000000000004</v>
      </c>
      <c r="I22" s="2575"/>
      <c r="J22" s="2575"/>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42242</v>
      </c>
      <c r="D23" s="1204">
        <v>4.5999999999999996</v>
      </c>
      <c r="E23" s="1204">
        <v>4.5999999999999996</v>
      </c>
      <c r="F23" s="1204">
        <v>5</v>
      </c>
      <c r="G23" s="1204">
        <v>5</v>
      </c>
      <c r="H23" s="1204">
        <v>5.15</v>
      </c>
      <c r="I23" s="1204">
        <v>2.75</v>
      </c>
      <c r="J23" s="1204">
        <v>3.25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42183</v>
      </c>
      <c r="D24" s="1204">
        <v>4.8499999999999996</v>
      </c>
      <c r="E24" s="1204">
        <v>4.8499999999999996</v>
      </c>
      <c r="F24" s="1204">
        <v>5.25</v>
      </c>
      <c r="G24" s="1204">
        <v>5.25</v>
      </c>
      <c r="H24" s="1204">
        <v>5.4</v>
      </c>
      <c r="I24" s="1204">
        <v>3</v>
      </c>
      <c r="J24" s="1204">
        <v>3.5</v>
      </c>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42135</v>
      </c>
      <c r="D25" s="1204">
        <v>5.0999999999999996</v>
      </c>
      <c r="E25" s="1204">
        <v>5.0999999999999996</v>
      </c>
      <c r="F25" s="1204">
        <v>5.5</v>
      </c>
      <c r="G25" s="1204">
        <v>5.5</v>
      </c>
      <c r="H25" s="1204">
        <v>5.65</v>
      </c>
      <c r="I25" s="1204">
        <v>3.25</v>
      </c>
      <c r="J25" s="1204">
        <v>3.75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42064</v>
      </c>
      <c r="D26" s="1204">
        <v>5.35</v>
      </c>
      <c r="E26" s="1204">
        <v>5.35</v>
      </c>
      <c r="F26" s="1204">
        <v>5.75</v>
      </c>
      <c r="G26" s="1204">
        <v>5.75</v>
      </c>
      <c r="H26" s="1204">
        <v>5.9</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41965</v>
      </c>
      <c r="D27" s="1204">
        <v>5.6</v>
      </c>
      <c r="E27" s="1204">
        <v>5.6</v>
      </c>
      <c r="F27" s="1204">
        <v>6</v>
      </c>
      <c r="G27" s="1204">
        <v>6</v>
      </c>
      <c r="H27" s="1204">
        <v>6.15</v>
      </c>
      <c r="I27" s="1204"/>
      <c r="J27" s="120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41096</v>
      </c>
      <c r="D28" s="1204">
        <v>5.6</v>
      </c>
      <c r="E28" s="1204">
        <v>6</v>
      </c>
      <c r="F28" s="1204">
        <v>6.15</v>
      </c>
      <c r="G28" s="1204">
        <v>6.4</v>
      </c>
      <c r="H28" s="1204">
        <v>6.55</v>
      </c>
      <c r="I28" s="1204">
        <v>4</v>
      </c>
      <c r="J28" s="1204">
        <v>4.5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41068</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40731</v>
      </c>
      <c r="D30" s="1204">
        <v>6.1</v>
      </c>
      <c r="E30" s="1204">
        <v>6.56</v>
      </c>
      <c r="F30" s="1204">
        <v>6.65</v>
      </c>
      <c r="G30" s="1204">
        <v>6.9</v>
      </c>
      <c r="H30" s="1204">
        <v>7.05</v>
      </c>
      <c r="I30" s="1204">
        <v>4.45</v>
      </c>
      <c r="J30" s="1204">
        <v>4.9000000000000004</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40639</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40583</v>
      </c>
      <c r="D32" s="1204">
        <v>5.6</v>
      </c>
      <c r="E32" s="1204">
        <v>6.06</v>
      </c>
      <c r="F32" s="1204">
        <v>6.1</v>
      </c>
      <c r="G32" s="1204">
        <v>6.45</v>
      </c>
      <c r="H32" s="1204">
        <v>6.6</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40538</v>
      </c>
      <c r="D33" s="1204">
        <v>5.35</v>
      </c>
      <c r="E33" s="1204">
        <v>5.81</v>
      </c>
      <c r="F33" s="1204">
        <v>5.85</v>
      </c>
      <c r="G33" s="1204">
        <v>6.22</v>
      </c>
      <c r="H33" s="1204">
        <v>6.4</v>
      </c>
      <c r="I33" s="1204">
        <v>3.75</v>
      </c>
      <c r="J33" s="1204">
        <v>4.3</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40471</v>
      </c>
      <c r="D34" s="1204">
        <v>5.0999999999999996</v>
      </c>
      <c r="E34" s="1204">
        <v>5.56</v>
      </c>
      <c r="F34" s="1204">
        <v>5.6</v>
      </c>
      <c r="G34" s="1204">
        <v>5.96</v>
      </c>
      <c r="H34" s="1204">
        <v>6.14</v>
      </c>
      <c r="I34" s="1204">
        <v>3.5</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39805</v>
      </c>
      <c r="D35" s="1204">
        <v>4.8600000000000003</v>
      </c>
      <c r="E35" s="1204">
        <v>5.31</v>
      </c>
      <c r="F35" s="1204">
        <v>5.4</v>
      </c>
      <c r="G35" s="1204">
        <v>5.76</v>
      </c>
      <c r="H35" s="1204">
        <v>5.94</v>
      </c>
      <c r="I35" s="1204">
        <v>3.33</v>
      </c>
      <c r="J35" s="1204">
        <v>3.87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39779</v>
      </c>
      <c r="D36" s="1204">
        <v>5.04</v>
      </c>
      <c r="E36" s="1204">
        <v>5.58</v>
      </c>
      <c r="F36" s="1204">
        <v>5.67</v>
      </c>
      <c r="G36" s="1204">
        <v>5.94</v>
      </c>
      <c r="H36" s="1204">
        <v>6.12</v>
      </c>
      <c r="I36" s="1204">
        <v>3.51</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39751</v>
      </c>
      <c r="D37" s="1204">
        <v>6.03</v>
      </c>
      <c r="E37" s="1204">
        <v>6.66</v>
      </c>
      <c r="F37" s="1204">
        <v>6.75</v>
      </c>
      <c r="G37" s="1204">
        <v>7.02</v>
      </c>
      <c r="H37" s="1204">
        <v>7.2</v>
      </c>
      <c r="I37" s="1204">
        <v>4.05</v>
      </c>
      <c r="J37" s="1204">
        <v>4.59</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6">
        <v>39748</v>
      </c>
      <c r="D38" s="1204">
        <v>6.12</v>
      </c>
      <c r="E38" s="1204">
        <v>6.93</v>
      </c>
      <c r="F38" s="1204">
        <v>7.02</v>
      </c>
      <c r="G38" s="1204">
        <v>7.29</v>
      </c>
      <c r="H38" s="1204">
        <v>7.47</v>
      </c>
      <c r="I38" s="1204">
        <v>4.05</v>
      </c>
      <c r="J38" s="1204">
        <v>4.59</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39730</v>
      </c>
      <c r="D39" s="1204">
        <v>6.12</v>
      </c>
      <c r="E39" s="1204">
        <v>6.93</v>
      </c>
      <c r="F39" s="1204">
        <v>7.02</v>
      </c>
      <c r="G39" s="1204">
        <v>7.29</v>
      </c>
      <c r="H39" s="1204">
        <v>7.47</v>
      </c>
      <c r="I39" s="1204">
        <v>4.32</v>
      </c>
      <c r="J39" s="1204">
        <v>4.8600000000000003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39707</v>
      </c>
      <c r="D40" s="1204">
        <v>6.21</v>
      </c>
      <c r="E40" s="1204">
        <v>7.2</v>
      </c>
      <c r="F40" s="1204">
        <v>7.29</v>
      </c>
      <c r="G40" s="1204">
        <v>7.56</v>
      </c>
      <c r="H40" s="1204">
        <v>7.74</v>
      </c>
      <c r="I40" s="1204">
        <v>4.59</v>
      </c>
      <c r="J40" s="1204">
        <v>5.13</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39437</v>
      </c>
      <c r="D41" s="1204">
        <v>6.57</v>
      </c>
      <c r="E41" s="1204">
        <v>7.47</v>
      </c>
      <c r="F41" s="1204">
        <v>7.56</v>
      </c>
      <c r="G41" s="1204">
        <v>7.74</v>
      </c>
      <c r="H41" s="1204">
        <v>7.83</v>
      </c>
      <c r="I41" s="1204">
        <v>4.7699999999999996</v>
      </c>
      <c r="J41" s="1204">
        <v>5.22</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39340</v>
      </c>
      <c r="D42" s="1204">
        <v>6.48</v>
      </c>
      <c r="E42" s="1204">
        <v>7.29</v>
      </c>
      <c r="F42" s="1204">
        <v>7.47</v>
      </c>
      <c r="G42" s="1204">
        <v>7.65</v>
      </c>
      <c r="H42" s="1204">
        <v>7.83</v>
      </c>
      <c r="I42" s="1204">
        <v>4.7699999999999996</v>
      </c>
      <c r="J42" s="1204">
        <v>5.22</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39316</v>
      </c>
      <c r="D43" s="1204">
        <v>6.21</v>
      </c>
      <c r="E43" s="1204">
        <v>7.02</v>
      </c>
      <c r="F43" s="1204">
        <v>7.2</v>
      </c>
      <c r="G43" s="1204">
        <v>7.38</v>
      </c>
      <c r="H43" s="1204">
        <v>7.56</v>
      </c>
      <c r="I43" s="1204">
        <v>4.59</v>
      </c>
      <c r="J43" s="1204">
        <v>5.04</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39284</v>
      </c>
      <c r="D44" s="1204">
        <v>6.03</v>
      </c>
      <c r="E44" s="1204">
        <v>6.84</v>
      </c>
      <c r="F44" s="1204">
        <v>7.02</v>
      </c>
      <c r="G44" s="1204">
        <v>7.2</v>
      </c>
      <c r="H44" s="1204">
        <v>7.38</v>
      </c>
      <c r="I44" s="1204">
        <v>4.5</v>
      </c>
      <c r="J44" s="1204">
        <v>4.95</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39221</v>
      </c>
      <c r="D45" s="1204">
        <v>5.85</v>
      </c>
      <c r="E45" s="1204">
        <v>6.57</v>
      </c>
      <c r="F45" s="1204">
        <v>6.75</v>
      </c>
      <c r="G45" s="1204">
        <v>6.93</v>
      </c>
      <c r="H45" s="1204">
        <v>7.2</v>
      </c>
      <c r="I45" s="1204">
        <v>4.41</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39159</v>
      </c>
      <c r="D46" s="1204">
        <v>5.67</v>
      </c>
      <c r="E46" s="1204">
        <v>6.39</v>
      </c>
      <c r="F46" s="1204">
        <v>6.57</v>
      </c>
      <c r="G46" s="1204">
        <v>6.75</v>
      </c>
      <c r="H46" s="1204">
        <v>7.11</v>
      </c>
      <c r="I46" s="1204">
        <v>4.32</v>
      </c>
      <c r="J46" s="1204">
        <v>4.7699999999999996</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38948</v>
      </c>
      <c r="D47" s="1204">
        <v>5.58</v>
      </c>
      <c r="E47" s="1204">
        <v>6.12</v>
      </c>
      <c r="F47" s="1204">
        <v>6.3</v>
      </c>
      <c r="G47" s="1204">
        <v>6.48</v>
      </c>
      <c r="H47" s="1204">
        <v>6.84</v>
      </c>
      <c r="I47" s="1204">
        <v>4.1399999999999997</v>
      </c>
      <c r="J47" s="1204">
        <v>4.59</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38835</v>
      </c>
      <c r="D48" s="1204">
        <v>5.4</v>
      </c>
      <c r="E48" s="1204">
        <v>5.85</v>
      </c>
      <c r="F48" s="1204">
        <v>6.03</v>
      </c>
      <c r="G48" s="1204">
        <v>6.12</v>
      </c>
      <c r="H48" s="1204">
        <v>6.39</v>
      </c>
      <c r="I48" s="1204">
        <v>4.1399999999999997</v>
      </c>
      <c r="J48" s="1204">
        <v>4.59</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38428</v>
      </c>
      <c r="D49" s="1204">
        <v>5.22</v>
      </c>
      <c r="E49" s="1204">
        <v>5.58</v>
      </c>
      <c r="F49" s="1204">
        <v>5.76</v>
      </c>
      <c r="G49" s="1204">
        <v>5.85</v>
      </c>
      <c r="H49" s="1204">
        <v>6.12</v>
      </c>
      <c r="I49" s="1204">
        <v>3.96</v>
      </c>
      <c r="J49" s="1204">
        <v>4.41</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38289</v>
      </c>
      <c r="D50" s="1204">
        <v>5.22</v>
      </c>
      <c r="E50" s="1204">
        <v>5.58</v>
      </c>
      <c r="F50" s="1204">
        <v>5.76</v>
      </c>
      <c r="G50" s="1204">
        <v>5.85</v>
      </c>
      <c r="H50" s="1204">
        <v>6.12</v>
      </c>
      <c r="I50" s="1204">
        <v>3.78</v>
      </c>
      <c r="J50" s="1204">
        <v>4.2300000000000004</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37308</v>
      </c>
      <c r="D51" s="1204">
        <v>5.04</v>
      </c>
      <c r="E51" s="1204">
        <v>5.31</v>
      </c>
      <c r="F51" s="1204">
        <v>5.49</v>
      </c>
      <c r="G51" s="1204">
        <v>5.58</v>
      </c>
      <c r="H51" s="1204">
        <v>5.76</v>
      </c>
      <c r="I51" s="1204">
        <v>3.6</v>
      </c>
      <c r="J51" s="1204">
        <v>4.05</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36321</v>
      </c>
      <c r="D52" s="1204">
        <v>5.58</v>
      </c>
      <c r="E52" s="1204">
        <v>5.85</v>
      </c>
      <c r="F52" s="1204">
        <v>5.94</v>
      </c>
      <c r="G52" s="1204">
        <v>6.03</v>
      </c>
      <c r="H52" s="1204">
        <v>6.21</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36136</v>
      </c>
      <c r="D53" s="1204">
        <v>6.12</v>
      </c>
      <c r="E53" s="1204">
        <v>6.39</v>
      </c>
      <c r="F53" s="1204">
        <v>6.66</v>
      </c>
      <c r="G53" s="1204">
        <v>7.2</v>
      </c>
      <c r="H53" s="1204">
        <v>7.56</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35977</v>
      </c>
      <c r="D54" s="1204">
        <v>6.57</v>
      </c>
      <c r="E54" s="1204">
        <v>6.93</v>
      </c>
      <c r="F54" s="1204">
        <v>7.11</v>
      </c>
      <c r="G54" s="1204">
        <v>7.65</v>
      </c>
      <c r="H54" s="1204">
        <v>8.01</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35879</v>
      </c>
      <c r="D55" s="1204">
        <v>7.02</v>
      </c>
      <c r="E55" s="1204">
        <v>7.92</v>
      </c>
      <c r="F55" s="1204">
        <v>9</v>
      </c>
      <c r="G55" s="1204">
        <v>9.7200000000000006</v>
      </c>
      <c r="H55" s="1204">
        <v>10.35</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35726</v>
      </c>
      <c r="D56" s="1204">
        <v>7.65</v>
      </c>
      <c r="E56" s="1204">
        <v>8.64</v>
      </c>
      <c r="F56" s="1204">
        <v>9.36</v>
      </c>
      <c r="G56" s="1204">
        <v>9.9</v>
      </c>
      <c r="H56" s="1204">
        <v>10.53</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35300</v>
      </c>
      <c r="D57" s="1204">
        <v>9.18</v>
      </c>
      <c r="E57" s="1204">
        <v>10.08</v>
      </c>
      <c r="F57" s="1204">
        <v>10.98</v>
      </c>
      <c r="G57" s="1204">
        <v>11.7</v>
      </c>
      <c r="H57" s="1204">
        <v>12.42</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35186</v>
      </c>
      <c r="D58" s="1204">
        <v>9.7200000000000006</v>
      </c>
      <c r="E58" s="1204">
        <v>10.98</v>
      </c>
      <c r="F58" s="1204">
        <v>13.14</v>
      </c>
      <c r="G58" s="1204">
        <v>14.94</v>
      </c>
      <c r="H58" s="1204">
        <v>15.12</v>
      </c>
      <c r="I58" s="1204">
        <v>0</v>
      </c>
      <c r="J58" s="1204">
        <v>0</v>
      </c>
    </row>
    <row r="59" spans="2:26">
      <c r="B59" s="1204"/>
      <c r="C59" s="1205">
        <v>34881</v>
      </c>
      <c r="D59" s="1204">
        <v>10.08</v>
      </c>
      <c r="E59" s="1204">
        <v>12.06</v>
      </c>
      <c r="F59" s="1204">
        <v>13.5</v>
      </c>
      <c r="G59" s="1204">
        <v>15.12</v>
      </c>
      <c r="H59" s="1204">
        <v>15.3</v>
      </c>
      <c r="I59" s="1204">
        <v>0</v>
      </c>
      <c r="J59" s="1204">
        <v>0</v>
      </c>
    </row>
    <row r="60" spans="2:26">
      <c r="B60" s="1204"/>
      <c r="C60" s="1205">
        <v>34700</v>
      </c>
      <c r="D60" s="1204">
        <v>9</v>
      </c>
      <c r="E60" s="1204">
        <v>10.98</v>
      </c>
      <c r="F60" s="1204">
        <v>12.96</v>
      </c>
      <c r="G60" s="1204">
        <v>14.58</v>
      </c>
      <c r="H60" s="1204">
        <v>14.76</v>
      </c>
      <c r="I60" s="1204">
        <v>0</v>
      </c>
      <c r="J60" s="1204">
        <v>0</v>
      </c>
    </row>
    <row r="61" spans="2:26">
      <c r="B61" s="1204"/>
      <c r="C61" s="1205">
        <v>34161</v>
      </c>
      <c r="D61" s="1204">
        <v>9</v>
      </c>
      <c r="E61" s="1204">
        <v>10.98</v>
      </c>
      <c r="F61" s="1204">
        <v>12.24</v>
      </c>
      <c r="G61" s="1204">
        <v>13.86</v>
      </c>
      <c r="H61" s="1204">
        <v>14.04</v>
      </c>
      <c r="I61" s="1204">
        <v>0</v>
      </c>
      <c r="J61" s="1204">
        <v>0</v>
      </c>
    </row>
    <row r="62" spans="2:26">
      <c r="B62" s="1204"/>
      <c r="C62" s="1205">
        <v>34104</v>
      </c>
      <c r="D62" s="1204">
        <v>8.82</v>
      </c>
      <c r="E62" s="1204">
        <v>9.36</v>
      </c>
      <c r="F62" s="1204">
        <v>10.8</v>
      </c>
      <c r="G62" s="1204">
        <v>12.06</v>
      </c>
      <c r="H62" s="1204">
        <v>12.24</v>
      </c>
      <c r="I62" s="1204">
        <v>0</v>
      </c>
      <c r="J62" s="1204">
        <v>0</v>
      </c>
    </row>
    <row r="63" spans="2:26">
      <c r="B63" s="1204"/>
      <c r="C63" s="1205">
        <v>33349</v>
      </c>
      <c r="D63" s="1204">
        <v>8.1</v>
      </c>
      <c r="E63" s="1204">
        <v>8.64</v>
      </c>
      <c r="F63" s="1204">
        <v>9</v>
      </c>
      <c r="G63" s="1204">
        <v>9.5399999999999991</v>
      </c>
      <c r="H63" s="1204">
        <v>9.7200000000000006</v>
      </c>
      <c r="I63" s="1204">
        <v>0</v>
      </c>
      <c r="J63" s="1204">
        <v>0</v>
      </c>
    </row>
    <row r="64" spans="2:26">
      <c r="B64" s="1204"/>
      <c r="C64" s="1205">
        <v>33318</v>
      </c>
      <c r="D64" s="1204">
        <v>9</v>
      </c>
      <c r="E64" s="1204">
        <v>10.08</v>
      </c>
      <c r="F64" s="1204">
        <v>10.8</v>
      </c>
      <c r="G64" s="1204">
        <v>11.52</v>
      </c>
      <c r="H64" s="1204">
        <v>11.88</v>
      </c>
      <c r="I64" s="1204" t="s">
        <v>633</v>
      </c>
      <c r="J64" s="1204" t="s">
        <v>633</v>
      </c>
    </row>
    <row r="65" spans="2:10">
      <c r="B65" s="1204"/>
      <c r="C65" s="1205">
        <v>33106</v>
      </c>
      <c r="D65" s="1204">
        <v>8.64</v>
      </c>
      <c r="E65" s="1204">
        <v>9.36</v>
      </c>
      <c r="F65" s="1204">
        <v>10.08</v>
      </c>
      <c r="G65" s="1204">
        <v>10.8</v>
      </c>
      <c r="H65" s="1204">
        <v>11.16</v>
      </c>
      <c r="I65" s="1204">
        <v>0</v>
      </c>
      <c r="J65" s="1204">
        <v>0</v>
      </c>
    </row>
    <row r="66" spans="2:10">
      <c r="B66" s="1204"/>
      <c r="C66" s="1205">
        <v>32540</v>
      </c>
      <c r="D66" s="1204">
        <v>11.34</v>
      </c>
      <c r="E66" s="1204">
        <v>11.34</v>
      </c>
      <c r="F66" s="1204">
        <v>12.78</v>
      </c>
      <c r="G66" s="1204">
        <v>14.4</v>
      </c>
      <c r="H66" s="1204">
        <v>19.260000000000002</v>
      </c>
      <c r="I66" s="1204">
        <v>0</v>
      </c>
      <c r="J66" s="1204">
        <v>0</v>
      </c>
    </row>
    <row r="67" spans="2:10">
      <c r="B67" s="1204"/>
      <c r="C67" s="1205"/>
      <c r="D67" s="1204"/>
      <c r="E67" s="1204"/>
      <c r="F67" s="1204"/>
      <c r="G67" s="1204"/>
      <c r="H67" s="1204"/>
      <c r="I67" s="1204"/>
      <c r="J67" s="1204"/>
    </row>
    <row r="68" spans="2:10">
      <c r="B68" s="1207"/>
      <c r="C68" s="1208"/>
      <c r="D68" s="1207"/>
      <c r="E68" s="1207"/>
      <c r="F68" s="1207"/>
      <c r="G68" s="1207"/>
      <c r="H68" s="1207"/>
      <c r="I68" s="1207"/>
      <c r="J68" s="1207"/>
    </row>
    <row r="69" spans="2:10">
      <c r="B69" s="1207"/>
      <c r="C69" s="1208"/>
      <c r="D69" s="1207"/>
      <c r="E69" s="1207"/>
      <c r="F69" s="1207"/>
      <c r="G69" s="1207"/>
      <c r="H69" s="1207"/>
      <c r="I69" s="1207"/>
      <c r="J69" s="1207"/>
    </row>
    <row r="70" spans="2:10">
      <c r="B70" s="1207"/>
      <c r="C70" s="1208"/>
      <c r="D70" s="1207"/>
      <c r="E70" s="1207"/>
      <c r="F70" s="1207"/>
      <c r="G70" s="1207"/>
      <c r="H70" s="1207"/>
      <c r="I70" s="1207"/>
      <c r="J70" s="1207"/>
    </row>
    <row r="71" spans="2:10">
      <c r="B71" s="1158"/>
      <c r="C71" s="1158"/>
      <c r="D71" s="1158"/>
      <c r="E71" s="1158"/>
      <c r="F71" s="1158"/>
      <c r="G71" s="1158"/>
      <c r="H71" s="1158"/>
      <c r="I71" s="1158"/>
      <c r="J71" s="1158"/>
    </row>
    <row r="72" spans="2:10">
      <c r="B72" s="1158"/>
      <c r="C72" s="1158"/>
      <c r="D72" s="1158"/>
      <c r="E72" s="1158"/>
      <c r="F72" s="1158"/>
      <c r="G72" s="1158"/>
      <c r="H72" s="1158"/>
      <c r="I72" s="1158"/>
      <c r="J72"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622" t="str">
        <f>IF(项目基本情况!B9="房地产市场价值","估价结果一览表","结果表-2")</f>
        <v>结果表-2</v>
      </c>
      <c r="B1" s="3622"/>
      <c r="C1" s="3622"/>
      <c r="D1" s="3622"/>
      <c r="E1" s="3622"/>
      <c r="F1" s="3622"/>
      <c r="G1" s="3622"/>
      <c r="H1" s="3622"/>
      <c r="I1" s="3622"/>
    </row>
    <row r="2" spans="1:9" ht="30" customHeight="1" thickTop="1">
      <c r="A2" s="3623" t="s">
        <v>928</v>
      </c>
      <c r="B2" s="3623" t="s">
        <v>929</v>
      </c>
      <c r="C2" s="3623" t="s">
        <v>930</v>
      </c>
      <c r="D2" s="3623" t="str">
        <f>结果表!D116</f>
        <v>出让国有建设用地使用权价值</v>
      </c>
      <c r="E2" s="3623"/>
      <c r="F2" s="3623" t="str">
        <f>结果表!F116</f>
        <v>在建建筑物价值</v>
      </c>
      <c r="G2" s="3623"/>
      <c r="H2" s="3623" t="str">
        <f>IF(项目基本情况!B9="房地产市场价值","房地产市场价值","房地产价值")</f>
        <v>房地产价值</v>
      </c>
      <c r="I2" s="3623"/>
    </row>
    <row r="3" spans="1:9" ht="15">
      <c r="A3" s="3624"/>
      <c r="B3" s="3624"/>
      <c r="C3" s="3624"/>
      <c r="D3" s="801" t="s">
        <v>925</v>
      </c>
      <c r="E3" s="801" t="s">
        <v>931</v>
      </c>
      <c r="F3" s="801" t="s">
        <v>925</v>
      </c>
      <c r="G3" s="801" t="s">
        <v>926</v>
      </c>
      <c r="H3" s="801" t="s">
        <v>925</v>
      </c>
      <c r="I3" s="801" t="s">
        <v>926</v>
      </c>
    </row>
    <row r="4" spans="1:9" ht="15">
      <c r="A4" s="1402" t="str">
        <f>项目基本情况!S2</f>
        <v>北京市房地产</v>
      </c>
      <c r="B4" s="801">
        <f>项目基本情况!C17</f>
        <v>204.54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624" t="s">
        <v>927</v>
      </c>
      <c r="B5" s="3624"/>
      <c r="C5" s="3624"/>
      <c r="D5" s="3624" t="e">
        <f ca="1">结果表!D119</f>
        <v>#REF!</v>
      </c>
      <c r="E5" s="3624"/>
      <c r="F5" s="3624" t="e">
        <f ca="1">结果表!F119</f>
        <v>#REF!</v>
      </c>
      <c r="G5" s="3624"/>
      <c r="H5" s="3624" t="e">
        <f ca="1">结果表!H119</f>
        <v>#REF!</v>
      </c>
      <c r="I5" s="3624"/>
    </row>
    <row r="6" spans="1:9" ht="15.75">
      <c r="A6" s="3625" t="str">
        <f>结果表!A120</f>
        <v>估价师知悉的法定优先受偿款</v>
      </c>
      <c r="B6" s="3625"/>
      <c r="C6" s="3625"/>
      <c r="D6" s="3625">
        <f>结果表!D120</f>
        <v>0</v>
      </c>
      <c r="E6" s="3625"/>
      <c r="F6" s="3625"/>
      <c r="G6" s="3625"/>
      <c r="H6" s="3625"/>
      <c r="I6" s="3625"/>
    </row>
    <row r="7" spans="1:9" ht="15">
      <c r="A7" s="3624" t="s">
        <v>927</v>
      </c>
      <c r="B7" s="3624"/>
      <c r="C7" s="3624"/>
      <c r="D7" s="3626" t="str">
        <f>结果表!D121</f>
        <v>零元整</v>
      </c>
      <c r="E7" s="3627"/>
      <c r="F7" s="3627"/>
      <c r="G7" s="3627"/>
      <c r="H7" s="3627"/>
      <c r="I7" s="3628"/>
    </row>
    <row r="8" spans="1:9" ht="15.75">
      <c r="A8" s="3625" t="str">
        <f>结果表!A122</f>
        <v>房地产抵押价值</v>
      </c>
      <c r="B8" s="3625"/>
      <c r="C8" s="3625"/>
      <c r="D8" s="3625" t="e">
        <f ca="1">结果表!D122</f>
        <v>#REF!</v>
      </c>
      <c r="E8" s="3625"/>
      <c r="F8" s="3625"/>
      <c r="G8" s="3625"/>
      <c r="H8" s="3625"/>
      <c r="I8" s="3625"/>
    </row>
    <row r="9" spans="1:9" ht="15">
      <c r="A9" s="3624" t="s">
        <v>927</v>
      </c>
      <c r="B9" s="3624"/>
      <c r="C9" s="3624"/>
      <c r="D9" s="3624" t="e">
        <f ca="1">结果表!D123</f>
        <v>#REF!</v>
      </c>
      <c r="E9" s="3624"/>
      <c r="F9" s="3624"/>
      <c r="G9" s="3624"/>
      <c r="H9" s="3624"/>
      <c r="I9" s="3624"/>
    </row>
    <row r="10" spans="1:9" ht="15.75">
      <c r="A10" s="3625" t="str">
        <f>结果表!A124</f>
        <v/>
      </c>
      <c r="B10" s="3625"/>
      <c r="C10" s="3625"/>
      <c r="D10" s="3625" t="str">
        <f>结果表!D124</f>
        <v>——</v>
      </c>
      <c r="E10" s="3625"/>
      <c r="F10" s="3625"/>
      <c r="G10" s="3625"/>
      <c r="H10" s="3625"/>
      <c r="I10" s="3625"/>
    </row>
    <row r="11" spans="1:9" ht="15">
      <c r="A11" s="3624" t="s">
        <v>927</v>
      </c>
      <c r="B11" s="3624"/>
      <c r="C11" s="3624"/>
      <c r="D11" s="3624" t="e">
        <f>结果表!D125</f>
        <v>#VALUE!</v>
      </c>
      <c r="E11" s="3624"/>
      <c r="F11" s="3624"/>
      <c r="G11" s="3624"/>
      <c r="H11" s="3624"/>
      <c r="I11" s="3624"/>
    </row>
    <row r="12" spans="1:9" ht="15.75">
      <c r="A12" s="3625" t="str">
        <f>结果表!A126</f>
        <v/>
      </c>
      <c r="B12" s="3625"/>
      <c r="C12" s="3625"/>
      <c r="D12" s="3625" t="str">
        <f>结果表!D126</f>
        <v>——</v>
      </c>
      <c r="E12" s="3625"/>
      <c r="F12" s="3625"/>
      <c r="G12" s="3625"/>
      <c r="H12" s="3625"/>
      <c r="I12" s="3625"/>
    </row>
    <row r="13" spans="1:9" ht="15.75" thickBot="1">
      <c r="A13" s="3629" t="s">
        <v>927</v>
      </c>
      <c r="B13" s="3629"/>
      <c r="C13" s="3629"/>
      <c r="D13" s="3629" t="e">
        <f>结果表!D127</f>
        <v>#VALUE!</v>
      </c>
      <c r="E13" s="3629"/>
      <c r="F13" s="3629"/>
      <c r="G13" s="3629"/>
      <c r="H13" s="3629"/>
      <c r="I13" s="3629"/>
    </row>
    <row r="14" spans="1:9" ht="15" thickTop="1">
      <c r="A14" s="3630" t="s">
        <v>932</v>
      </c>
      <c r="B14" s="3630"/>
      <c r="C14" s="3630"/>
      <c r="D14" s="3630"/>
      <c r="E14" s="3630"/>
      <c r="F14" s="3630"/>
      <c r="G14" s="3630"/>
      <c r="H14" s="3630"/>
      <c r="I14" s="3630"/>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631" t="s">
        <v>949</v>
      </c>
      <c r="B1" s="3631"/>
      <c r="C1" s="3631"/>
      <c r="D1" s="3631"/>
    </row>
    <row r="2" spans="1:4" ht="18">
      <c r="A2" s="3632" t="s">
        <v>933</v>
      </c>
      <c r="B2" s="3632"/>
      <c r="C2" s="3632"/>
      <c r="D2" s="3632"/>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632" t="s">
        <v>939</v>
      </c>
      <c r="B6" s="3632"/>
      <c r="C6" s="3632"/>
      <c r="D6" s="3632"/>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633" t="s">
        <v>942</v>
      </c>
      <c r="B11" s="3634"/>
      <c r="C11" s="3634"/>
      <c r="D11" s="3634"/>
    </row>
    <row r="12" spans="1:4" ht="15.75">
      <c r="A12" s="36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5"/>
      <c r="C12" s="3635"/>
      <c r="D12" s="3635"/>
    </row>
    <row r="13" spans="1:4" ht="30" customHeight="1">
      <c r="A13" s="3634" t="str">
        <f>IF(项目基本情况!B8="抵押","3.抵押双方在办理抵押登记手续时，应使用本公司出具的正式《房地产评估报告》，特提醒报告使用者注意。","——")</f>
        <v>——</v>
      </c>
      <c r="B13" s="3635"/>
      <c r="C13" s="3635"/>
      <c r="D13" s="3635"/>
    </row>
    <row r="14" spans="1:4" ht="15.75" customHeight="1">
      <c r="A14" s="3634" t="str">
        <f>IF(项目基本情况!B8="抵押","4.本次评估估价师所知悉的法定优先受偿款情况说明如下：","——")</f>
        <v>——</v>
      </c>
      <c r="B14" s="3635"/>
      <c r="C14" s="3635"/>
      <c r="D14" s="3635"/>
    </row>
    <row r="15" spans="1:4" ht="42" customHeight="1">
      <c r="A15" s="3634" t="str">
        <f>IF(项目基本情况!B8="抵押","（1）"&amp;CONCATENATE(项目基本情况!L20,项目基本情况!L21,项目基本情况!L22),"——")</f>
        <v>——</v>
      </c>
      <c r="B15" s="3634"/>
      <c r="C15" s="3634"/>
      <c r="D15" s="3634"/>
    </row>
    <row r="16" spans="1:4" ht="30" customHeight="1">
      <c r="A16" s="3637" t="s">
        <v>943</v>
      </c>
      <c r="B16" s="3637"/>
      <c r="C16" s="3637"/>
      <c r="D16" s="3637"/>
    </row>
    <row r="17" spans="1:4" ht="144" customHeight="1">
      <c r="A17" s="3637" t="s">
        <v>944</v>
      </c>
      <c r="B17" s="3637"/>
      <c r="C17" s="3637"/>
      <c r="D17" s="3637"/>
    </row>
    <row r="18" spans="1:4" ht="15.75" customHeight="1">
      <c r="A18" s="3634" t="str">
        <f>IF(项目基本情况!B8="抵押",结果表!K120,"——")</f>
        <v>——</v>
      </c>
      <c r="B18" s="3634"/>
      <c r="C18" s="3634"/>
      <c r="D18" s="3634"/>
    </row>
    <row r="19" spans="1:4" ht="46.5" customHeight="1">
      <c r="A19" s="36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4"/>
      <c r="C19" s="3634"/>
      <c r="D19" s="3634"/>
    </row>
    <row r="20" spans="1:4" ht="57.75" customHeight="1">
      <c r="A20" s="36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4"/>
      <c r="C20" s="3634"/>
      <c r="D20" s="3634"/>
    </row>
    <row r="21" spans="1:4" ht="57.75" customHeight="1">
      <c r="A21" s="36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8"/>
      <c r="C21" s="3638"/>
      <c r="D21" s="3638"/>
    </row>
    <row r="22" spans="1:4" ht="18.75" customHeight="1">
      <c r="A22" s="3639" t="s">
        <v>945</v>
      </c>
      <c r="B22" s="3639"/>
      <c r="C22" s="3639"/>
      <c r="D22" s="3639"/>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636">
        <v>42551</v>
      </c>
      <c r="D31" s="36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645" t="s">
        <v>956</v>
      </c>
      <c r="B15" s="3640" t="s">
        <v>109</v>
      </c>
      <c r="C15" s="3641"/>
    </row>
    <row r="16" spans="1:7" ht="13.5">
      <c r="A16" s="3646"/>
      <c r="B16" s="3640" t="s">
        <v>42</v>
      </c>
      <c r="C16" s="3641"/>
    </row>
    <row r="17" spans="1:3" ht="13.5">
      <c r="A17" s="3646"/>
      <c r="B17" s="3643" t="s">
        <v>957</v>
      </c>
      <c r="C17" s="1428" t="s">
        <v>956</v>
      </c>
    </row>
    <row r="18" spans="1:3" ht="13.5">
      <c r="A18" s="3646"/>
      <c r="B18" s="3643"/>
      <c r="C18" s="1428" t="s">
        <v>958</v>
      </c>
    </row>
    <row r="19" spans="1:3" ht="13.5">
      <c r="A19" s="3646"/>
      <c r="B19" s="3643"/>
      <c r="C19" s="1428" t="s">
        <v>959</v>
      </c>
    </row>
    <row r="20" spans="1:3" ht="13.5">
      <c r="A20" s="3647"/>
      <c r="B20" s="3642" t="s">
        <v>960</v>
      </c>
      <c r="C20" s="3641"/>
    </row>
    <row r="21" spans="1:3" ht="13.5">
      <c r="A21" s="1429" t="s">
        <v>961</v>
      </c>
      <c r="B21" s="1430"/>
      <c r="C21" s="1431"/>
    </row>
    <row r="22" spans="1:3" ht="13.5">
      <c r="A22" s="3644" t="s">
        <v>962</v>
      </c>
      <c r="B22" s="3642" t="s">
        <v>963</v>
      </c>
      <c r="C22" s="3641"/>
    </row>
    <row r="23" spans="1:3" ht="13.5">
      <c r="A23" s="3644"/>
      <c r="B23" s="3642" t="s">
        <v>964</v>
      </c>
      <c r="C23" s="3641"/>
    </row>
    <row r="24" spans="1:3" ht="13.5">
      <c r="A24" s="3644"/>
      <c r="B24" s="3642" t="s">
        <v>965</v>
      </c>
      <c r="C24" s="3641"/>
    </row>
    <row r="25" spans="1:3" ht="13.5">
      <c r="A25" s="3644"/>
      <c r="B25" s="3643" t="s">
        <v>966</v>
      </c>
      <c r="C25" s="1428" t="s">
        <v>967</v>
      </c>
    </row>
    <row r="26" spans="1:3" ht="13.5">
      <c r="A26" s="3644"/>
      <c r="B26" s="3643"/>
      <c r="C26" s="1428" t="s">
        <v>968</v>
      </c>
    </row>
    <row r="27" spans="1:3" ht="13.5">
      <c r="A27" s="3644"/>
      <c r="B27" s="3643"/>
      <c r="C27" s="1428" t="s">
        <v>969</v>
      </c>
    </row>
    <row r="28" spans="1:3" ht="13.5">
      <c r="A28" s="3644"/>
      <c r="B28" s="3643"/>
      <c r="C28" s="1428" t="s">
        <v>970</v>
      </c>
    </row>
    <row r="29" spans="1:3" ht="13.5">
      <c r="A29" s="3644"/>
      <c r="B29" s="3643"/>
      <c r="C29" s="1428" t="s">
        <v>971</v>
      </c>
    </row>
    <row r="30" spans="1:3" ht="13.5">
      <c r="A30" s="3644"/>
      <c r="B30" s="3643"/>
      <c r="C30" s="1428" t="s">
        <v>972</v>
      </c>
    </row>
    <row r="31" spans="1:3" ht="13.5">
      <c r="A31" s="3644"/>
      <c r="B31" s="3643"/>
      <c r="C31" s="1428" t="s">
        <v>973</v>
      </c>
    </row>
    <row r="32" spans="1:3" ht="13.5">
      <c r="A32" s="3644"/>
      <c r="B32" s="3643"/>
      <c r="C32" s="1428" t="s">
        <v>974</v>
      </c>
    </row>
    <row r="33" spans="1:3" ht="13.5">
      <c r="A33" s="3644"/>
      <c r="B33" s="3643"/>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2136</v>
      </c>
      <c r="B2" s="2153">
        <f ca="1">TODAY()</f>
        <v>45256</v>
      </c>
      <c r="C2" s="2154" t="s">
        <v>2137</v>
      </c>
      <c r="D2" s="2154"/>
      <c r="E2" s="2154"/>
      <c r="F2" s="2150"/>
      <c r="G2" s="2150"/>
      <c r="H2" s="2150"/>
    </row>
    <row r="3" spans="1:8" ht="24" customHeight="1">
      <c r="A3" s="2155" t="s">
        <v>2138</v>
      </c>
      <c r="B3" s="1218" t="s">
        <v>2139</v>
      </c>
      <c r="C3" s="1218" t="s">
        <v>2140</v>
      </c>
      <c r="D3" s="2156" t="s">
        <v>2141</v>
      </c>
      <c r="E3" s="2157" t="s">
        <v>2142</v>
      </c>
      <c r="F3" s="1218" t="s">
        <v>2143</v>
      </c>
      <c r="G3" s="1218" t="s">
        <v>2140</v>
      </c>
      <c r="H3" s="2156" t="s">
        <v>2144</v>
      </c>
    </row>
    <row r="4" spans="1:8" ht="24" customHeight="1">
      <c r="A4" s="1218" t="s">
        <v>2145</v>
      </c>
      <c r="B4" s="1218">
        <f ca="1">IF(C4&lt;B2,"已过期",1119970066)</f>
        <v>1119970066</v>
      </c>
      <c r="C4" s="2158">
        <v>45937</v>
      </c>
      <c r="D4" s="2159" t="str">
        <f ca="1">A4&amp;"（注册号："&amp;B4&amp;"）"</f>
        <v>梁津（注册号：1119970066）</v>
      </c>
      <c r="E4" s="2160" t="s">
        <v>2145</v>
      </c>
      <c r="F4" s="1218">
        <f ca="1">IF(G4&lt;B2,"已过期",96010014)</f>
        <v>96010014</v>
      </c>
      <c r="G4" s="2161">
        <v>47118</v>
      </c>
      <c r="H4" s="2162" t="str">
        <f ca="1">E4&amp;"（注册号："&amp;F4&amp;"）"</f>
        <v>梁津（注册号：96010014）</v>
      </c>
    </row>
    <row r="5" spans="1:8" ht="24" customHeight="1">
      <c r="A5" s="1218" t="s">
        <v>2146</v>
      </c>
      <c r="B5" s="1218">
        <f ca="1">IF(C5&lt;B2,"已过期",1119970111)</f>
        <v>1119970111</v>
      </c>
      <c r="C5" s="2158">
        <v>45937</v>
      </c>
      <c r="D5" s="2159" t="str">
        <f t="shared" ref="D5:D15" ca="1" si="0">A5&amp;"（注册号："&amp;B5&amp;"）"</f>
        <v>叶凌（注册号：1119970111）</v>
      </c>
      <c r="E5" s="2160" t="s">
        <v>2146</v>
      </c>
      <c r="F5" s="1218">
        <f ca="1">IF(G5&lt;B2,"已过期",94010078)</f>
        <v>94010078</v>
      </c>
      <c r="G5" s="2161">
        <v>46387</v>
      </c>
      <c r="H5" s="2162" t="str">
        <f t="shared" ref="H5:H16" ca="1" si="1">E5&amp;"（注册号："&amp;F5&amp;"）"</f>
        <v>叶凌（注册号：94010078）</v>
      </c>
    </row>
    <row r="6" spans="1:8" ht="24" customHeight="1">
      <c r="A6" s="1218" t="s">
        <v>2147</v>
      </c>
      <c r="B6" s="1218">
        <f ca="1">IF(C6&lt;B2,"已过期",1120050019)</f>
        <v>1120050019</v>
      </c>
      <c r="C6" s="2158">
        <v>45410</v>
      </c>
      <c r="D6" s="2159" t="str">
        <f t="shared" ca="1" si="0"/>
        <v>王鹏（注册号：1120050019）</v>
      </c>
      <c r="E6" s="2160" t="s">
        <v>2147</v>
      </c>
      <c r="F6" s="1218">
        <f ca="1">IF(G6&lt;B2,"已过期",2002110030)</f>
        <v>2002110030</v>
      </c>
      <c r="G6" s="2161">
        <v>46387</v>
      </c>
      <c r="H6" s="2162" t="str">
        <f t="shared" ca="1" si="1"/>
        <v>王鹏（注册号：2002110030）</v>
      </c>
    </row>
    <row r="7" spans="1:8" ht="24" customHeight="1">
      <c r="A7" s="1218" t="s">
        <v>2148</v>
      </c>
      <c r="B7" s="1218">
        <f ca="1">IF(C7&lt;B2,"已过期",1120000080)</f>
        <v>1120000080</v>
      </c>
      <c r="C7" s="2158">
        <v>45937</v>
      </c>
      <c r="D7" s="2159" t="str">
        <f t="shared" ca="1" si="0"/>
        <v>欧红伟（注册号：1120000080）</v>
      </c>
      <c r="E7" s="2160" t="s">
        <v>2148</v>
      </c>
      <c r="F7" s="1218">
        <f ca="1">IF(G7&lt;B2,"已过期",2000110082)</f>
        <v>2000110082</v>
      </c>
      <c r="G7" s="2161">
        <v>46387</v>
      </c>
      <c r="H7" s="2162" t="str">
        <f t="shared" ca="1" si="1"/>
        <v>欧红伟（注册号：2000110082）</v>
      </c>
    </row>
    <row r="8" spans="1:8" ht="24" customHeight="1">
      <c r="A8" s="1218" t="s">
        <v>2149</v>
      </c>
      <c r="B8" s="1218">
        <f ca="1">IF(C8&lt;B2,"已过期",1419970001)</f>
        <v>1419970001</v>
      </c>
      <c r="C8" s="2158">
        <v>45937</v>
      </c>
      <c r="D8" s="2159" t="str">
        <f t="shared" ca="1" si="0"/>
        <v>吴薇（注册号：1419970001）</v>
      </c>
      <c r="E8" s="2160" t="s">
        <v>2149</v>
      </c>
      <c r="F8" s="1218">
        <f ca="1">IF(G8&lt;B2,"已过期",2002110125)</f>
        <v>2002110125</v>
      </c>
      <c r="G8" s="2161">
        <v>47118</v>
      </c>
      <c r="H8" s="2162" t="str">
        <f t="shared" ca="1" si="1"/>
        <v>吴薇（注册号：2002110125）</v>
      </c>
    </row>
    <row r="9" spans="1:8" ht="24" customHeight="1">
      <c r="A9" s="1218" t="s">
        <v>2150</v>
      </c>
      <c r="B9" s="1218">
        <f ca="1">IF(C9&lt;B2,"已过期",1120060040)</f>
        <v>1120060040</v>
      </c>
      <c r="C9" s="2163">
        <v>45592</v>
      </c>
      <c r="D9" s="2159" t="str">
        <f t="shared" ca="1" si="0"/>
        <v>陈颖（注册号：1120060040）</v>
      </c>
      <c r="E9" s="2160" t="s">
        <v>2150</v>
      </c>
      <c r="F9" s="1218">
        <f ca="1">IF(G9&lt;B2,"已过期",2004110096)</f>
        <v>2004110096</v>
      </c>
      <c r="G9" s="2161">
        <v>47118</v>
      </c>
      <c r="H9" s="2162" t="str">
        <f t="shared" ca="1" si="1"/>
        <v>陈颖（注册号：2004110096）</v>
      </c>
    </row>
    <row r="10" spans="1:8" ht="24" customHeight="1">
      <c r="A10" s="1218" t="s">
        <v>2151</v>
      </c>
      <c r="B10" s="1218">
        <f ca="1">IF(C10&lt;B2,"已过期",1120100036)</f>
        <v>1120100036</v>
      </c>
      <c r="C10" s="2163">
        <v>45752</v>
      </c>
      <c r="D10" s="2159" t="str">
        <f t="shared" ca="1" si="0"/>
        <v>崔锴（注册号：1120100036）</v>
      </c>
      <c r="E10" s="2160" t="s">
        <v>2151</v>
      </c>
      <c r="F10" s="1218">
        <f ca="1">IF(G10&lt;B2,"已过期",2010110070)</f>
        <v>2010110070</v>
      </c>
      <c r="G10" s="2161">
        <v>47907</v>
      </c>
      <c r="H10" s="2162" t="str">
        <f t="shared" ca="1" si="1"/>
        <v>崔锴（注册号：2010110070）</v>
      </c>
    </row>
    <row r="11" spans="1:8" ht="24" customHeight="1">
      <c r="A11" s="1218" t="s">
        <v>2152</v>
      </c>
      <c r="B11" s="1218">
        <f ca="1">IF(C11&lt;B2,"已过期",1120070131)</f>
        <v>1120070131</v>
      </c>
      <c r="C11" s="2158">
        <v>45937</v>
      </c>
      <c r="D11" s="2159" t="str">
        <f t="shared" ca="1" si="0"/>
        <v>郑燚（注册号：1120070131）</v>
      </c>
      <c r="E11" s="2160" t="s">
        <v>2152</v>
      </c>
      <c r="F11" s="1218">
        <f ca="1">IF(G11&lt;B2,"已过期",2014110011)</f>
        <v>2014110011</v>
      </c>
      <c r="G11" s="2161">
        <v>49302</v>
      </c>
      <c r="H11" s="2162" t="str">
        <f t="shared" ca="1" si="1"/>
        <v>郑燚（注册号：2014110011）</v>
      </c>
    </row>
    <row r="12" spans="1:8" ht="24" customHeight="1">
      <c r="A12" s="1218" t="s">
        <v>2153</v>
      </c>
      <c r="B12" s="1218">
        <f ca="1">IF(C12&lt;B2,"已过期",1120040230)</f>
        <v>1120040230</v>
      </c>
      <c r="C12" s="2163">
        <v>45937</v>
      </c>
      <c r="D12" s="2159" t="str">
        <f t="shared" ca="1" si="0"/>
        <v>苏海（注册号：1120040230）</v>
      </c>
      <c r="E12" s="2160" t="s">
        <v>2153</v>
      </c>
      <c r="F12" s="1218">
        <f ca="1">IF(G12&lt;B2,"已过期",98030020)</f>
        <v>98030020</v>
      </c>
      <c r="G12" s="2161">
        <v>47118</v>
      </c>
      <c r="H12" s="2162" t="str">
        <f t="shared" ca="1" si="1"/>
        <v>苏海（注册号：98030020）</v>
      </c>
    </row>
    <row r="13" spans="1:8" ht="24" customHeight="1">
      <c r="A13" s="1218" t="s">
        <v>2154</v>
      </c>
      <c r="B13" s="1218">
        <f ca="1">IF(C13&lt;B2,"已过期",1120020033)</f>
        <v>1120020033</v>
      </c>
      <c r="C13" s="2158">
        <v>45375</v>
      </c>
      <c r="D13" s="2159" t="str">
        <f t="shared" ca="1" si="0"/>
        <v>刘敬东（注册号：1120020033）</v>
      </c>
      <c r="E13" s="2160" t="s">
        <v>2154</v>
      </c>
      <c r="F13" s="1218">
        <f ca="1">IF(G13&lt;B2,"已过期",2000110137)</f>
        <v>2000110137</v>
      </c>
      <c r="G13" s="2161">
        <v>46387</v>
      </c>
      <c r="H13" s="2162" t="str">
        <f t="shared" ca="1" si="1"/>
        <v>刘敬东（注册号：2000110137）</v>
      </c>
    </row>
    <row r="14" spans="1:8" ht="24" customHeight="1">
      <c r="A14" s="1218" t="s">
        <v>2155</v>
      </c>
      <c r="B14" s="1218" t="str">
        <f ca="1">IF(C14&lt;B2,"已过期",1119980106)</f>
        <v>已过期</v>
      </c>
      <c r="C14" s="2163">
        <v>44969</v>
      </c>
      <c r="D14" s="2159" t="str">
        <f t="shared" ca="1" si="0"/>
        <v>刘俊财（注册号：已过期）</v>
      </c>
      <c r="E14" s="2160" t="s">
        <v>2155</v>
      </c>
      <c r="F14" s="1218">
        <f ca="1">IF(G14&lt;B2,"已过期",96010063)</f>
        <v>96010063</v>
      </c>
      <c r="G14" s="2161">
        <v>47483</v>
      </c>
      <c r="H14" s="2162" t="str">
        <f t="shared" ca="1" si="1"/>
        <v>刘俊财（注册号：96010063）</v>
      </c>
    </row>
    <row r="15" spans="1:8" ht="24" customHeight="1">
      <c r="A15" s="1218" t="s">
        <v>2435</v>
      </c>
      <c r="B15" s="1218">
        <v>1120210056</v>
      </c>
      <c r="C15" s="2163">
        <v>45410</v>
      </c>
      <c r="D15" s="2159" t="str">
        <f t="shared" si="0"/>
        <v>宁小鳗（注册号：1120210056）</v>
      </c>
      <c r="E15" s="2160" t="s">
        <v>2156</v>
      </c>
      <c r="F15" s="1218">
        <f ca="1">IF(G15&lt;B2,"已过期",2011110090)</f>
        <v>2011110090</v>
      </c>
      <c r="G15" s="2161">
        <v>48302</v>
      </c>
      <c r="H15" s="2162" t="str">
        <f t="shared" ca="1" si="1"/>
        <v>赵雯（注册号：2011110090）</v>
      </c>
    </row>
    <row r="16" spans="1:8" ht="24" customHeight="1">
      <c r="A16" s="1218"/>
      <c r="B16" s="1218"/>
      <c r="C16" s="1218"/>
      <c r="D16" s="2159" t="str">
        <f>A16&amp;"（注册号："&amp;B16&amp;"）"</f>
        <v>（注册号：）</v>
      </c>
      <c r="E16" s="2160"/>
      <c r="F16" s="1218"/>
      <c r="G16" s="1218"/>
      <c r="H16" s="2164" t="str">
        <f t="shared" si="1"/>
        <v>（注册号：）</v>
      </c>
    </row>
    <row r="17" spans="1:8" ht="24" customHeight="1">
      <c r="A17" s="3648" t="s">
        <v>2157</v>
      </c>
      <c r="B17" s="3648"/>
      <c r="C17" s="3648"/>
      <c r="D17" s="3648"/>
      <c r="E17" s="3648"/>
      <c r="F17" s="3648"/>
      <c r="G17" s="3648"/>
      <c r="H17" s="3648"/>
    </row>
    <row r="18" spans="1:8" ht="24" customHeight="1">
      <c r="A18" s="3649" t="s">
        <v>2158</v>
      </c>
      <c r="B18" s="3649"/>
      <c r="C18" s="3649"/>
      <c r="D18" s="2156"/>
      <c r="E18" s="3650" t="s">
        <v>2159</v>
      </c>
      <c r="F18" s="3649"/>
      <c r="G18" s="3649"/>
    </row>
    <row r="19" spans="1:8" s="2166" customFormat="1" ht="24" customHeight="1">
      <c r="A19" s="2165" t="s">
        <v>2160</v>
      </c>
      <c r="B19" s="1218" t="s">
        <v>2161</v>
      </c>
      <c r="C19" s="1218" t="s">
        <v>2140</v>
      </c>
      <c r="D19" s="2156"/>
      <c r="E19" s="2160" t="s">
        <v>2160</v>
      </c>
      <c r="F19" s="1218" t="s">
        <v>2161</v>
      </c>
      <c r="G19" s="1218" t="s">
        <v>2140</v>
      </c>
    </row>
    <row r="20" spans="1:8" s="2166" customFormat="1" ht="24" customHeight="1">
      <c r="A20" s="2167" t="s">
        <v>2162</v>
      </c>
      <c r="B20" s="2167" t="s">
        <v>2163</v>
      </c>
      <c r="C20" s="2161">
        <v>45898</v>
      </c>
      <c r="D20" s="2168"/>
      <c r="E20" s="2169" t="s">
        <v>2164</v>
      </c>
      <c r="F20" s="2172" t="s">
        <v>2436</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2023-11-26T09:08:42Z</dcterms:modified>
</cp:coreProperties>
</file>