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G:\高鹏\项目\北京市海淀区北洼西里颐安嘉园18号楼A单元5层502号住宅用房房地产市场价值\"/>
    </mc:Choice>
  </mc:AlternateContent>
  <xr:revisionPtr revIDLastSave="0" documentId="13_ncr:1_{FE5CD70D-95BE-4FE0-ACAD-4F4450294AC8}"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7" i="9" l="1"/>
  <c r="D59" i="21"/>
  <c r="E59" i="21" s="1"/>
  <c r="F59" i="21" s="1"/>
  <c r="G59" i="21" s="1"/>
  <c r="H59" i="21" s="1"/>
  <c r="I59" i="21" s="1"/>
  <c r="J59" i="21" s="1"/>
  <c r="K59" i="21" s="1"/>
  <c r="L59" i="21" s="1"/>
  <c r="M59" i="21" s="1"/>
  <c r="N59" i="21" s="1"/>
  <c r="O59" i="21" s="1"/>
  <c r="P59" i="21" s="1"/>
  <c r="Q59" i="21" s="1"/>
  <c r="R59" i="21" s="1"/>
  <c r="S59" i="21" s="1"/>
  <c r="T59" i="21" s="1"/>
  <c r="U59" i="21" s="1"/>
  <c r="J37" i="21"/>
  <c r="H37" i="21"/>
  <c r="F37" i="21"/>
  <c r="I37" i="21"/>
  <c r="G37" i="21"/>
  <c r="E37" i="21"/>
  <c r="I33" i="21"/>
  <c r="G33" i="21"/>
  <c r="E33" i="21"/>
  <c r="C90" i="21"/>
  <c r="E90" i="21"/>
  <c r="F90" i="21"/>
  <c r="D90" i="21"/>
  <c r="I5" i="21"/>
  <c r="G5" i="21"/>
  <c r="E5" i="21"/>
  <c r="I7" i="21"/>
  <c r="G7" i="21"/>
  <c r="E7" i="21"/>
  <c r="I47" i="21"/>
  <c r="G47" i="21"/>
  <c r="E47" i="21"/>
  <c r="AK21" i="81"/>
  <c r="AK20" i="81"/>
  <c r="AK19" i="81"/>
  <c r="AK18" i="81"/>
  <c r="C48" i="69"/>
  <c r="C30" i="69"/>
  <c r="C6" i="69"/>
  <c r="B21" i="1"/>
  <c r="D76" i="84"/>
  <c r="B76" i="84"/>
  <c r="D75" i="84"/>
  <c r="B75" i="84"/>
  <c r="D74" i="84"/>
  <c r="D73" i="84"/>
  <c r="B73" i="84"/>
  <c r="D72" i="84"/>
  <c r="B72" i="84"/>
  <c r="J71" i="84"/>
  <c r="I71" i="84" s="1"/>
  <c r="D71" i="84"/>
  <c r="B71" i="84"/>
  <c r="D70" i="84"/>
  <c r="B70" i="84"/>
  <c r="D66" i="84"/>
  <c r="B66" i="84"/>
  <c r="B65" i="84"/>
  <c r="B63" i="84"/>
  <c r="B62" i="84"/>
  <c r="J61" i="84"/>
  <c r="I61" i="84" s="1"/>
  <c r="D61" i="84"/>
  <c r="B61" i="84"/>
  <c r="B60" i="84"/>
  <c r="D57" i="84"/>
  <c r="B57" i="84"/>
  <c r="D56" i="84"/>
  <c r="F55" i="84"/>
  <c r="G55" i="84" s="1"/>
  <c r="D55" i="84"/>
  <c r="B55" i="84"/>
  <c r="D54" i="84"/>
  <c r="J53" i="84"/>
  <c r="I53" i="84" s="1"/>
  <c r="D53" i="84"/>
  <c r="B53" i="84"/>
  <c r="D52" i="84"/>
  <c r="B52" i="84"/>
  <c r="J51" i="84"/>
  <c r="I51" i="84" s="1"/>
  <c r="D51" i="84"/>
  <c r="B51" i="84"/>
  <c r="J48" i="84"/>
  <c r="I48" i="84" s="1"/>
  <c r="D48" i="84"/>
  <c r="B48" i="84"/>
  <c r="D47" i="84"/>
  <c r="D46" i="84"/>
  <c r="B46" i="84"/>
  <c r="F45" i="84"/>
  <c r="G45" i="84" s="1"/>
  <c r="D45" i="84"/>
  <c r="D44" i="84"/>
  <c r="B44" i="84"/>
  <c r="J43" i="84"/>
  <c r="I43" i="84" s="1"/>
  <c r="D43" i="84"/>
  <c r="B43" i="84"/>
  <c r="D42" i="84"/>
  <c r="B42" i="84"/>
  <c r="C30" i="84"/>
  <c r="C29" i="84"/>
  <c r="C28" i="84"/>
  <c r="C27" i="84"/>
  <c r="C26" i="84"/>
  <c r="D21" i="84"/>
  <c r="D19" i="84"/>
  <c r="G12" i="84"/>
  <c r="E12" i="84"/>
  <c r="G10" i="84"/>
  <c r="F9" i="84"/>
  <c r="G3" i="84"/>
  <c r="G13" i="84" s="1"/>
  <c r="H13" i="84" s="1"/>
  <c r="G2" i="84"/>
  <c r="J75" i="84" s="1"/>
  <c r="I75" i="84" s="1"/>
  <c r="E2" i="84"/>
  <c r="J1" i="84"/>
  <c r="H1" i="84"/>
  <c r="D20" i="84" s="1"/>
  <c r="R33" i="83"/>
  <c r="Q33" i="83"/>
  <c r="P33" i="83"/>
  <c r="O33" i="83"/>
  <c r="G32" i="83"/>
  <c r="G31" i="83"/>
  <c r="F31" i="83"/>
  <c r="F32" i="83" s="1"/>
  <c r="G30" i="83"/>
  <c r="G29" i="83"/>
  <c r="I22" i="83"/>
  <c r="H21" i="83"/>
  <c r="F19" i="83"/>
  <c r="F16" i="83"/>
  <c r="F13" i="83"/>
  <c r="F18" i="83" s="1"/>
  <c r="F17" i="83" s="1"/>
  <c r="F12" i="83" s="1"/>
  <c r="H9" i="83"/>
  <c r="B8" i="83"/>
  <c r="O4" i="83"/>
  <c r="B4" i="83"/>
  <c r="H6" i="83" s="1"/>
  <c r="O3" i="83"/>
  <c r="O2" i="83"/>
  <c r="E42" i="84" l="1"/>
  <c r="B40" i="84" s="1"/>
  <c r="E51" i="84"/>
  <c r="B49" i="84" s="1"/>
  <c r="F28" i="83"/>
  <c r="F33" i="83" s="1"/>
  <c r="B17" i="83"/>
  <c r="B18" i="83" s="1"/>
  <c r="F65" i="84"/>
  <c r="G65" i="84" s="1"/>
  <c r="D65" i="84" s="1"/>
  <c r="J73" i="84"/>
  <c r="I73" i="84" s="1"/>
  <c r="F75" i="84"/>
  <c r="G75" i="84" s="1"/>
  <c r="J42" i="84"/>
  <c r="I42" i="84" s="1"/>
  <c r="J56" i="84"/>
  <c r="I56" i="84" s="1"/>
  <c r="J63" i="84"/>
  <c r="I63" i="84" s="1"/>
  <c r="D63" i="84" s="1"/>
  <c r="E70" i="84"/>
  <c r="B68" i="84" s="1"/>
  <c r="F20" i="83"/>
  <c r="F29" i="83"/>
  <c r="H9" i="84"/>
  <c r="H10" i="84"/>
  <c r="C10" i="84" s="1"/>
  <c r="F12" i="84"/>
  <c r="D12" i="84" s="1"/>
  <c r="C11" i="84" s="1"/>
  <c r="E13" i="84"/>
  <c r="F13" i="84" s="1"/>
  <c r="D14" i="84"/>
  <c r="D18" i="84"/>
  <c r="F43" i="84"/>
  <c r="G43" i="84" s="1"/>
  <c r="J46" i="84"/>
  <c r="I46" i="84" s="1"/>
  <c r="F48" i="84"/>
  <c r="G48" i="84" s="1"/>
  <c r="F51" i="84"/>
  <c r="G51" i="84" s="1"/>
  <c r="F53" i="84"/>
  <c r="G53" i="84" s="1"/>
  <c r="J54" i="84"/>
  <c r="I54" i="84" s="1"/>
  <c r="F56" i="84"/>
  <c r="G56" i="84" s="1"/>
  <c r="F61" i="84"/>
  <c r="G61" i="84" s="1"/>
  <c r="F63" i="84"/>
  <c r="G63" i="84" s="1"/>
  <c r="J64" i="84"/>
  <c r="I64" i="84" s="1"/>
  <c r="J66" i="84"/>
  <c r="I66" i="84" s="1"/>
  <c r="F71" i="84"/>
  <c r="G71" i="84" s="1"/>
  <c r="F73" i="84"/>
  <c r="G73" i="84" s="1"/>
  <c r="J74" i="84"/>
  <c r="I74" i="84" s="1"/>
  <c r="J76" i="84"/>
  <c r="I76" i="84" s="1"/>
  <c r="B15" i="83"/>
  <c r="I3" i="84"/>
  <c r="D8" i="84"/>
  <c r="J44" i="84"/>
  <c r="I44" i="84" s="1"/>
  <c r="F46" i="84"/>
  <c r="G46" i="84" s="1"/>
  <c r="J47" i="84"/>
  <c r="I47" i="84" s="1"/>
  <c r="J52" i="84"/>
  <c r="I52" i="84" s="1"/>
  <c r="F54" i="84"/>
  <c r="G54" i="84" s="1"/>
  <c r="J57" i="84"/>
  <c r="I57" i="84" s="1"/>
  <c r="J60" i="84"/>
  <c r="I60" i="84" s="1"/>
  <c r="J62" i="84"/>
  <c r="I62" i="84" s="1"/>
  <c r="F64" i="84"/>
  <c r="G64" i="84" s="1"/>
  <c r="D64" i="84" s="1"/>
  <c r="F66" i="84"/>
  <c r="G66" i="84" s="1"/>
  <c r="J67" i="84"/>
  <c r="I67" i="84" s="1"/>
  <c r="J70" i="84"/>
  <c r="I70" i="84" s="1"/>
  <c r="J72" i="84"/>
  <c r="I72" i="84" s="1"/>
  <c r="F74" i="84"/>
  <c r="G74" i="84" s="1"/>
  <c r="F76" i="84"/>
  <c r="G76" i="84" s="1"/>
  <c r="B80" i="84"/>
  <c r="D13" i="84"/>
  <c r="H12" i="84"/>
  <c r="H16" i="84"/>
  <c r="F42" i="84"/>
  <c r="G42" i="84" s="1"/>
  <c r="F44" i="84"/>
  <c r="G44" i="84" s="1"/>
  <c r="J45" i="84"/>
  <c r="I45" i="84" s="1"/>
  <c r="F47" i="84"/>
  <c r="G47" i="84" s="1"/>
  <c r="F52" i="84"/>
  <c r="G52" i="84" s="1"/>
  <c r="J55" i="84"/>
  <c r="I55" i="84" s="1"/>
  <c r="F57" i="84"/>
  <c r="G57" i="84" s="1"/>
  <c r="F60" i="84"/>
  <c r="G60" i="84" s="1"/>
  <c r="D60" i="84" s="1"/>
  <c r="F62" i="84"/>
  <c r="G62" i="84" s="1"/>
  <c r="D62" i="84" s="1"/>
  <c r="J65" i="84"/>
  <c r="I65" i="84" s="1"/>
  <c r="F67" i="84"/>
  <c r="G67" i="84" s="1"/>
  <c r="D67" i="84" s="1"/>
  <c r="F70" i="84"/>
  <c r="G70" i="84" s="1"/>
  <c r="F72" i="84"/>
  <c r="G72" i="84" s="1"/>
  <c r="C7" i="84" l="1"/>
  <c r="G9" i="83"/>
  <c r="B85" i="84"/>
  <c r="B84" i="84"/>
  <c r="B81" i="84" s="1"/>
  <c r="B83" i="84"/>
  <c r="B82" i="84"/>
  <c r="F22" i="83"/>
  <c r="I9" i="84"/>
  <c r="C9" i="84" s="1"/>
  <c r="B24" i="84"/>
  <c r="E60" i="84"/>
  <c r="B58" i="84" s="1"/>
  <c r="C15" i="84" s="1"/>
  <c r="G21" i="83" l="1"/>
  <c r="F21" i="83" s="1"/>
  <c r="F11" i="83" s="1"/>
  <c r="C18" i="84"/>
  <c r="C19" i="84"/>
  <c r="E19" i="84" s="1"/>
  <c r="C21" i="84"/>
  <c r="E21" i="84" s="1"/>
  <c r="C20" i="84"/>
  <c r="B4" i="84" l="1"/>
  <c r="C22" i="84"/>
  <c r="B5" i="84" s="1"/>
  <c r="F7" i="83" s="1"/>
  <c r="E20" i="84"/>
  <c r="E18" i="84"/>
  <c r="B3" i="84"/>
  <c r="F6" i="83" s="1"/>
  <c r="F5" i="83" l="1"/>
  <c r="F8" i="83"/>
  <c r="F9" i="83" s="1"/>
  <c r="E104" i="21"/>
  <c r="D104" i="21" s="1"/>
  <c r="F33" i="21" s="1"/>
  <c r="G104" i="21"/>
  <c r="F10" i="83" l="1"/>
  <c r="F4" i="83" s="1"/>
  <c r="F24" i="83" s="1"/>
  <c r="C104" i="21"/>
  <c r="H33" i="21" s="1"/>
  <c r="J33" i="21" s="1"/>
  <c r="B27" i="9"/>
  <c r="D27" i="9" s="1"/>
  <c r="D127" i="21"/>
  <c r="E127" i="21" s="1"/>
  <c r="F127" i="21" s="1"/>
  <c r="F126" i="21"/>
  <c r="E126" i="21"/>
  <c r="D126" i="21"/>
  <c r="C126" i="21"/>
  <c r="F35" i="83" l="1"/>
  <c r="F25" i="83"/>
  <c r="F36" i="83" s="1"/>
  <c r="M21" i="1"/>
  <c r="N22" i="1" s="1"/>
  <c r="I7" i="4" l="1"/>
  <c r="I8" i="4" s="1"/>
  <c r="V59" i="21" l="1"/>
  <c r="D14" i="9"/>
  <c r="D17" i="9" s="1"/>
  <c r="W59" i="21" l="1"/>
  <c r="X59" i="21"/>
  <c r="Y59" i="21" s="1"/>
  <c r="F19" i="6"/>
  <c r="Z59" i="21" l="1"/>
  <c r="AA59" i="21"/>
  <c r="AB59" i="21" s="1"/>
  <c r="D33" i="43"/>
  <c r="B14" i="74"/>
  <c r="Y6" i="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M23" i="79" s="1"/>
  <c r="P23" i="79" s="1"/>
  <c r="L30" i="79"/>
  <c r="I30" i="79"/>
  <c r="AB29" i="79"/>
  <c r="AA29" i="79"/>
  <c r="AA23" i="79" s="1"/>
  <c r="AD23" i="79" s="1"/>
  <c r="Z29" i="79"/>
  <c r="N29" i="79"/>
  <c r="M29" i="79"/>
  <c r="T23" i="79" s="1"/>
  <c r="W23" i="79" s="1"/>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T12" i="79" s="1"/>
  <c r="W12" i="79" s="1"/>
  <c r="L12" i="79"/>
  <c r="K12" i="79"/>
  <c r="I12" i="79"/>
  <c r="AC11" i="79"/>
  <c r="AB11" i="79"/>
  <c r="AA11" i="79"/>
  <c r="AD11" i="79" s="1"/>
  <c r="Z11" i="79"/>
  <c r="Y11" i="79"/>
  <c r="O11" i="79"/>
  <c r="N11" i="79"/>
  <c r="M11" i="79"/>
  <c r="P11" i="79" s="1"/>
  <c r="L11" i="79"/>
  <c r="S11" i="79" s="1"/>
  <c r="K11" i="79"/>
  <c r="I11" i="79"/>
  <c r="AC10" i="79"/>
  <c r="AB10" i="79"/>
  <c r="AB3" i="79" s="1"/>
  <c r="AA10" i="79"/>
  <c r="AD10" i="79" s="1"/>
  <c r="Z10" i="79"/>
  <c r="Y10" i="79"/>
  <c r="O10" i="79"/>
  <c r="V10" i="79" s="1"/>
  <c r="N10" i="79"/>
  <c r="M10" i="79"/>
  <c r="L10" i="79"/>
  <c r="K10" i="79"/>
  <c r="R10" i="79" s="1"/>
  <c r="I10" i="79"/>
  <c r="AC9" i="79"/>
  <c r="AB9" i="79"/>
  <c r="AA9" i="79"/>
  <c r="AD9" i="79" s="1"/>
  <c r="Z9" i="79"/>
  <c r="Y9" i="79"/>
  <c r="O9" i="79"/>
  <c r="N9" i="79"/>
  <c r="M9" i="79"/>
  <c r="L9" i="79"/>
  <c r="K9" i="79"/>
  <c r="I9" i="79"/>
  <c r="AC5" i="79"/>
  <c r="AB5" i="79"/>
  <c r="AA5" i="79"/>
  <c r="AD5" i="79" s="1"/>
  <c r="Z5" i="79"/>
  <c r="Z3" i="79" s="1"/>
  <c r="Y5" i="79"/>
  <c r="O5" i="79"/>
  <c r="N5" i="79"/>
  <c r="U3" i="79" s="1"/>
  <c r="M5" i="79"/>
  <c r="P5" i="79" s="1"/>
  <c r="L5" i="79"/>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V3" i="79"/>
  <c r="R14" i="79"/>
  <c r="V14" i="79"/>
  <c r="L23" i="79"/>
  <c r="U30" i="79"/>
  <c r="AD31" i="79"/>
  <c r="S32" i="79"/>
  <c r="T33" i="79"/>
  <c r="W33" i="79" s="1"/>
  <c r="U34" i="79"/>
  <c r="AD35" i="79"/>
  <c r="M3" i="79"/>
  <c r="P3" i="79" s="1"/>
  <c r="S3" i="79"/>
  <c r="Y3" i="79"/>
  <c r="AC3" i="79"/>
  <c r="T10" i="79"/>
  <c r="W10" i="79" s="1"/>
  <c r="U11" i="79"/>
  <c r="R12" i="79"/>
  <c r="V12" i="79"/>
  <c r="R13" i="79"/>
  <c r="V13" i="79"/>
  <c r="O3" i="79"/>
  <c r="U23" i="79"/>
  <c r="AD29" i="79"/>
  <c r="S30" i="79"/>
  <c r="T31" i="79"/>
  <c r="W31" i="79" s="1"/>
  <c r="U32" i="79"/>
  <c r="AD33"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D11" i="77" s="1"/>
  <c r="E11" i="77" s="1"/>
  <c r="E7" i="77" s="1"/>
  <c r="C27" i="77" s="1"/>
  <c r="M14" i="77"/>
  <c r="N14" i="77" s="1"/>
  <c r="D14" i="77"/>
  <c r="R13" i="77"/>
  <c r="R12" i="77"/>
  <c r="D12" i="77"/>
  <c r="R11" i="77"/>
  <c r="R10" i="77"/>
  <c r="D10" i="77"/>
  <c r="R9" i="77"/>
  <c r="D9" i="77"/>
  <c r="R8" i="77"/>
  <c r="R7" i="77"/>
  <c r="R4" i="77"/>
  <c r="R3" i="77"/>
  <c r="D7" i="77" l="1"/>
  <c r="C26" i="77" s="1"/>
  <c r="R14" i="77"/>
  <c r="R24" i="77" s="1"/>
  <c r="D29" i="77"/>
  <c r="E23" i="77"/>
  <c r="D26" i="77"/>
  <c r="C29" i="77"/>
  <c r="C32" i="77" s="1"/>
  <c r="C38" i="77" s="1"/>
  <c r="C39" i="77" s="1"/>
  <c r="R35" i="77"/>
  <c r="U34" i="77" s="1"/>
  <c r="AH9" i="71"/>
  <c r="AG9" i="71"/>
  <c r="AE9" i="71"/>
  <c r="AF9" i="71" s="1"/>
  <c r="AD9" i="71"/>
  <c r="Q9" i="71"/>
  <c r="P9" i="71"/>
  <c r="O9" i="71"/>
  <c r="N9" i="71"/>
  <c r="D32" i="77" l="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E24" i="71" s="1"/>
  <c r="O24" i="71"/>
  <c r="C24" i="71" s="1"/>
  <c r="C23" i="71" s="1"/>
  <c r="Q25" i="71"/>
  <c r="F24" i="71"/>
  <c r="F23" i="71"/>
  <c r="F22" i="71" s="1"/>
  <c r="P25" i="71"/>
  <c r="O25" i="71"/>
  <c r="Y25" i="71" s="1"/>
  <c r="Z25" i="71" s="1"/>
  <c r="N25" i="71"/>
  <c r="B24" i="71"/>
  <c r="B23" i="71" s="1"/>
  <c r="B22"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7" i="71" s="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c r="Q70" i="71"/>
  <c r="P70" i="71"/>
  <c r="O70" i="71"/>
  <c r="N70" i="71"/>
  <c r="Q69" i="71"/>
  <c r="P69" i="71"/>
  <c r="O69" i="71"/>
  <c r="N69" i="71"/>
  <c r="D69" i="71"/>
  <c r="F68" i="71"/>
  <c r="V68" i="71" s="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P39" i="71"/>
  <c r="O39" i="71"/>
  <c r="N39" i="71"/>
  <c r="X37" i="71" s="1"/>
  <c r="X39" i="71"/>
  <c r="Q38" i="71"/>
  <c r="P38" i="71"/>
  <c r="AA38" i="71" s="1"/>
  <c r="O38" i="71"/>
  <c r="Y38" i="71" s="1"/>
  <c r="Z38" i="71" s="1"/>
  <c r="N38" i="71"/>
  <c r="Q37" i="71"/>
  <c r="F38" i="71" s="1"/>
  <c r="P37" i="71"/>
  <c r="E38" i="71" s="1"/>
  <c r="E39" i="71" s="1"/>
  <c r="E40" i="71" s="1"/>
  <c r="U40" i="71" s="1"/>
  <c r="O37" i="71"/>
  <c r="N37" i="71"/>
  <c r="D37" i="71"/>
  <c r="Q36" i="71"/>
  <c r="AB36" i="71"/>
  <c r="P36" i="71"/>
  <c r="O36" i="71"/>
  <c r="N36" i="71"/>
  <c r="Q35" i="71"/>
  <c r="P35" i="71"/>
  <c r="O35" i="71"/>
  <c r="N35" i="71"/>
  <c r="Q34" i="71"/>
  <c r="AB34" i="71" s="1"/>
  <c r="P34" i="71"/>
  <c r="O34" i="71"/>
  <c r="N34" i="71"/>
  <c r="Q33" i="71"/>
  <c r="F34" i="71" s="1"/>
  <c r="P33" i="71"/>
  <c r="E34" i="71" s="1"/>
  <c r="E35" i="71" s="1"/>
  <c r="E36" i="71" s="1"/>
  <c r="U36" i="71" s="1"/>
  <c r="O33" i="71"/>
  <c r="N33" i="71"/>
  <c r="D33" i="71"/>
  <c r="Q32" i="71"/>
  <c r="P32" i="71"/>
  <c r="O32" i="71"/>
  <c r="N32" i="71"/>
  <c r="Q31" i="71"/>
  <c r="P31" i="71"/>
  <c r="O31" i="71"/>
  <c r="N31" i="71"/>
  <c r="Q30" i="71"/>
  <c r="P30" i="71"/>
  <c r="AA30" i="71" s="1"/>
  <c r="O30" i="71"/>
  <c r="N30" i="71"/>
  <c r="Q29" i="71"/>
  <c r="F30" i="71" s="1"/>
  <c r="F31" i="71" s="1"/>
  <c r="P29" i="71"/>
  <c r="AA27" i="71" s="1"/>
  <c r="O29" i="71"/>
  <c r="N29" i="71"/>
  <c r="D29" i="71"/>
  <c r="O28" i="71"/>
  <c r="N28" i="71"/>
  <c r="B30" i="71"/>
  <c r="B31" i="71"/>
  <c r="E30" i="71"/>
  <c r="E31" i="71" s="1"/>
  <c r="E32" i="71" s="1"/>
  <c r="U32" i="71" s="1"/>
  <c r="AA29" i="71"/>
  <c r="B34" i="71"/>
  <c r="B35" i="71"/>
  <c r="B38" i="71"/>
  <c r="B39" i="71" s="1"/>
  <c r="B40" i="71" s="1"/>
  <c r="S40" i="71" s="1"/>
  <c r="AA37" i="71"/>
  <c r="AA33" i="71"/>
  <c r="AA31" i="71"/>
  <c r="AA34" i="71"/>
  <c r="X36" i="71"/>
  <c r="AA36" i="71"/>
  <c r="X38" i="71"/>
  <c r="C28" i="71"/>
  <c r="P28" i="71"/>
  <c r="E55" i="71"/>
  <c r="E56" i="71" s="1"/>
  <c r="U56" i="71" s="1"/>
  <c r="E59" i="71"/>
  <c r="E60" i="71" s="1"/>
  <c r="U60" i="71" s="1"/>
  <c r="U68" i="71"/>
  <c r="E67" i="71"/>
  <c r="P67" i="71" s="1"/>
  <c r="Q28" i="71"/>
  <c r="C63" i="71"/>
  <c r="T68" i="71"/>
  <c r="C67" i="71"/>
  <c r="C66" i="71" s="1"/>
  <c r="Q68" i="71"/>
  <c r="E71" i="71"/>
  <c r="E70" i="71" s="1"/>
  <c r="C75" i="71"/>
  <c r="E75" i="71"/>
  <c r="E74" i="71" s="1"/>
  <c r="E79" i="71"/>
  <c r="E78" i="71" s="1"/>
  <c r="C83" i="71"/>
  <c r="C87" i="71"/>
  <c r="D87" i="71" s="1"/>
  <c r="T28" i="71"/>
  <c r="F28" i="71"/>
  <c r="F27" i="71" s="1"/>
  <c r="E28" i="71"/>
  <c r="E27" i="71" s="1"/>
  <c r="E26" i="71" s="1"/>
  <c r="AA25" i="71"/>
  <c r="AA26" i="71"/>
  <c r="D67" i="71"/>
  <c r="D83" i="71"/>
  <c r="C82" i="71"/>
  <c r="D82" i="71"/>
  <c r="E66" i="71"/>
  <c r="V28"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c r="C18" i="35"/>
  <c r="Q21" i="37"/>
  <c r="Z21" i="37" s="1"/>
  <c r="D77" i="37"/>
  <c r="E77" i="37" s="1"/>
  <c r="F77" i="37" s="1"/>
  <c r="G77" i="37" s="1"/>
  <c r="C21" i="37"/>
  <c r="Q21" i="34"/>
  <c r="Z21" i="34" s="1"/>
  <c r="D84" i="34"/>
  <c r="E84" i="34"/>
  <c r="F84" i="34" s="1"/>
  <c r="G84" i="34" s="1"/>
  <c r="F21" i="34"/>
  <c r="AA21" i="34" s="1"/>
  <c r="C21" i="34"/>
  <c r="Z21" i="33"/>
  <c r="Q21" i="33"/>
  <c r="D83" i="33"/>
  <c r="E83" i="33" s="1"/>
  <c r="F83" i="33" s="1"/>
  <c r="G83" i="33" s="1"/>
  <c r="C21" i="33"/>
  <c r="C21" i="21"/>
  <c r="Q21" i="21"/>
  <c r="Z21" i="21" s="1"/>
  <c r="D83" i="21"/>
  <c r="F21" i="21"/>
  <c r="AA21" i="21" s="1"/>
  <c r="D81" i="21"/>
  <c r="H19" i="21" s="1"/>
  <c r="G20" i="20"/>
  <c r="B88" i="43"/>
  <c r="C22" i="20"/>
  <c r="C25" i="40"/>
  <c r="S25" i="40"/>
  <c r="S18" i="36"/>
  <c r="S21" i="34"/>
  <c r="H25" i="40"/>
  <c r="AB25" i="40" s="1"/>
  <c r="J25" i="40"/>
  <c r="AC25" i="40" s="1"/>
  <c r="H29" i="39"/>
  <c r="AB29" i="39" s="1"/>
  <c r="J29" i="39"/>
  <c r="AC29" i="39" s="1"/>
  <c r="J18" i="36"/>
  <c r="AC18" i="36" s="1"/>
  <c r="H18" i="35"/>
  <c r="AB18" i="35" s="1"/>
  <c r="S18" i="35"/>
  <c r="J18" i="35"/>
  <c r="AC18" i="35" s="1"/>
  <c r="H21" i="37"/>
  <c r="AB21" i="37" s="1"/>
  <c r="F21" i="37"/>
  <c r="AA21" i="37" s="1"/>
  <c r="H21" i="34"/>
  <c r="H21" i="33"/>
  <c r="U21" i="33" s="1"/>
  <c r="F21" i="33"/>
  <c r="E83" i="21"/>
  <c r="F83" i="21" s="1"/>
  <c r="G83" i="21" s="1"/>
  <c r="S21" i="21"/>
  <c r="H1" i="69"/>
  <c r="W25" i="40"/>
  <c r="U29" i="39"/>
  <c r="U21" i="37"/>
  <c r="S21" i="37"/>
  <c r="AA21" i="33"/>
  <c r="S21" i="33"/>
  <c r="U18" i="35"/>
  <c r="W18" i="35"/>
  <c r="J21" i="37"/>
  <c r="J21" i="34"/>
  <c r="W21" i="34" s="1"/>
  <c r="J21" i="33"/>
  <c r="W21" i="33" s="1"/>
  <c r="H21" i="21"/>
  <c r="U21" i="21" s="1"/>
  <c r="F38" i="69"/>
  <c r="E37" i="69"/>
  <c r="F36" i="69"/>
  <c r="F35" i="69"/>
  <c r="F21" i="69"/>
  <c r="F40" i="69" s="1"/>
  <c r="F20" i="69"/>
  <c r="F39" i="69" s="1"/>
  <c r="E10" i="69"/>
  <c r="E9" i="69"/>
  <c r="AC21" i="34"/>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AB30" i="36" s="1"/>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s="1"/>
  <c r="F64" i="36" s="1"/>
  <c r="G64" i="36" s="1"/>
  <c r="J16" i="36"/>
  <c r="W16" i="36" s="1"/>
  <c r="D62" i="36"/>
  <c r="E62" i="36" s="1"/>
  <c r="F62" i="36" s="1"/>
  <c r="G62" i="36"/>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s="1"/>
  <c r="B99" i="35"/>
  <c r="B97" i="35"/>
  <c r="F34" i="35" s="1"/>
  <c r="B77" i="35"/>
  <c r="B75" i="35"/>
  <c r="J24" i="35" s="1"/>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H34" i="35"/>
  <c r="Q33" i="35"/>
  <c r="Z33" i="35" s="1"/>
  <c r="Q32" i="35"/>
  <c r="Z32" i="35" s="1"/>
  <c r="H32" i="35"/>
  <c r="AB32" i="35" s="1"/>
  <c r="F32" i="35"/>
  <c r="AA32" i="35" s="1"/>
  <c r="Q31" i="35"/>
  <c r="Z31" i="35" s="1"/>
  <c r="AC31" i="35"/>
  <c r="AA31" i="35"/>
  <c r="Q30" i="35"/>
  <c r="Z30" i="35" s="1"/>
  <c r="Q29" i="35"/>
  <c r="Z29" i="35"/>
  <c r="Q28" i="35"/>
  <c r="Z28" i="35" s="1"/>
  <c r="J28" i="35"/>
  <c r="W28" i="35" s="1"/>
  <c r="AC28" i="35"/>
  <c r="H28" i="35"/>
  <c r="AB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c r="J92" i="34" s="1"/>
  <c r="K92" i="34" s="1"/>
  <c r="L92" i="34" s="1"/>
  <c r="M92" i="34" s="1"/>
  <c r="B91" i="34"/>
  <c r="F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c r="C24" i="20"/>
  <c r="C21" i="20"/>
  <c r="B99" i="43" s="1"/>
  <c r="C20" i="20"/>
  <c r="B101" i="43" s="1"/>
  <c r="C18" i="20"/>
  <c r="B94" i="43" s="1"/>
  <c r="C17" i="20"/>
  <c r="B61" i="43"/>
  <c r="C16" i="20"/>
  <c r="C17" i="39"/>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H44" i="21" s="1"/>
  <c r="U44" i="21" s="1"/>
  <c r="B98" i="21"/>
  <c r="H31" i="21" s="1"/>
  <c r="B96" i="21"/>
  <c r="B94" i="21"/>
  <c r="J29" i="21"/>
  <c r="AC29" i="21" s="1"/>
  <c r="B92" i="21"/>
  <c r="F28" i="21" s="1"/>
  <c r="AA28" i="21" s="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H34" i="21"/>
  <c r="AB34" i="21" s="1"/>
  <c r="F43" i="21"/>
  <c r="S43"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AB19" i="21"/>
  <c r="J19" i="21"/>
  <c r="W19" i="21" s="1"/>
  <c r="S41" i="21"/>
  <c r="AA41" i="21"/>
  <c r="F45" i="39"/>
  <c r="S45" i="39" s="1"/>
  <c r="J45" i="39"/>
  <c r="W45" i="39"/>
  <c r="J35" i="39"/>
  <c r="AC35" i="39" s="1"/>
  <c r="F35" i="39"/>
  <c r="AA35" i="39"/>
  <c r="U9" i="39"/>
  <c r="G103" i="37"/>
  <c r="H103" i="37" s="1"/>
  <c r="I103" i="37" s="1"/>
  <c r="J103" i="37" s="1"/>
  <c r="K103" i="37" s="1"/>
  <c r="L103" i="37" s="1"/>
  <c r="M103" i="37" s="1"/>
  <c r="F39" i="37"/>
  <c r="S39" i="37"/>
  <c r="F29" i="36"/>
  <c r="AA29" i="36" s="1"/>
  <c r="F16" i="36"/>
  <c r="AA16" i="36" s="1"/>
  <c r="W28" i="36"/>
  <c r="J33" i="36"/>
  <c r="AC33" i="36" s="1"/>
  <c r="H22" i="35"/>
  <c r="AB22" i="35" s="1"/>
  <c r="AC27" i="35"/>
  <c r="W22" i="35"/>
  <c r="F36" i="34"/>
  <c r="J35" i="34"/>
  <c r="U34" i="34"/>
  <c r="H39" i="33"/>
  <c r="AB39" i="33" s="1"/>
  <c r="F26" i="33"/>
  <c r="U33" i="33"/>
  <c r="S40" i="33"/>
  <c r="H39" i="37"/>
  <c r="AB39" i="37"/>
  <c r="S27" i="35"/>
  <c r="F11" i="40"/>
  <c r="AA11" i="40" s="1"/>
  <c r="H11" i="40"/>
  <c r="AB11" i="40" s="1"/>
  <c r="W8" i="40"/>
  <c r="AC40" i="40"/>
  <c r="AA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C25" i="39"/>
  <c r="C21" i="39"/>
  <c r="H11" i="39"/>
  <c r="S40" i="39"/>
  <c r="H32" i="33"/>
  <c r="AB32" i="33" s="1"/>
  <c r="H11" i="21"/>
  <c r="U11" i="21" s="1"/>
  <c r="J11" i="21"/>
  <c r="W11" i="21" s="1"/>
  <c r="H37" i="40"/>
  <c r="U37" i="40" s="1"/>
  <c r="H36" i="40"/>
  <c r="AB36" i="40" s="1"/>
  <c r="F35" i="40"/>
  <c r="AA35" i="40"/>
  <c r="H23" i="40"/>
  <c r="AB23" i="40" s="1"/>
  <c r="H17" i="40"/>
  <c r="U17" i="40"/>
  <c r="J15" i="40"/>
  <c r="W15" i="40" s="1"/>
  <c r="J11" i="40"/>
  <c r="W11" i="40" s="1"/>
  <c r="AA12" i="34"/>
  <c r="J34" i="36"/>
  <c r="W34" i="36"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G114" i="34" s="1"/>
  <c r="H114" i="34" s="1"/>
  <c r="H36" i="34"/>
  <c r="U36" i="34"/>
  <c r="F37" i="34"/>
  <c r="AA37" i="34" s="1"/>
  <c r="S35" i="34"/>
  <c r="AA28" i="34"/>
  <c r="F25" i="34"/>
  <c r="S25" i="34"/>
  <c r="H23" i="34"/>
  <c r="U23" i="34"/>
  <c r="J23" i="34"/>
  <c r="F19" i="34"/>
  <c r="H17" i="34"/>
  <c r="U17" i="34"/>
  <c r="F15" i="34"/>
  <c r="S15" i="34" s="1"/>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s="1"/>
  <c r="J36" i="34"/>
  <c r="W36" i="34"/>
  <c r="H37" i="34"/>
  <c r="U37" i="34" s="1"/>
  <c r="H25" i="34"/>
  <c r="AB25" i="34" s="1"/>
  <c r="J25" i="34"/>
  <c r="AC25" i="34" s="1"/>
  <c r="AB23" i="34"/>
  <c r="F23" i="34"/>
  <c r="AA23" i="34" s="1"/>
  <c r="J19" i="34"/>
  <c r="AC19" i="34"/>
  <c r="F17" i="34"/>
  <c r="AA17" i="34" s="1"/>
  <c r="J17" i="34"/>
  <c r="W17" i="34"/>
  <c r="AB17" i="34"/>
  <c r="AA15" i="34"/>
  <c r="S41" i="33"/>
  <c r="I113" i="33"/>
  <c r="J113" i="33" s="1"/>
  <c r="K113" i="33" s="1"/>
  <c r="L113" i="33" s="1"/>
  <c r="M113" i="33" s="1"/>
  <c r="H37" i="33"/>
  <c r="AB37" i="33" s="1"/>
  <c r="H15" i="33"/>
  <c r="AB15" i="33" s="1"/>
  <c r="H11" i="33"/>
  <c r="AB11" i="33" s="1"/>
  <c r="F28" i="40"/>
  <c r="AA28" i="40"/>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U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c r="H40" i="37"/>
  <c r="U40" i="37" s="1"/>
  <c r="J40" i="37"/>
  <c r="AC40" i="37"/>
  <c r="F40" i="37"/>
  <c r="AA40" i="37" s="1"/>
  <c r="AC12" i="40"/>
  <c r="W12" i="40"/>
  <c r="H14" i="33"/>
  <c r="U14" i="33" s="1"/>
  <c r="F14" i="33"/>
  <c r="AA14" i="33" s="1"/>
  <c r="S14" i="33"/>
  <c r="J14" i="33"/>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AB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W31" i="34"/>
  <c r="AC13" i="36"/>
  <c r="S11" i="36"/>
  <c r="AB46" i="34"/>
  <c r="AC30" i="34"/>
  <c r="AA14" i="34"/>
  <c r="S45" i="33"/>
  <c r="AB45" i="33"/>
  <c r="AB31" i="33"/>
  <c r="W29" i="33"/>
  <c r="S44" i="34"/>
  <c r="BA586" i="3"/>
  <c r="BA585" i="3"/>
  <c r="F17" i="21"/>
  <c r="AA17" i="21" s="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BA566" i="3"/>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BQ537" i="3"/>
  <c r="BL537" i="3" s="1"/>
  <c r="AZ537" i="3" s="1"/>
  <c r="BQ535" i="3"/>
  <c r="BL535" i="3" s="1"/>
  <c r="BQ533" i="3"/>
  <c r="BL533" i="3"/>
  <c r="AZ533" i="3" s="1"/>
  <c r="BQ531" i="3"/>
  <c r="BL531" i="3" s="1"/>
  <c r="AZ531" i="3" s="1"/>
  <c r="BQ529" i="3"/>
  <c r="BL529" i="3" s="1"/>
  <c r="AZ529" i="3" s="1"/>
  <c r="BQ527" i="3"/>
  <c r="BL527" i="3" s="1"/>
  <c r="AZ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AZ517" i="3" s="1"/>
  <c r="BQ515" i="3"/>
  <c r="BL515" i="3" s="1"/>
  <c r="BQ513" i="3"/>
  <c r="BL513" i="3" s="1"/>
  <c r="AZ513" i="3" s="1"/>
  <c r="BQ511" i="3"/>
  <c r="BL511" i="3" s="1"/>
  <c r="AZ511" i="3" s="1"/>
  <c r="BA509" i="3"/>
  <c r="AC509" i="3"/>
  <c r="BQ509" i="3"/>
  <c r="BL509" i="3" s="1"/>
  <c r="BL508" i="3"/>
  <c r="AZ508" i="3"/>
  <c r="G507" i="3"/>
  <c r="G505" i="3"/>
  <c r="G503" i="3"/>
  <c r="G501" i="3"/>
  <c r="G499" i="3"/>
  <c r="G497" i="3"/>
  <c r="G495" i="3"/>
  <c r="BQ507" i="3"/>
  <c r="BL507" i="3" s="1"/>
  <c r="AZ507" i="3" s="1"/>
  <c r="BQ505" i="3"/>
  <c r="BL505" i="3" s="1"/>
  <c r="AZ505" i="3" s="1"/>
  <c r="BQ503" i="3"/>
  <c r="BL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AC46" i="21"/>
  <c r="F43" i="33"/>
  <c r="AA43" i="33"/>
  <c r="W15" i="34"/>
  <c r="AC15" i="34"/>
  <c r="W16" i="35"/>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4"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BL140" i="3"/>
  <c r="AZ140" i="3" s="1"/>
  <c r="G141" i="3"/>
  <c r="BA143" i="3"/>
  <c r="AZ143" i="3" s="1"/>
  <c r="BL144" i="3"/>
  <c r="G145" i="3"/>
  <c r="BA147" i="3"/>
  <c r="AZ147" i="3" s="1"/>
  <c r="BL148" i="3"/>
  <c r="G149" i="3"/>
  <c r="BA151" i="3"/>
  <c r="BL152" i="3"/>
  <c r="G153" i="3"/>
  <c r="BA155" i="3"/>
  <c r="BL156" i="3"/>
  <c r="AZ156" i="3" s="1"/>
  <c r="G157" i="3"/>
  <c r="BA159" i="3"/>
  <c r="AZ159" i="3" s="1"/>
  <c r="BL160" i="3"/>
  <c r="G161" i="3"/>
  <c r="BA163" i="3"/>
  <c r="AZ163" i="3" s="1"/>
  <c r="BL164" i="3"/>
  <c r="AZ164" i="3" s="1"/>
  <c r="G165" i="3"/>
  <c r="BA167" i="3"/>
  <c r="BL168" i="3"/>
  <c r="G169" i="3"/>
  <c r="BA171" i="3"/>
  <c r="AZ171" i="3" s="1"/>
  <c r="BL172" i="3"/>
  <c r="G173" i="3"/>
  <c r="BA175" i="3"/>
  <c r="BL176" i="3"/>
  <c r="AZ176" i="3" s="1"/>
  <c r="G177" i="3"/>
  <c r="BA179" i="3"/>
  <c r="AZ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152" i="3"/>
  <c r="AZ105"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46" i="3"/>
  <c r="AZ182" i="3"/>
  <c r="AZ186" i="3"/>
  <c r="AZ190" i="3"/>
  <c r="AZ500" i="3"/>
  <c r="BA16" i="3"/>
  <c r="BL303" i="3"/>
  <c r="G304" i="3"/>
  <c r="BA306" i="3"/>
  <c r="AZ306" i="3" s="1"/>
  <c r="BL307" i="3"/>
  <c r="AZ307" i="3" s="1"/>
  <c r="G308" i="3"/>
  <c r="BA310" i="3"/>
  <c r="BL311" i="3"/>
  <c r="AZ311" i="3" s="1"/>
  <c r="G312" i="3"/>
  <c r="BA314" i="3"/>
  <c r="BL315" i="3"/>
  <c r="AZ315" i="3" s="1"/>
  <c r="G316" i="3"/>
  <c r="BA318" i="3"/>
  <c r="BL319" i="3"/>
  <c r="AZ319" i="3" s="1"/>
  <c r="G320" i="3"/>
  <c r="BA322" i="3"/>
  <c r="BL323" i="3"/>
  <c r="AZ323" i="3" s="1"/>
  <c r="G324" i="3"/>
  <c r="BA326" i="3"/>
  <c r="AZ326" i="3" s="1"/>
  <c r="BL327" i="3"/>
  <c r="AZ327" i="3"/>
  <c r="G328" i="3"/>
  <c r="BA330" i="3"/>
  <c r="AZ330" i="3" s="1"/>
  <c r="BL331" i="3"/>
  <c r="AZ331" i="3" s="1"/>
  <c r="G332" i="3"/>
  <c r="BA334" i="3"/>
  <c r="AZ334" i="3" s="1"/>
  <c r="BL335" i="3"/>
  <c r="G336" i="3"/>
  <c r="BA338" i="3"/>
  <c r="AZ338" i="3" s="1"/>
  <c r="BL339" i="3"/>
  <c r="G340" i="3"/>
  <c r="BL343" i="3"/>
  <c r="G344" i="3"/>
  <c r="G348" i="3"/>
  <c r="G355" i="3"/>
  <c r="AZ209" i="3"/>
  <c r="G342" i="3"/>
  <c r="BL345" i="3"/>
  <c r="AZ345" i="3" s="1"/>
  <c r="G346" i="3"/>
  <c r="BL349" i="3"/>
  <c r="AZ349" i="3" s="1"/>
  <c r="BL352" i="3"/>
  <c r="G353" i="3"/>
  <c r="BA357" i="3"/>
  <c r="AZ357" i="3" s="1"/>
  <c r="BL358" i="3"/>
  <c r="G359" i="3"/>
  <c r="BA361" i="3"/>
  <c r="AZ361" i="3" s="1"/>
  <c r="BL362" i="3"/>
  <c r="G363" i="3"/>
  <c r="BA365" i="3"/>
  <c r="BL366" i="3"/>
  <c r="AZ366" i="3"/>
  <c r="G367" i="3"/>
  <c r="BA369" i="3"/>
  <c r="AZ369" i="3" s="1"/>
  <c r="BL370" i="3"/>
  <c r="AZ370" i="3" s="1"/>
  <c r="G371" i="3"/>
  <c r="BA373" i="3"/>
  <c r="BL374" i="3"/>
  <c r="AZ374" i="3" s="1"/>
  <c r="G375" i="3"/>
  <c r="BA377" i="3"/>
  <c r="AZ377" i="3" s="1"/>
  <c r="AZ233" i="3"/>
  <c r="AZ237" i="3"/>
  <c r="AZ273" i="3"/>
  <c r="BA379" i="3"/>
  <c r="AZ379" i="3" s="1"/>
  <c r="BL380" i="3"/>
  <c r="G381" i="3"/>
  <c r="BA383" i="3"/>
  <c r="BL384" i="3"/>
  <c r="AZ384" i="3" s="1"/>
  <c r="G385" i="3"/>
  <c r="BA387" i="3"/>
  <c r="BL388" i="3"/>
  <c r="G389" i="3"/>
  <c r="BA391" i="3"/>
  <c r="BL392" i="3"/>
  <c r="AZ392" i="3" s="1"/>
  <c r="G393" i="3"/>
  <c r="AZ287" i="3"/>
  <c r="BO5" i="3"/>
  <c r="BM5" i="3"/>
  <c r="BJ5" i="3"/>
  <c r="BH5" i="3"/>
  <c r="BF5" i="3"/>
  <c r="BD5" i="3"/>
  <c r="AZ309"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E5" i="6" s="1"/>
  <c r="BR5" i="3"/>
  <c r="AZ388" i="3"/>
  <c r="AZ499" i="3"/>
  <c r="AZ509" i="3"/>
  <c r="G509" i="3"/>
  <c r="BL493" i="3"/>
  <c r="AZ493" i="3" s="1"/>
  <c r="AZ491" i="3"/>
  <c r="AZ390" i="3"/>
  <c r="U36" i="40"/>
  <c r="F83" i="43"/>
  <c r="H85" i="43" s="1"/>
  <c r="F50" i="43"/>
  <c r="H54" i="43" s="1"/>
  <c r="F72" i="43"/>
  <c r="H75" i="43" s="1"/>
  <c r="U17" i="39"/>
  <c r="S14" i="35"/>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232" i="3"/>
  <c r="AZ235" i="3"/>
  <c r="AZ271" i="3"/>
  <c r="AZ280" i="3"/>
  <c r="AZ288" i="3"/>
  <c r="AZ117" i="3"/>
  <c r="AZ61" i="3"/>
  <c r="AZ74" i="3"/>
  <c r="AZ77" i="3"/>
  <c r="AZ110" i="3"/>
  <c r="F23" i="39"/>
  <c r="AA23" i="39" s="1"/>
  <c r="H27" i="36"/>
  <c r="U27" i="36" s="1"/>
  <c r="F27" i="36"/>
  <c r="AA27" i="36" s="1"/>
  <c r="H33" i="34"/>
  <c r="U33" i="34" s="1"/>
  <c r="F32" i="37"/>
  <c r="AA32" i="37" s="1"/>
  <c r="G96" i="37"/>
  <c r="H96" i="37" s="1"/>
  <c r="I96" i="37" s="1"/>
  <c r="J96" i="37" s="1"/>
  <c r="K96" i="37" s="1"/>
  <c r="L96" i="37" s="1"/>
  <c r="M96" i="37" s="1"/>
  <c r="F20" i="36"/>
  <c r="S20" i="36" s="1"/>
  <c r="J33" i="34"/>
  <c r="AC33" i="34" s="1"/>
  <c r="H23" i="39"/>
  <c r="U23" i="39" s="1"/>
  <c r="D48" i="9"/>
  <c r="M52" i="9" s="1"/>
  <c r="K9" i="1"/>
  <c r="M9" i="1" s="1"/>
  <c r="G29" i="6"/>
  <c r="AB34" i="36"/>
  <c r="U34" i="36"/>
  <c r="AB33" i="36"/>
  <c r="U33" i="36"/>
  <c r="AC12" i="39"/>
  <c r="W12" i="39"/>
  <c r="AZ401" i="3"/>
  <c r="AZ412" i="3"/>
  <c r="AZ433" i="3"/>
  <c r="AA32" i="36"/>
  <c r="S32" i="36"/>
  <c r="AZ441" i="3"/>
  <c r="AA39" i="34"/>
  <c r="F28" i="6"/>
  <c r="BL14" i="3"/>
  <c r="U30" i="33"/>
  <c r="AC13" i="34"/>
  <c r="AA47" i="34"/>
  <c r="W28" i="37"/>
  <c r="S19" i="39"/>
  <c r="F12" i="33"/>
  <c r="H12" i="39"/>
  <c r="AB12" i="39" s="1"/>
  <c r="F39" i="40"/>
  <c r="BA14" i="3"/>
  <c r="AZ14" i="3" s="1"/>
  <c r="AZ234" i="3"/>
  <c r="AZ286" i="3"/>
  <c r="AZ297" i="3"/>
  <c r="AZ157" i="3"/>
  <c r="AZ181" i="3"/>
  <c r="B12" i="1"/>
  <c r="E12" i="1" s="1"/>
  <c r="B10" i="1"/>
  <c r="E10" i="1" s="1"/>
  <c r="K12" i="1"/>
  <c r="M12" i="1" s="1"/>
  <c r="S13" i="1"/>
  <c r="AR13" i="1" s="1"/>
  <c r="R13" i="1"/>
  <c r="J51" i="67"/>
  <c r="AC34" i="33"/>
  <c r="AB37" i="40"/>
  <c r="S35" i="40"/>
  <c r="U35" i="40"/>
  <c r="AC36" i="40"/>
  <c r="AA32" i="40"/>
  <c r="S17" i="40"/>
  <c r="S23" i="40"/>
  <c r="AC17" i="40"/>
  <c r="AC15" i="40"/>
  <c r="AB27" i="40"/>
  <c r="S30" i="40"/>
  <c r="AA19" i="40"/>
  <c r="S28" i="40"/>
  <c r="U21" i="40"/>
  <c r="AB19" i="40"/>
  <c r="U37" i="39"/>
  <c r="S43" i="39"/>
  <c r="U35" i="39"/>
  <c r="F32" i="39"/>
  <c r="S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W19" i="33"/>
  <c r="J17" i="33"/>
  <c r="F79" i="33"/>
  <c r="G79" i="33" s="1"/>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A33" i="21"/>
  <c r="AC33" i="21"/>
  <c r="AB33" i="21"/>
  <c r="AB14" i="21"/>
  <c r="AB46" i="21"/>
  <c r="AB31" i="21"/>
  <c r="U31" i="21"/>
  <c r="H15" i="21"/>
  <c r="U15" i="21" s="1"/>
  <c r="J17" i="21"/>
  <c r="AC17" i="21" s="1"/>
  <c r="AC14" i="21"/>
  <c r="W30" i="21"/>
  <c r="S46" i="21"/>
  <c r="H45" i="21"/>
  <c r="U45" i="21" s="1"/>
  <c r="F29" i="21"/>
  <c r="S29" i="21" s="1"/>
  <c r="F13" i="21"/>
  <c r="AA13" i="21" s="1"/>
  <c r="H9" i="21"/>
  <c r="U9" i="21" s="1"/>
  <c r="J9" i="21"/>
  <c r="AC9" i="21" s="1"/>
  <c r="J32" i="21"/>
  <c r="W32" i="21" s="1"/>
  <c r="AA31" i="21"/>
  <c r="W29" i="21"/>
  <c r="AA9" i="21"/>
  <c r="K141" i="21"/>
  <c r="K144" i="21"/>
  <c r="K143" i="21"/>
  <c r="AA30" i="21"/>
  <c r="W13" i="21"/>
  <c r="AC45" i="21"/>
  <c r="F10" i="21"/>
  <c r="AA10" i="21" s="1"/>
  <c r="K145" i="21"/>
  <c r="AA29" i="21"/>
  <c r="W31" i="21"/>
  <c r="S17" i="21"/>
  <c r="AB29" i="21"/>
  <c r="AB36" i="21"/>
  <c r="W30" i="40"/>
  <c r="C19" i="39"/>
  <c r="C15" i="40"/>
  <c r="C17" i="40"/>
  <c r="C23" i="40"/>
  <c r="C21" i="40"/>
  <c r="U30" i="40"/>
  <c r="B54" i="43"/>
  <c r="B58" i="43"/>
  <c r="B62" i="43"/>
  <c r="B65" i="43"/>
  <c r="B69" i="43"/>
  <c r="E4" i="4"/>
  <c r="B5" i="62" s="1"/>
  <c r="B73" i="72" s="1"/>
  <c r="C4" i="4"/>
  <c r="AA39" i="40"/>
  <c r="S39" i="40"/>
  <c r="S12" i="33"/>
  <c r="AA12" i="33"/>
  <c r="J32" i="39"/>
  <c r="W32" i="39" s="1"/>
  <c r="H32" i="39"/>
  <c r="AB32" i="39" s="1"/>
  <c r="AA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U41" i="33"/>
  <c r="W35" i="33"/>
  <c r="AC35" i="33"/>
  <c r="J36" i="33"/>
  <c r="W36" i="33" s="1"/>
  <c r="H36" i="33"/>
  <c r="U36" i="33" s="1"/>
  <c r="S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S17" i="33" s="1"/>
  <c r="W17" i="33"/>
  <c r="AC17" i="33"/>
  <c r="AB15" i="21"/>
  <c r="J23" i="21"/>
  <c r="W23" i="21" s="1"/>
  <c r="F85" i="21"/>
  <c r="G85" i="21" s="1"/>
  <c r="H23" i="21"/>
  <c r="U23" i="21" s="1"/>
  <c r="D6" i="52"/>
  <c r="AP7" i="1"/>
  <c r="W9" i="21"/>
  <c r="A18" i="62"/>
  <c r="B64" i="72" s="1"/>
  <c r="U32" i="39"/>
  <c r="AC32" i="39"/>
  <c r="W23" i="37"/>
  <c r="AC23" i="37"/>
  <c r="H63" i="37"/>
  <c r="I63" i="37" s="1"/>
  <c r="J63" i="37" s="1"/>
  <c r="K63" i="37" s="1"/>
  <c r="L63" i="37" s="1"/>
  <c r="M63" i="37" s="1"/>
  <c r="J11" i="37"/>
  <c r="AC11" i="37" s="1"/>
  <c r="J11" i="34"/>
  <c r="W11" i="34" s="1"/>
  <c r="W27" i="33"/>
  <c r="AC27" i="33"/>
  <c r="W25" i="33"/>
  <c r="AC25" i="33"/>
  <c r="AB19" i="33"/>
  <c r="U19" i="33"/>
  <c r="AA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F21" i="71"/>
  <c r="F20" i="71" s="1"/>
  <c r="F19" i="71" s="1"/>
  <c r="F18" i="71" s="1"/>
  <c r="F17" i="71" s="1"/>
  <c r="Y20" i="71"/>
  <c r="Z20" i="71" s="1"/>
  <c r="X3" i="71"/>
  <c r="B8" i="76"/>
  <c r="J15" i="67"/>
  <c r="B9" i="76"/>
  <c r="M29" i="67"/>
  <c r="F40" i="15"/>
  <c r="F13" i="67"/>
  <c r="M22" i="15"/>
  <c r="D35" i="9"/>
  <c r="E7" i="76"/>
  <c r="F8" i="67"/>
  <c r="F43" i="15"/>
  <c r="M9" i="15"/>
  <c r="D34" i="9"/>
  <c r="B7" i="76"/>
  <c r="E8" i="76"/>
  <c r="F38" i="67"/>
  <c r="B10" i="76"/>
  <c r="E2" i="68"/>
  <c r="F26" i="67"/>
  <c r="F7" i="73"/>
  <c r="M8" i="67"/>
  <c r="M22" i="67"/>
  <c r="F20" i="31"/>
  <c r="F26" i="15"/>
  <c r="C76" i="15"/>
  <c r="F37" i="15"/>
  <c r="F36" i="15"/>
  <c r="E12" i="76"/>
  <c r="AO13" i="1"/>
  <c r="F4" i="73"/>
  <c r="M6" i="15"/>
  <c r="E2" i="69"/>
  <c r="E13" i="76"/>
  <c r="E11" i="76"/>
  <c r="C76" i="67"/>
  <c r="M9" i="67"/>
  <c r="B11" i="76"/>
  <c r="F6" i="67"/>
  <c r="F37" i="67"/>
  <c r="B12" i="76"/>
  <c r="B13" i="76"/>
  <c r="M26" i="67"/>
  <c r="F3" i="73"/>
  <c r="F9" i="67"/>
  <c r="M6" i="67"/>
  <c r="E9" i="76"/>
  <c r="L47" i="15"/>
  <c r="E10" i="76"/>
  <c r="F40" i="67"/>
  <c r="M23" i="15"/>
  <c r="M26" i="15"/>
  <c r="M28" i="67"/>
  <c r="M24" i="67"/>
  <c r="F9" i="15"/>
  <c r="F8" i="15"/>
  <c r="F5" i="73"/>
  <c r="F38" i="15"/>
  <c r="F16" i="67"/>
  <c r="M28" i="15"/>
  <c r="M23" i="67"/>
  <c r="L48" i="67"/>
  <c r="F36" i="67"/>
  <c r="F6" i="73"/>
  <c r="W37" i="21" l="1"/>
  <c r="AA37" i="21"/>
  <c r="J28" i="21"/>
  <c r="W28" i="21" s="1"/>
  <c r="AA23" i="21"/>
  <c r="U17" i="21"/>
  <c r="S23" i="33"/>
  <c r="AB45" i="21"/>
  <c r="S17" i="37"/>
  <c r="AA27" i="40"/>
  <c r="AA20" i="36"/>
  <c r="AZ391" i="3"/>
  <c r="AZ373" i="3"/>
  <c r="AZ382" i="3"/>
  <c r="AB36" i="33"/>
  <c r="AZ362" i="3"/>
  <c r="AA34" i="35"/>
  <c r="S34" i="35"/>
  <c r="AB17" i="33"/>
  <c r="W19" i="37"/>
  <c r="S43" i="34"/>
  <c r="AA34" i="33"/>
  <c r="AZ15" i="3"/>
  <c r="AZ347" i="3"/>
  <c r="AZ344" i="3"/>
  <c r="AZ305" i="3"/>
  <c r="AZ387" i="3"/>
  <c r="AZ352" i="3"/>
  <c r="AZ322" i="3"/>
  <c r="AZ351" i="3"/>
  <c r="AZ394" i="3"/>
  <c r="AZ571" i="3"/>
  <c r="AZ579" i="3"/>
  <c r="F12" i="21"/>
  <c r="J12" i="21"/>
  <c r="AB30" i="37"/>
  <c r="U30" i="37"/>
  <c r="AZ438" i="3"/>
  <c r="AZ318" i="3"/>
  <c r="AZ310" i="3"/>
  <c r="AZ355" i="3"/>
  <c r="AZ337" i="3"/>
  <c r="AZ376" i="3"/>
  <c r="AZ360" i="3"/>
  <c r="AZ343" i="3"/>
  <c r="AZ503" i="3"/>
  <c r="AZ515" i="3"/>
  <c r="AZ523" i="3"/>
  <c r="AZ539" i="3"/>
  <c r="AZ581" i="3"/>
  <c r="AZ528" i="3"/>
  <c r="AZ566" i="3"/>
  <c r="AZ574" i="3"/>
  <c r="AZ582" i="3"/>
  <c r="AB30" i="21"/>
  <c r="AA44" i="33"/>
  <c r="E115" i="21"/>
  <c r="F115" i="21" s="1"/>
  <c r="G115" i="21" s="1"/>
  <c r="H115" i="21" s="1"/>
  <c r="I115" i="21" s="1"/>
  <c r="J115" i="21" s="1"/>
  <c r="K115" i="21" s="1"/>
  <c r="L115" i="21" s="1"/>
  <c r="M115" i="21" s="1"/>
  <c r="H38" i="21"/>
  <c r="U38" i="21" s="1"/>
  <c r="F42" i="21"/>
  <c r="AA42" i="21" s="1"/>
  <c r="AZ475" i="3"/>
  <c r="AZ535" i="3"/>
  <c r="AZ577" i="3"/>
  <c r="AZ567" i="3"/>
  <c r="AZ575" i="3"/>
  <c r="AZ568" i="3"/>
  <c r="AA29" i="35"/>
  <c r="AA34" i="21"/>
  <c r="S34" i="21"/>
  <c r="AZ553" i="3"/>
  <c r="AZ516" i="3"/>
  <c r="B97" i="43"/>
  <c r="B75" i="43"/>
  <c r="J36" i="35"/>
  <c r="H40" i="40"/>
  <c r="G556" i="3"/>
  <c r="BA550" i="3"/>
  <c r="G526" i="3"/>
  <c r="BA13" i="3"/>
  <c r="G400" i="3"/>
  <c r="BL400" i="3"/>
  <c r="BA403" i="3"/>
  <c r="BA404" i="3"/>
  <c r="AZ404" i="3" s="1"/>
  <c r="BA409" i="3"/>
  <c r="AZ409" i="3" s="1"/>
  <c r="G412" i="3"/>
  <c r="G413" i="3"/>
  <c r="BL413" i="3"/>
  <c r="G422" i="3"/>
  <c r="G424" i="3"/>
  <c r="BL424" i="3"/>
  <c r="BA430" i="3"/>
  <c r="AZ430" i="3" s="1"/>
  <c r="G433" i="3"/>
  <c r="G434" i="3"/>
  <c r="G439" i="3"/>
  <c r="BL439" i="3"/>
  <c r="AZ439" i="3" s="1"/>
  <c r="BL442" i="3"/>
  <c r="AZ442" i="3" s="1"/>
  <c r="BA445" i="3"/>
  <c r="AZ445" i="3" s="1"/>
  <c r="BA446" i="3"/>
  <c r="AZ446" i="3" s="1"/>
  <c r="BA447" i="3"/>
  <c r="AZ447" i="3" s="1"/>
  <c r="G450" i="3"/>
  <c r="BL459" i="3"/>
  <c r="BA464" i="3"/>
  <c r="AZ464" i="3" s="1"/>
  <c r="BA465" i="3"/>
  <c r="AZ465" i="3" s="1"/>
  <c r="BL469" i="3"/>
  <c r="G470" i="3"/>
  <c r="BL470" i="3"/>
  <c r="G478" i="3"/>
  <c r="AZ481" i="3"/>
  <c r="G323" i="3"/>
  <c r="BL368" i="3"/>
  <c r="AZ368" i="3" s="1"/>
  <c r="AZ385" i="3"/>
  <c r="AZ399" i="3"/>
  <c r="AZ400" i="3"/>
  <c r="AZ406" i="3"/>
  <c r="AZ411" i="3"/>
  <c r="AZ413" i="3"/>
  <c r="AZ421" i="3"/>
  <c r="AZ423" i="3"/>
  <c r="AZ424" i="3"/>
  <c r="AZ432" i="3"/>
  <c r="G436" i="3"/>
  <c r="BL436" i="3"/>
  <c r="G441" i="3"/>
  <c r="G442" i="3"/>
  <c r="BA449" i="3"/>
  <c r="AZ449" i="3" s="1"/>
  <c r="BA450" i="3"/>
  <c r="AZ450" i="3" s="1"/>
  <c r="G452" i="3"/>
  <c r="BL452" i="3"/>
  <c r="BL454" i="3"/>
  <c r="AZ458" i="3"/>
  <c r="AZ469" i="3"/>
  <c r="BL472" i="3"/>
  <c r="AZ478" i="3"/>
  <c r="AZ480" i="3"/>
  <c r="BA358" i="3"/>
  <c r="AZ358" i="3" s="1"/>
  <c r="G366" i="3"/>
  <c r="AZ231" i="3"/>
  <c r="BA276" i="3"/>
  <c r="BL139" i="3"/>
  <c r="AZ139" i="3" s="1"/>
  <c r="F37" i="39"/>
  <c r="F40" i="40"/>
  <c r="G570" i="3"/>
  <c r="BL15" i="3"/>
  <c r="BL16" i="3"/>
  <c r="AZ16" i="3" s="1"/>
  <c r="BL403" i="3"/>
  <c r="BL408" i="3"/>
  <c r="AZ408" i="3" s="1"/>
  <c r="BA414" i="3"/>
  <c r="AZ414" i="3" s="1"/>
  <c r="BA425" i="3"/>
  <c r="AZ425" i="3" s="1"/>
  <c r="BL429" i="3"/>
  <c r="AZ429" i="3" s="1"/>
  <c r="BL437" i="3"/>
  <c r="AZ437" i="3" s="1"/>
  <c r="AZ440" i="3"/>
  <c r="AZ443" i="3"/>
  <c r="BL444" i="3"/>
  <c r="AZ444" i="3" s="1"/>
  <c r="BL446" i="3"/>
  <c r="BL456" i="3"/>
  <c r="AZ456" i="3" s="1"/>
  <c r="BA459" i="3"/>
  <c r="AZ459" i="3" s="1"/>
  <c r="BA460" i="3"/>
  <c r="AZ460" i="3" s="1"/>
  <c r="BL463" i="3"/>
  <c r="AZ471" i="3"/>
  <c r="AZ472" i="3"/>
  <c r="BA477" i="3"/>
  <c r="BA352" i="3"/>
  <c r="BA211" i="3"/>
  <c r="AZ216" i="3"/>
  <c r="BL218" i="3"/>
  <c r="AZ218" i="3" s="1"/>
  <c r="BA222" i="3"/>
  <c r="BA252" i="3"/>
  <c r="BA259" i="3"/>
  <c r="G263" i="3"/>
  <c r="G270" i="3"/>
  <c r="G279" i="3"/>
  <c r="G398" i="3"/>
  <c r="BL398" i="3"/>
  <c r="G403" i="3"/>
  <c r="G405" i="3"/>
  <c r="BL405" i="3"/>
  <c r="G410" i="3"/>
  <c r="BL410" i="3"/>
  <c r="BA416" i="3"/>
  <c r="AZ416" i="3" s="1"/>
  <c r="BA417" i="3"/>
  <c r="AZ417" i="3" s="1"/>
  <c r="BA418" i="3"/>
  <c r="AZ418" i="3" s="1"/>
  <c r="G420" i="3"/>
  <c r="BL420" i="3"/>
  <c r="BL422" i="3"/>
  <c r="AZ422" i="3" s="1"/>
  <c r="BA427" i="3"/>
  <c r="AZ427" i="3" s="1"/>
  <c r="BA428" i="3"/>
  <c r="AZ428" i="3" s="1"/>
  <c r="G431" i="3"/>
  <c r="BL431" i="3"/>
  <c r="BL434" i="3"/>
  <c r="AZ434" i="3" s="1"/>
  <c r="G446" i="3"/>
  <c r="G448" i="3"/>
  <c r="BL448" i="3"/>
  <c r="BL450" i="3"/>
  <c r="BA453" i="3"/>
  <c r="AZ453" i="3" s="1"/>
  <c r="BA454" i="3"/>
  <c r="AZ454" i="3" s="1"/>
  <c r="BA455" i="3"/>
  <c r="AZ455" i="3" s="1"/>
  <c r="BL457" i="3"/>
  <c r="AZ457" i="3" s="1"/>
  <c r="G465" i="3"/>
  <c r="G466" i="3"/>
  <c r="BL466" i="3"/>
  <c r="AZ466" i="3" s="1"/>
  <c r="BL468" i="3"/>
  <c r="BA473" i="3"/>
  <c r="AZ473" i="3" s="1"/>
  <c r="BA474" i="3"/>
  <c r="AZ474" i="3" s="1"/>
  <c r="BA476" i="3"/>
  <c r="AZ476" i="3" s="1"/>
  <c r="BL478" i="3"/>
  <c r="G479" i="3"/>
  <c r="BL479" i="3"/>
  <c r="BL480" i="3"/>
  <c r="G481" i="3"/>
  <c r="BA482" i="3"/>
  <c r="AZ482" i="3" s="1"/>
  <c r="BA485" i="3"/>
  <c r="BA489" i="3"/>
  <c r="BA303" i="3"/>
  <c r="AZ303" i="3" s="1"/>
  <c r="BL314" i="3"/>
  <c r="AZ314" i="3" s="1"/>
  <c r="BA316" i="3"/>
  <c r="AZ316" i="3" s="1"/>
  <c r="BL324" i="3"/>
  <c r="AZ324" i="3" s="1"/>
  <c r="BL328" i="3"/>
  <c r="AZ328" i="3" s="1"/>
  <c r="G329" i="3"/>
  <c r="BA335" i="3"/>
  <c r="AZ335" i="3" s="1"/>
  <c r="BL353" i="3"/>
  <c r="AZ353" i="3" s="1"/>
  <c r="G384" i="3"/>
  <c r="BA396" i="3"/>
  <c r="AZ396" i="3" s="1"/>
  <c r="BL217" i="3"/>
  <c r="AZ217" i="3" s="1"/>
  <c r="AZ270" i="3"/>
  <c r="BA281" i="3"/>
  <c r="G285" i="3"/>
  <c r="AZ113" i="3"/>
  <c r="BL393" i="3"/>
  <c r="AZ393" i="3" s="1"/>
  <c r="BL396" i="3"/>
  <c r="BL211" i="3"/>
  <c r="BA220" i="3"/>
  <c r="AZ220" i="3" s="1"/>
  <c r="BL222" i="3"/>
  <c r="BA225" i="3"/>
  <c r="AZ225" i="3" s="1"/>
  <c r="BL227" i="3"/>
  <c r="AZ227" i="3" s="1"/>
  <c r="BL238" i="3"/>
  <c r="AZ238" i="3" s="1"/>
  <c r="BA244" i="3"/>
  <c r="AZ244" i="3" s="1"/>
  <c r="BA245" i="3"/>
  <c r="AZ245" i="3" s="1"/>
  <c r="BL252" i="3"/>
  <c r="BA255" i="3"/>
  <c r="AZ255" i="3" s="1"/>
  <c r="BA256" i="3"/>
  <c r="AZ256" i="3" s="1"/>
  <c r="BA257" i="3"/>
  <c r="AZ257" i="3" s="1"/>
  <c r="BL259" i="3"/>
  <c r="BA264" i="3"/>
  <c r="AZ264" i="3" s="1"/>
  <c r="BA265" i="3"/>
  <c r="AZ265" i="3" s="1"/>
  <c r="BA266" i="3"/>
  <c r="AZ266" i="3" s="1"/>
  <c r="BL268" i="3"/>
  <c r="AZ268" i="3" s="1"/>
  <c r="BL276" i="3"/>
  <c r="BL281" i="3"/>
  <c r="BA290" i="3"/>
  <c r="AZ290" i="3" s="1"/>
  <c r="BA291" i="3"/>
  <c r="AZ291" i="3" s="1"/>
  <c r="BL294" i="3"/>
  <c r="BL300" i="3"/>
  <c r="BA116" i="3"/>
  <c r="AZ116" i="3" s="1"/>
  <c r="BA120" i="3"/>
  <c r="AZ120" i="3" s="1"/>
  <c r="BA122" i="3"/>
  <c r="AZ122" i="3" s="1"/>
  <c r="BA125" i="3"/>
  <c r="AZ125" i="3" s="1"/>
  <c r="BL130" i="3"/>
  <c r="AZ130" i="3" s="1"/>
  <c r="BL134" i="3"/>
  <c r="BL137" i="3"/>
  <c r="BA144" i="3"/>
  <c r="AZ144" i="3" s="1"/>
  <c r="BA149" i="3"/>
  <c r="AZ149" i="3" s="1"/>
  <c r="BA150" i="3"/>
  <c r="AZ150" i="3" s="1"/>
  <c r="BA153" i="3"/>
  <c r="AZ153" i="3" s="1"/>
  <c r="BA154" i="3"/>
  <c r="AZ154" i="3" s="1"/>
  <c r="BL158" i="3"/>
  <c r="AZ158" i="3" s="1"/>
  <c r="BL161" i="3"/>
  <c r="BL167" i="3"/>
  <c r="AZ167" i="3" s="1"/>
  <c r="AB35" i="71"/>
  <c r="AB33" i="71"/>
  <c r="AB32" i="71"/>
  <c r="AB29" i="71"/>
  <c r="C38" i="71"/>
  <c r="Y37" i="71"/>
  <c r="Z37" i="71" s="1"/>
  <c r="Y35" i="71"/>
  <c r="Z35" i="71" s="1"/>
  <c r="D50" i="71"/>
  <c r="C51" i="71"/>
  <c r="BA467" i="3"/>
  <c r="AZ467" i="3" s="1"/>
  <c r="G475" i="3"/>
  <c r="BL475" i="3"/>
  <c r="BL477" i="3"/>
  <c r="BA484" i="3"/>
  <c r="AZ484" i="3" s="1"/>
  <c r="G487" i="3"/>
  <c r="G489" i="3"/>
  <c r="BL489" i="3"/>
  <c r="BA492" i="3"/>
  <c r="AZ492" i="3" s="1"/>
  <c r="BL316" i="3"/>
  <c r="G318" i="3"/>
  <c r="BL332" i="3"/>
  <c r="AZ332" i="3" s="1"/>
  <c r="G334" i="3"/>
  <c r="G339" i="3"/>
  <c r="BL359" i="3"/>
  <c r="AZ359" i="3" s="1"/>
  <c r="BL365" i="3"/>
  <c r="AZ365" i="3" s="1"/>
  <c r="G378" i="3"/>
  <c r="BL383" i="3"/>
  <c r="AZ383" i="3" s="1"/>
  <c r="BA210" i="3"/>
  <c r="AZ210" i="3" s="1"/>
  <c r="G213" i="3"/>
  <c r="G214" i="3"/>
  <c r="G215" i="3"/>
  <c r="G216" i="3"/>
  <c r="BL216" i="3"/>
  <c r="BL223" i="3"/>
  <c r="AZ223" i="3" s="1"/>
  <c r="G229" i="3"/>
  <c r="G230" i="3"/>
  <c r="BL230" i="3"/>
  <c r="AZ230" i="3" s="1"/>
  <c r="BL242" i="3"/>
  <c r="AZ242" i="3" s="1"/>
  <c r="BA247" i="3"/>
  <c r="AZ247" i="3" s="1"/>
  <c r="BA248" i="3"/>
  <c r="AZ248" i="3" s="1"/>
  <c r="BA249" i="3"/>
  <c r="AZ249" i="3" s="1"/>
  <c r="BA250" i="3"/>
  <c r="AZ250" i="3" s="1"/>
  <c r="BA251" i="3"/>
  <c r="AZ251" i="3" s="1"/>
  <c r="BL253" i="3"/>
  <c r="AZ253" i="3" s="1"/>
  <c r="G261" i="3"/>
  <c r="G262" i="3"/>
  <c r="BL262" i="3"/>
  <c r="AZ262" i="3" s="1"/>
  <c r="BL269" i="3"/>
  <c r="AZ269" i="3" s="1"/>
  <c r="BA274" i="3"/>
  <c r="AZ274" i="3" s="1"/>
  <c r="BA275" i="3"/>
  <c r="AZ275" i="3" s="1"/>
  <c r="G278" i="3"/>
  <c r="BL278" i="3"/>
  <c r="AZ278" i="3" s="1"/>
  <c r="G283" i="3"/>
  <c r="G284" i="3"/>
  <c r="BL284" i="3"/>
  <c r="AZ284" i="3" s="1"/>
  <c r="BA293" i="3"/>
  <c r="AZ293" i="3" s="1"/>
  <c r="BL295" i="3"/>
  <c r="AZ295" i="3" s="1"/>
  <c r="BA298" i="3"/>
  <c r="AZ298" i="3" s="1"/>
  <c r="BA299" i="3"/>
  <c r="AZ299" i="3" s="1"/>
  <c r="BL302" i="3"/>
  <c r="AZ302" i="3" s="1"/>
  <c r="BL113" i="3"/>
  <c r="BA128" i="3"/>
  <c r="AZ128" i="3" s="1"/>
  <c r="BA133" i="3"/>
  <c r="AZ133" i="3" s="1"/>
  <c r="G136" i="3"/>
  <c r="BL138" i="3"/>
  <c r="AZ138" i="3" s="1"/>
  <c r="BL141" i="3"/>
  <c r="AZ141" i="3" s="1"/>
  <c r="BA148" i="3"/>
  <c r="AZ148" i="3" s="1"/>
  <c r="BL162" i="3"/>
  <c r="AZ162" i="3" s="1"/>
  <c r="BA172" i="3"/>
  <c r="AZ172" i="3" s="1"/>
  <c r="BA204" i="3"/>
  <c r="AZ204" i="3" s="1"/>
  <c r="G207" i="3"/>
  <c r="BA20" i="3"/>
  <c r="AZ20" i="3" s="1"/>
  <c r="BA34" i="3"/>
  <c r="BA57" i="3"/>
  <c r="AZ57" i="3" s="1"/>
  <c r="G60" i="3"/>
  <c r="BA63" i="3"/>
  <c r="AZ63" i="3" s="1"/>
  <c r="G67" i="3"/>
  <c r="BA70" i="3"/>
  <c r="AZ70" i="3" s="1"/>
  <c r="G73" i="3"/>
  <c r="BA85" i="3"/>
  <c r="AZ85" i="3" s="1"/>
  <c r="G89" i="3"/>
  <c r="W21" i="37"/>
  <c r="AC21" i="37"/>
  <c r="AB25" i="71"/>
  <c r="D63" i="71"/>
  <c r="C64" i="71"/>
  <c r="B28" i="71"/>
  <c r="X28" i="71"/>
  <c r="X25" i="71"/>
  <c r="X26" i="71"/>
  <c r="C30" i="71"/>
  <c r="Y29" i="71"/>
  <c r="Z29" i="71" s="1"/>
  <c r="Y27" i="71"/>
  <c r="Z27" i="71" s="1"/>
  <c r="Y30" i="71"/>
  <c r="Z30" i="71" s="1"/>
  <c r="BL481" i="3"/>
  <c r="BA486" i="3"/>
  <c r="AZ486" i="3" s="1"/>
  <c r="BA487" i="3"/>
  <c r="AZ487" i="3" s="1"/>
  <c r="BA488" i="3"/>
  <c r="AZ488" i="3" s="1"/>
  <c r="BL490" i="3"/>
  <c r="AZ490" i="3" s="1"/>
  <c r="G315" i="3"/>
  <c r="BA317" i="3"/>
  <c r="AZ317" i="3" s="1"/>
  <c r="G331" i="3"/>
  <c r="BA333" i="3"/>
  <c r="AZ333" i="3" s="1"/>
  <c r="BA339" i="3"/>
  <c r="AZ339" i="3" s="1"/>
  <c r="BL348" i="3"/>
  <c r="AZ348" i="3" s="1"/>
  <c r="BL354" i="3"/>
  <c r="AZ354" i="3" s="1"/>
  <c r="BL363" i="3"/>
  <c r="AZ363" i="3" s="1"/>
  <c r="BL367" i="3"/>
  <c r="AZ367" i="3" s="1"/>
  <c r="G369" i="3"/>
  <c r="BL381" i="3"/>
  <c r="AZ381" i="3" s="1"/>
  <c r="BL386" i="3"/>
  <c r="AZ386" i="3" s="1"/>
  <c r="G392" i="3"/>
  <c r="G208" i="3"/>
  <c r="BL208" i="3"/>
  <c r="BA212" i="3"/>
  <c r="AZ212" i="3" s="1"/>
  <c r="BA213" i="3"/>
  <c r="AZ213" i="3" s="1"/>
  <c r="BA214" i="3"/>
  <c r="AZ214" i="3" s="1"/>
  <c r="BA215" i="3"/>
  <c r="AZ215" i="3" s="1"/>
  <c r="G218" i="3"/>
  <c r="G219" i="3"/>
  <c r="BL219" i="3"/>
  <c r="BL224" i="3"/>
  <c r="AZ224" i="3" s="1"/>
  <c r="BA228" i="3"/>
  <c r="AZ228" i="3" s="1"/>
  <c r="BA229" i="3"/>
  <c r="AZ229" i="3" s="1"/>
  <c r="G232" i="3"/>
  <c r="G233" i="3"/>
  <c r="G234" i="3"/>
  <c r="G235" i="3"/>
  <c r="G236" i="3"/>
  <c r="BL236" i="3"/>
  <c r="BA239" i="3"/>
  <c r="AZ239" i="3" s="1"/>
  <c r="BA240" i="3"/>
  <c r="AZ240" i="3" s="1"/>
  <c r="BA241" i="3"/>
  <c r="AZ241" i="3" s="1"/>
  <c r="BL243" i="3"/>
  <c r="AZ243" i="3" s="1"/>
  <c r="BL254" i="3"/>
  <c r="AZ254" i="3" s="1"/>
  <c r="BA260" i="3"/>
  <c r="AZ260" i="3" s="1"/>
  <c r="BA261" i="3"/>
  <c r="AZ261" i="3" s="1"/>
  <c r="BL263" i="3"/>
  <c r="AZ263" i="3" s="1"/>
  <c r="G271" i="3"/>
  <c r="G272" i="3"/>
  <c r="BL272" i="3"/>
  <c r="BA277" i="3"/>
  <c r="AZ277" i="3" s="1"/>
  <c r="BL279" i="3"/>
  <c r="AZ279" i="3" s="1"/>
  <c r="BA282" i="3"/>
  <c r="AZ282" i="3" s="1"/>
  <c r="BA283" i="3"/>
  <c r="AZ283" i="3" s="1"/>
  <c r="G286" i="3"/>
  <c r="G287" i="3"/>
  <c r="G288" i="3"/>
  <c r="G289" i="3"/>
  <c r="BL289" i="3"/>
  <c r="BL296" i="3"/>
  <c r="AZ296" i="3" s="1"/>
  <c r="BA301" i="3"/>
  <c r="AZ301" i="3" s="1"/>
  <c r="BL114" i="3"/>
  <c r="AZ114" i="3" s="1"/>
  <c r="G118" i="3"/>
  <c r="BL118" i="3"/>
  <c r="BL121" i="3"/>
  <c r="BL123" i="3"/>
  <c r="AZ123" i="3" s="1"/>
  <c r="BA132" i="3"/>
  <c r="AZ132" i="3" s="1"/>
  <c r="BA136" i="3"/>
  <c r="AZ136" i="3" s="1"/>
  <c r="G140" i="3"/>
  <c r="BL142" i="3"/>
  <c r="AZ142" i="3" s="1"/>
  <c r="BL145" i="3"/>
  <c r="BL151" i="3"/>
  <c r="AZ151" i="3" s="1"/>
  <c r="BL155" i="3"/>
  <c r="AZ155" i="3" s="1"/>
  <c r="BA160" i="3"/>
  <c r="AZ160" i="3" s="1"/>
  <c r="G164" i="3"/>
  <c r="BA165" i="3"/>
  <c r="AZ165" i="3" s="1"/>
  <c r="BA166" i="3"/>
  <c r="AZ166" i="3" s="1"/>
  <c r="BA168" i="3"/>
  <c r="AZ168" i="3" s="1"/>
  <c r="BL173" i="3"/>
  <c r="AZ173" i="3" s="1"/>
  <c r="BL175" i="3"/>
  <c r="AZ175" i="3" s="1"/>
  <c r="G176" i="3"/>
  <c r="BA177" i="3"/>
  <c r="BL185" i="3"/>
  <c r="AZ185" i="3" s="1"/>
  <c r="BA200" i="3"/>
  <c r="AZ200" i="3" s="1"/>
  <c r="AZ207" i="3"/>
  <c r="BA19" i="3"/>
  <c r="AZ19" i="3" s="1"/>
  <c r="G22" i="3"/>
  <c r="BA27" i="3"/>
  <c r="BL36" i="3"/>
  <c r="AZ48" i="3"/>
  <c r="BA50" i="3"/>
  <c r="AZ50" i="3" s="1"/>
  <c r="BL53" i="3"/>
  <c r="AZ54" i="3"/>
  <c r="AZ60" i="3"/>
  <c r="AZ73" i="3"/>
  <c r="BL75" i="3"/>
  <c r="AZ75" i="3" s="1"/>
  <c r="BA84" i="3"/>
  <c r="AZ84" i="3" s="1"/>
  <c r="J78" i="43"/>
  <c r="D78" i="43"/>
  <c r="BA180" i="3"/>
  <c r="AZ180" i="3" s="1"/>
  <c r="BL194" i="3"/>
  <c r="AZ194" i="3" s="1"/>
  <c r="BL205" i="3"/>
  <c r="AZ205" i="3" s="1"/>
  <c r="BL20" i="3"/>
  <c r="BL27" i="3"/>
  <c r="BA30" i="3"/>
  <c r="AZ30" i="3" s="1"/>
  <c r="BA31" i="3"/>
  <c r="AZ31" i="3" s="1"/>
  <c r="BA32" i="3"/>
  <c r="AZ32" i="3" s="1"/>
  <c r="BA33" i="3"/>
  <c r="AZ33" i="3" s="1"/>
  <c r="BL35" i="3"/>
  <c r="AZ35" i="3" s="1"/>
  <c r="BA40" i="3"/>
  <c r="AZ40" i="3" s="1"/>
  <c r="BA41" i="3"/>
  <c r="AZ41" i="3" s="1"/>
  <c r="BA42" i="3"/>
  <c r="AZ42" i="3" s="1"/>
  <c r="BA43" i="3"/>
  <c r="BL46" i="3"/>
  <c r="BL51" i="3"/>
  <c r="AZ51" i="3" s="1"/>
  <c r="BA56" i="3"/>
  <c r="AZ56" i="3" s="1"/>
  <c r="BL58" i="3"/>
  <c r="AZ58" i="3" s="1"/>
  <c r="BL65" i="3"/>
  <c r="BA68" i="3"/>
  <c r="AZ68" i="3" s="1"/>
  <c r="BA69" i="3"/>
  <c r="AZ69" i="3" s="1"/>
  <c r="BL71" i="3"/>
  <c r="AZ71" i="3" s="1"/>
  <c r="BL81" i="3"/>
  <c r="BL85" i="3"/>
  <c r="BL87" i="3"/>
  <c r="BL91" i="3"/>
  <c r="BA96" i="3"/>
  <c r="BL101" i="3"/>
  <c r="P27" i="6"/>
  <c r="Y28" i="71"/>
  <c r="Z28" i="71" s="1"/>
  <c r="X35" i="71"/>
  <c r="X33" i="71"/>
  <c r="X34" i="71"/>
  <c r="S68" i="71"/>
  <c r="N68" i="71"/>
  <c r="B67" i="71"/>
  <c r="S76" i="71"/>
  <c r="B75" i="71"/>
  <c r="B74" i="71" s="1"/>
  <c r="AB26" i="71"/>
  <c r="AA3" i="71"/>
  <c r="BA169" i="3"/>
  <c r="AZ169" i="3" s="1"/>
  <c r="BA170" i="3"/>
  <c r="AZ170" i="3" s="1"/>
  <c r="BL174" i="3"/>
  <c r="AZ174" i="3" s="1"/>
  <c r="BL177" i="3"/>
  <c r="BL183" i="3"/>
  <c r="AZ183" i="3" s="1"/>
  <c r="BL187" i="3"/>
  <c r="AZ187" i="3" s="1"/>
  <c r="BA192" i="3"/>
  <c r="AZ192" i="3" s="1"/>
  <c r="G196" i="3"/>
  <c r="BA197" i="3"/>
  <c r="AZ197" i="3" s="1"/>
  <c r="BA198" i="3"/>
  <c r="AZ198" i="3" s="1"/>
  <c r="BA201" i="3"/>
  <c r="AZ201" i="3" s="1"/>
  <c r="BA202" i="3"/>
  <c r="AZ202" i="3" s="1"/>
  <c r="BL206" i="3"/>
  <c r="AZ206" i="3" s="1"/>
  <c r="BL21" i="3"/>
  <c r="AZ21" i="3" s="1"/>
  <c r="BA25" i="3"/>
  <c r="AZ25" i="3" s="1"/>
  <c r="BA26" i="3"/>
  <c r="AZ26" i="3" s="1"/>
  <c r="BL28" i="3"/>
  <c r="AZ28" i="3" s="1"/>
  <c r="G37" i="3"/>
  <c r="G38" i="3"/>
  <c r="BL38" i="3"/>
  <c r="BA44" i="3"/>
  <c r="AZ44" i="3" s="1"/>
  <c r="BA45" i="3"/>
  <c r="AZ45" i="3" s="1"/>
  <c r="BL47" i="3"/>
  <c r="AZ47" i="3" s="1"/>
  <c r="G53" i="3"/>
  <c r="G54" i="3"/>
  <c r="BL54" i="3"/>
  <c r="BL59" i="3"/>
  <c r="AZ59" i="3" s="1"/>
  <c r="BA64" i="3"/>
  <c r="AZ64" i="3" s="1"/>
  <c r="BL66" i="3"/>
  <c r="AZ66" i="3" s="1"/>
  <c r="BL72" i="3"/>
  <c r="AZ72" i="3" s="1"/>
  <c r="BA78" i="3"/>
  <c r="AZ78" i="3" s="1"/>
  <c r="BA79" i="3"/>
  <c r="AZ79" i="3" s="1"/>
  <c r="BA80" i="3"/>
  <c r="AZ80" i="3" s="1"/>
  <c r="BL82" i="3"/>
  <c r="AZ82" i="3" s="1"/>
  <c r="BA86" i="3"/>
  <c r="AZ86" i="3" s="1"/>
  <c r="BL88" i="3"/>
  <c r="AZ88" i="3" s="1"/>
  <c r="BA90" i="3"/>
  <c r="AZ90" i="3" s="1"/>
  <c r="BL95" i="3"/>
  <c r="BL97" i="3"/>
  <c r="AZ97" i="3" s="1"/>
  <c r="G98" i="3"/>
  <c r="G99" i="3"/>
  <c r="BA103" i="3"/>
  <c r="AZ103" i="3" s="1"/>
  <c r="BA108" i="3"/>
  <c r="BA111" i="3"/>
  <c r="AZ111" i="3" s="1"/>
  <c r="B100" i="43"/>
  <c r="B77" i="43"/>
  <c r="C29" i="39"/>
  <c r="B57" i="43"/>
  <c r="B68" i="43"/>
  <c r="O66" i="71"/>
  <c r="D66" i="71"/>
  <c r="AB30" i="71"/>
  <c r="AB31" i="71"/>
  <c r="AB27" i="71"/>
  <c r="AB28" i="71"/>
  <c r="Y33" i="71"/>
  <c r="Z33" i="71" s="1"/>
  <c r="Y31" i="71"/>
  <c r="Z31" i="71" s="1"/>
  <c r="C34" i="71"/>
  <c r="Y34" i="71"/>
  <c r="Z34" i="71" s="1"/>
  <c r="AB38" i="71"/>
  <c r="E23" i="71"/>
  <c r="E22" i="71" s="1"/>
  <c r="E21" i="71" s="1"/>
  <c r="E20" i="71" s="1"/>
  <c r="V24" i="71"/>
  <c r="BL178" i="3"/>
  <c r="AZ178" i="3" s="1"/>
  <c r="G182" i="3"/>
  <c r="G183" i="3"/>
  <c r="G186" i="3"/>
  <c r="G187" i="3"/>
  <c r="BL189" i="3"/>
  <c r="AZ189" i="3" s="1"/>
  <c r="BA196" i="3"/>
  <c r="AZ196" i="3" s="1"/>
  <c r="G18" i="3"/>
  <c r="BL18" i="3"/>
  <c r="AZ18" i="3" s="1"/>
  <c r="G23" i="3"/>
  <c r="BL23" i="3"/>
  <c r="AZ23" i="3" s="1"/>
  <c r="BL29" i="3"/>
  <c r="AZ29" i="3" s="1"/>
  <c r="BA36" i="3"/>
  <c r="BA37" i="3"/>
  <c r="AZ37" i="3" s="1"/>
  <c r="BL39" i="3"/>
  <c r="AZ39" i="3" s="1"/>
  <c r="BL43" i="3"/>
  <c r="G49" i="3"/>
  <c r="BL49" i="3"/>
  <c r="BA52" i="3"/>
  <c r="AZ52" i="3" s="1"/>
  <c r="BA53" i="3"/>
  <c r="AZ53" i="3" s="1"/>
  <c r="BL55" i="3"/>
  <c r="AZ55" i="3" s="1"/>
  <c r="G61" i="3"/>
  <c r="G62" i="3"/>
  <c r="BL62" i="3"/>
  <c r="BL67" i="3"/>
  <c r="AZ67" i="3" s="1"/>
  <c r="G74" i="3"/>
  <c r="G75" i="3"/>
  <c r="G76" i="3"/>
  <c r="BL76" i="3"/>
  <c r="BL83" i="3"/>
  <c r="AZ83" i="3" s="1"/>
  <c r="BL89" i="3"/>
  <c r="AZ89" i="3" s="1"/>
  <c r="BL96" i="3"/>
  <c r="G97" i="3"/>
  <c r="BA101" i="3"/>
  <c r="AZ101" i="3" s="1"/>
  <c r="BA102" i="3"/>
  <c r="AZ102" i="3" s="1"/>
  <c r="AC21" i="33"/>
  <c r="W29" i="39"/>
  <c r="AB21" i="34"/>
  <c r="U21" i="34"/>
  <c r="P65" i="71"/>
  <c r="P66" i="71"/>
  <c r="D75" i="71"/>
  <c r="C74" i="71"/>
  <c r="D74" i="71" s="1"/>
  <c r="C27" i="71"/>
  <c r="D28" i="71"/>
  <c r="U28" i="71" s="1"/>
  <c r="X29" i="71"/>
  <c r="X30" i="71"/>
  <c r="X31" i="71"/>
  <c r="X32" i="71"/>
  <c r="AB39" i="71"/>
  <c r="AB37" i="71"/>
  <c r="C59" i="71"/>
  <c r="D58" i="71"/>
  <c r="T72" i="71"/>
  <c r="C71" i="71"/>
  <c r="D72" i="71"/>
  <c r="T80" i="71"/>
  <c r="D80" i="71"/>
  <c r="C79" i="71"/>
  <c r="Y26" i="71"/>
  <c r="Z26" i="71" s="1"/>
  <c r="BA92" i="3"/>
  <c r="AZ92" i="3" s="1"/>
  <c r="BA93" i="3"/>
  <c r="AZ93" i="3" s="1"/>
  <c r="BA94" i="3"/>
  <c r="AZ94" i="3" s="1"/>
  <c r="BL102" i="3"/>
  <c r="G107" i="3"/>
  <c r="G108" i="3"/>
  <c r="BL108" i="3"/>
  <c r="F3" i="35"/>
  <c r="AB21" i="33"/>
  <c r="U25" i="40"/>
  <c r="F26" i="71"/>
  <c r="BL98" i="3"/>
  <c r="G104" i="3"/>
  <c r="BL104" i="3"/>
  <c r="AZ104" i="3" s="1"/>
  <c r="BA106" i="3"/>
  <c r="AZ106" i="3" s="1"/>
  <c r="BA107" i="3"/>
  <c r="AZ107" i="3" s="1"/>
  <c r="BL109" i="3"/>
  <c r="AZ109" i="3" s="1"/>
  <c r="BA112" i="3"/>
  <c r="AZ112" i="3" s="1"/>
  <c r="W18" i="36"/>
  <c r="C86" i="71"/>
  <c r="D86" i="71" s="1"/>
  <c r="O67" i="71"/>
  <c r="AA28" i="71"/>
  <c r="D76" i="71"/>
  <c r="D68" i="71"/>
  <c r="AA35" i="71"/>
  <c r="AA32" i="71"/>
  <c r="B36" i="71"/>
  <c r="S36" i="71" s="1"/>
  <c r="B32" i="71"/>
  <c r="S32" i="71" s="1"/>
  <c r="F32" i="71"/>
  <c r="V32" i="71" s="1"/>
  <c r="Y32" i="71"/>
  <c r="Z32" i="71" s="1"/>
  <c r="F35" i="71"/>
  <c r="F36" i="71" s="1"/>
  <c r="V36" i="71" s="1"/>
  <c r="Y36" i="71"/>
  <c r="Z36" i="71" s="1"/>
  <c r="F39" i="71"/>
  <c r="F40" i="71" s="1"/>
  <c r="V40" i="71" s="1"/>
  <c r="K56" i="9"/>
  <c r="B21" i="71"/>
  <c r="B20" i="71" s="1"/>
  <c r="B43" i="71"/>
  <c r="B44" i="71" s="1"/>
  <c r="S44" i="71" s="1"/>
  <c r="N56" i="9"/>
  <c r="F35" i="21"/>
  <c r="W44" i="21"/>
  <c r="AC34" i="21"/>
  <c r="S44" i="21"/>
  <c r="B79" i="43"/>
  <c r="B56" i="43"/>
  <c r="C27" i="39"/>
  <c r="D22" i="15"/>
  <c r="E1" i="73"/>
  <c r="H89" i="21"/>
  <c r="I89" i="21" s="1"/>
  <c r="J89" i="21" s="1"/>
  <c r="K89" i="21" s="1"/>
  <c r="L89" i="21" s="1"/>
  <c r="M89" i="21" s="1"/>
  <c r="F26" i="21"/>
  <c r="AB44" i="21"/>
  <c r="U28" i="21"/>
  <c r="F32" i="21"/>
  <c r="AA32" i="21" s="1"/>
  <c r="H32" i="21"/>
  <c r="AB32" i="21" s="1"/>
  <c r="W25" i="21"/>
  <c r="AB25" i="21"/>
  <c r="AA25" i="21"/>
  <c r="J26" i="21"/>
  <c r="W26" i="21" s="1"/>
  <c r="H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AC23" i="21"/>
  <c r="AA15" i="21"/>
  <c r="AB23" i="21"/>
  <c r="AC19" i="21"/>
  <c r="S19" i="21"/>
  <c r="AC15" i="21"/>
  <c r="U13" i="21"/>
  <c r="AB13" i="21"/>
  <c r="S12" i="21"/>
  <c r="AA12" i="21"/>
  <c r="S13" i="21"/>
  <c r="H12" i="21"/>
  <c r="G6" i="1"/>
  <c r="G16" i="1" s="1"/>
  <c r="F10" i="39" s="1"/>
  <c r="I24" i="43"/>
  <c r="C24" i="43" s="1"/>
  <c r="U43" i="21"/>
  <c r="AA43" i="21"/>
  <c r="W43" i="21"/>
  <c r="W42" i="21"/>
  <c r="AB42" i="21"/>
  <c r="S42" i="21"/>
  <c r="S28" i="21"/>
  <c r="H50" i="43"/>
  <c r="H67" i="43"/>
  <c r="B41" i="1"/>
  <c r="F53" i="9" s="1"/>
  <c r="D93" i="9"/>
  <c r="C40" i="11"/>
  <c r="G26" i="12"/>
  <c r="G22" i="69"/>
  <c r="AZ557" i="3"/>
  <c r="E19" i="71"/>
  <c r="E18" i="71" s="1"/>
  <c r="E17" i="71" s="1"/>
  <c r="E16" i="71" s="1"/>
  <c r="M23" i="43"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306" i="3"/>
  <c r="E532" i="3"/>
  <c r="E288" i="3"/>
  <c r="E475" i="3"/>
  <c r="E150" i="3"/>
  <c r="E351" i="3"/>
  <c r="E31" i="3"/>
  <c r="E549" i="3"/>
  <c r="E271" i="3"/>
  <c r="E585" i="3"/>
  <c r="E478" i="3"/>
  <c r="E477" i="3"/>
  <c r="E547" i="3"/>
  <c r="E403" i="3"/>
  <c r="E546" i="3"/>
  <c r="E71" i="3"/>
  <c r="E92" i="3"/>
  <c r="E126" i="3"/>
  <c r="E272" i="3"/>
  <c r="E291" i="3"/>
  <c r="E317" i="3"/>
  <c r="AM6" i="3"/>
  <c r="E29"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F51" i="15"/>
  <c r="F71" i="15"/>
  <c r="F66" i="67"/>
  <c r="L59" i="15"/>
  <c r="N59" i="15"/>
  <c r="M59" i="15"/>
  <c r="F66" i="15"/>
  <c r="Q71" i="67"/>
  <c r="F64" i="15"/>
  <c r="C27" i="67"/>
  <c r="C27" i="15"/>
  <c r="F65" i="15"/>
  <c r="B13" i="70"/>
  <c r="F68" i="67"/>
  <c r="F64" i="67"/>
  <c r="F68" i="15"/>
  <c r="C36" i="68"/>
  <c r="D9" i="68"/>
  <c r="D9" i="69"/>
  <c r="F27" i="69"/>
  <c r="C36" i="69"/>
  <c r="D6" i="73"/>
  <c r="F16" i="15"/>
  <c r="M24" i="15"/>
  <c r="F7" i="67"/>
  <c r="M29" i="15"/>
  <c r="D5" i="73"/>
  <c r="F13" i="15"/>
  <c r="M8" i="15"/>
  <c r="D4" i="73"/>
  <c r="L47" i="67"/>
  <c r="D7" i="73"/>
  <c r="F42" i="67"/>
  <c r="F6" i="15"/>
  <c r="F7" i="15"/>
  <c r="D3" i="73"/>
  <c r="F42" i="15"/>
  <c r="F43" i="67"/>
  <c r="J15" i="15"/>
  <c r="L48" i="15"/>
  <c r="AC28" i="21" l="1"/>
  <c r="AC26" i="21"/>
  <c r="E109" i="3"/>
  <c r="E572" i="3"/>
  <c r="E377" i="3"/>
  <c r="E273" i="3"/>
  <c r="E211" i="3"/>
  <c r="E182" i="3"/>
  <c r="E70" i="3"/>
  <c r="E28" i="3"/>
  <c r="E489" i="3"/>
  <c r="E531" i="3"/>
  <c r="E557" i="3"/>
  <c r="E432" i="3"/>
  <c r="E411" i="3"/>
  <c r="E379" i="3"/>
  <c r="E207" i="3"/>
  <c r="E397" i="3"/>
  <c r="E14" i="3"/>
  <c r="E257" i="3"/>
  <c r="E168" i="3"/>
  <c r="E471" i="3"/>
  <c r="E438" i="3"/>
  <c r="E313" i="3"/>
  <c r="E352" i="3"/>
  <c r="E441" i="3"/>
  <c r="E44" i="3"/>
  <c r="E384" i="3"/>
  <c r="E331" i="3"/>
  <c r="E210" i="3"/>
  <c r="E186" i="3"/>
  <c r="E162" i="3"/>
  <c r="E27" i="3"/>
  <c r="E447" i="3"/>
  <c r="E476" i="3"/>
  <c r="AS6" i="3"/>
  <c r="E505" i="3"/>
  <c r="E414" i="3"/>
  <c r="E515" i="3"/>
  <c r="E107" i="3"/>
  <c r="E269" i="3"/>
  <c r="E567" i="3"/>
  <c r="E318" i="3"/>
  <c r="E279" i="3"/>
  <c r="E111" i="3"/>
  <c r="E537" i="3"/>
  <c r="E474" i="3"/>
  <c r="E224" i="3"/>
  <c r="E136" i="3"/>
  <c r="E480" i="3"/>
  <c r="E30" i="3"/>
  <c r="E334" i="3"/>
  <c r="E316" i="3"/>
  <c r="E295" i="3"/>
  <c r="E166" i="3"/>
  <c r="E121" i="3"/>
  <c r="E88" i="3"/>
  <c r="E404" i="3"/>
  <c r="E444" i="3"/>
  <c r="E581" i="3"/>
  <c r="E367" i="3"/>
  <c r="E548" i="3"/>
  <c r="U6" i="3"/>
  <c r="E145" i="3"/>
  <c r="E196" i="3"/>
  <c r="E93" i="3"/>
  <c r="E357" i="3"/>
  <c r="E208" i="3"/>
  <c r="E54" i="3"/>
  <c r="W6" i="3"/>
  <c r="E529" i="3"/>
  <c r="E157" i="3"/>
  <c r="E461" i="3"/>
  <c r="J57" i="15"/>
  <c r="J55" i="15" s="1"/>
  <c r="J58" i="15" s="1"/>
  <c r="Q50" i="15" s="1"/>
  <c r="I54" i="15"/>
  <c r="J53" i="15"/>
  <c r="L56" i="15" s="1"/>
  <c r="L58" i="15"/>
  <c r="Q73" i="15" s="1"/>
  <c r="M7" i="15"/>
  <c r="J6" i="15" s="1"/>
  <c r="F50" i="15"/>
  <c r="F59" i="15" s="1"/>
  <c r="M7" i="67"/>
  <c r="J6" i="67" s="1"/>
  <c r="C6" i="67"/>
  <c r="F50" i="67"/>
  <c r="F59" i="67" s="1"/>
  <c r="F31" i="67"/>
  <c r="F31" i="15"/>
  <c r="C6" i="15"/>
  <c r="F71" i="67"/>
  <c r="L59" i="67"/>
  <c r="Q74" i="67" s="1"/>
  <c r="N59" i="67"/>
  <c r="L58" i="67"/>
  <c r="Q60" i="67" s="1"/>
  <c r="M59" i="67"/>
  <c r="N67" i="71"/>
  <c r="B66" i="71"/>
  <c r="AZ27" i="3"/>
  <c r="C52" i="71"/>
  <c r="D51" i="71"/>
  <c r="C39" i="71"/>
  <c r="D38" i="71"/>
  <c r="AA37" i="39"/>
  <c r="S37" i="39"/>
  <c r="AZ403" i="3"/>
  <c r="AZ36" i="3"/>
  <c r="C31" i="71"/>
  <c r="D30" i="71"/>
  <c r="B27" i="71"/>
  <c r="B26" i="71" s="1"/>
  <c r="S28" i="71"/>
  <c r="AZ281" i="3"/>
  <c r="AZ222" i="3"/>
  <c r="AC12" i="21"/>
  <c r="W12" i="21"/>
  <c r="C60" i="71"/>
  <c r="D59" i="71"/>
  <c r="C26" i="71"/>
  <c r="D26" i="71" s="1"/>
  <c r="D27" i="71"/>
  <c r="D34" i="71"/>
  <c r="C35" i="71"/>
  <c r="AZ96" i="3"/>
  <c r="D64" i="71"/>
  <c r="T64" i="71"/>
  <c r="AZ489" i="3"/>
  <c r="AZ259" i="3"/>
  <c r="AZ477" i="3"/>
  <c r="J7" i="36"/>
  <c r="W7" i="36" s="1"/>
  <c r="BL5" i="3"/>
  <c r="B19" i="71"/>
  <c r="B18" i="71" s="1"/>
  <c r="B17" i="71" s="1"/>
  <c r="B16" i="71" s="1"/>
  <c r="S20" i="71"/>
  <c r="C78" i="71"/>
  <c r="D78" i="71" s="1"/>
  <c r="D79" i="71"/>
  <c r="D71" i="71"/>
  <c r="C70" i="71"/>
  <c r="D70" i="71" s="1"/>
  <c r="AZ43" i="3"/>
  <c r="AZ5" i="3" s="1"/>
  <c r="AA40" i="40"/>
  <c r="S40" i="40"/>
  <c r="AB40" i="40"/>
  <c r="U40" i="40"/>
  <c r="AC36" i="35"/>
  <c r="W36" i="35"/>
  <c r="AA35" i="21"/>
  <c r="S35" i="21"/>
  <c r="S32" i="21"/>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72" i="3"/>
  <c r="E433" i="3"/>
  <c r="E450" i="3"/>
  <c r="E571" i="3"/>
  <c r="E562" i="3"/>
  <c r="E457" i="3"/>
  <c r="E527" i="3"/>
  <c r="E458" i="3"/>
  <c r="E573" i="3"/>
  <c r="E519" i="3"/>
  <c r="E193" i="3"/>
  <c r="E45" i="3"/>
  <c r="E99" i="3"/>
  <c r="E511" i="3"/>
  <c r="E314" i="3"/>
  <c r="E85" i="3"/>
  <c r="E122" i="3"/>
  <c r="S26" i="2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B7" i="36"/>
  <c r="T36" i="36" s="1"/>
  <c r="G36" i="36" s="1"/>
  <c r="U7" i="36"/>
  <c r="F7" i="33"/>
  <c r="E58" i="21"/>
  <c r="AC7" i="36"/>
  <c r="V36" i="36" s="1"/>
  <c r="I36" i="36" s="1"/>
  <c r="F7" i="37"/>
  <c r="P28" i="43"/>
  <c r="B66" i="40" s="1"/>
  <c r="P25" i="43"/>
  <c r="P29" i="43"/>
  <c r="P27" i="43"/>
  <c r="B70" i="39" s="1"/>
  <c r="C32" i="67"/>
  <c r="M11" i="67"/>
  <c r="J10" i="67" s="1"/>
  <c r="F11" i="15"/>
  <c r="M11" i="15"/>
  <c r="J10" i="15" s="1"/>
  <c r="F11" i="67"/>
  <c r="C32" i="15"/>
  <c r="F1" i="67"/>
  <c r="Q52" i="67"/>
  <c r="Q74" i="15"/>
  <c r="Q61" i="15"/>
  <c r="AE11" i="1"/>
  <c r="AE9" i="1"/>
  <c r="F27" i="68"/>
  <c r="AE7" i="1"/>
  <c r="AE8" i="1"/>
  <c r="AE12" i="1"/>
  <c r="AE10" i="1"/>
  <c r="AE6" i="1"/>
  <c r="C16" i="15"/>
  <c r="C16" i="67"/>
  <c r="G1" i="73"/>
  <c r="J18" i="15" l="1"/>
  <c r="J18" i="67"/>
  <c r="C49" i="67"/>
  <c r="H6" i="3"/>
  <c r="E6" i="3" s="1"/>
  <c r="AC6" i="3"/>
  <c r="F1" i="15"/>
  <c r="J5" i="67"/>
  <c r="J24" i="67" s="1"/>
  <c r="J5" i="15"/>
  <c r="J24" i="15" s="1"/>
  <c r="Q52" i="15"/>
  <c r="M17" i="15"/>
  <c r="M17" i="67"/>
  <c r="Q61" i="67"/>
  <c r="C49" i="15"/>
  <c r="C31" i="67"/>
  <c r="Q73" i="67"/>
  <c r="Q60" i="15"/>
  <c r="AY6" i="3"/>
  <c r="E3" i="6"/>
  <c r="T60" i="71"/>
  <c r="D60" i="71"/>
  <c r="C32" i="71"/>
  <c r="D31" i="71"/>
  <c r="W7" i="37"/>
  <c r="T52" i="71"/>
  <c r="D52" i="71"/>
  <c r="C36" i="71"/>
  <c r="D35" i="71"/>
  <c r="C40" i="71"/>
  <c r="D39" i="71"/>
  <c r="N65" i="71"/>
  <c r="N66" i="71"/>
  <c r="C28" i="43"/>
  <c r="T15" i="43" s="1"/>
  <c r="V15" i="43" s="1"/>
  <c r="F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34" i="3"/>
  <c r="AY176" i="3"/>
  <c r="AY144" i="3"/>
  <c r="AY155" i="3"/>
  <c r="AY95" i="3"/>
  <c r="AY59" i="3"/>
  <c r="AY188" i="3"/>
  <c r="AY131" i="3"/>
  <c r="AY276" i="3"/>
  <c r="AY111" i="3"/>
  <c r="AY297" i="3"/>
  <c r="AY253" i="3"/>
  <c r="AY268" i="3"/>
  <c r="AY382" i="3"/>
  <c r="AY371" i="3"/>
  <c r="AY335" i="3"/>
  <c r="AY103" i="3"/>
  <c r="AY50" i="3"/>
  <c r="AY196" i="3"/>
  <c r="AY289" i="3"/>
  <c r="AY74" i="3"/>
  <c r="AY183" i="3"/>
  <c r="AY204" i="3"/>
  <c r="AY284" i="3"/>
  <c r="AY209" i="3"/>
  <c r="AY319" i="3"/>
  <c r="AY473" i="3"/>
  <c r="AY470" i="3"/>
  <c r="AY441" i="3"/>
  <c r="AY409" i="3"/>
  <c r="AY529" i="3"/>
  <c r="AY180" i="3"/>
  <c r="AY300" i="3"/>
  <c r="AY260" i="3"/>
  <c r="AY217" i="3"/>
  <c r="AY372" i="3"/>
  <c r="AY358" i="3"/>
  <c r="AY310" i="3"/>
  <c r="AY465" i="3"/>
  <c r="AY463" i="3"/>
  <c r="AY433" i="3"/>
  <c r="AY401" i="3"/>
  <c r="AY549" i="3"/>
  <c r="AY544" i="3"/>
  <c r="AY533" i="3"/>
  <c r="AY541" i="3"/>
  <c r="AY97" i="3"/>
  <c r="AY108" i="3"/>
  <c r="AY92" i="3"/>
  <c r="AY45" i="3"/>
  <c r="AY76" i="3"/>
  <c r="AY44" i="3"/>
  <c r="AY33" i="3"/>
  <c r="AY190" i="3"/>
  <c r="AY201" i="3"/>
  <c r="AY154" i="3"/>
  <c r="AY138" i="3"/>
  <c r="AY165" i="3"/>
  <c r="AY118" i="3"/>
  <c r="AY125" i="3"/>
  <c r="AY283" i="3"/>
  <c r="AY278" i="3"/>
  <c r="AY247" i="3"/>
  <c r="AY231" i="3"/>
  <c r="AY230" i="3"/>
  <c r="AY214" i="3"/>
  <c r="AY219" i="3"/>
  <c r="AY381" i="3"/>
  <c r="AY374" i="3"/>
  <c r="AY360" i="3"/>
  <c r="BH6" i="3"/>
  <c r="AY109" i="3"/>
  <c r="AY104" i="3"/>
  <c r="AY56" i="3"/>
  <c r="AY24" i="3"/>
  <c r="AY202" i="3"/>
  <c r="AY177" i="3"/>
  <c r="AY145" i="3"/>
  <c r="AY295" i="3"/>
  <c r="AY259" i="3"/>
  <c r="AY242" i="3"/>
  <c r="AY210" i="3"/>
  <c r="AY353" i="3"/>
  <c r="AY349" i="3"/>
  <c r="AY333" i="3"/>
  <c r="AY332" i="3"/>
  <c r="AY316" i="3"/>
  <c r="AY475" i="3"/>
  <c r="AY472" i="3"/>
  <c r="AY462" i="3"/>
  <c r="AY446" i="3"/>
  <c r="AY398" i="3"/>
  <c r="AY427" i="3"/>
  <c r="AY411" i="3"/>
  <c r="BM6" i="3"/>
  <c r="AY585" i="3"/>
  <c r="AY534" i="3"/>
  <c r="AY571" i="3"/>
  <c r="AY495" i="3"/>
  <c r="AY510" i="3"/>
  <c r="AY501" i="3"/>
  <c r="AY98" i="3"/>
  <c r="AY18" i="3"/>
  <c r="AY163" i="3"/>
  <c r="AY75" i="3"/>
  <c r="AY387" i="3"/>
  <c r="AY486" i="3"/>
  <c r="AY425" i="3"/>
  <c r="AY526" i="3"/>
  <c r="AY244" i="3"/>
  <c r="AY390" i="3"/>
  <c r="AY355" i="3"/>
  <c r="AY447" i="3"/>
  <c r="AY404" i="3"/>
  <c r="AY562" i="3"/>
  <c r="BO6" i="3"/>
  <c r="AY89" i="3"/>
  <c r="AY85" i="3"/>
  <c r="AY36" i="3"/>
  <c r="AY25" i="3"/>
  <c r="AY182" i="3"/>
  <c r="AY157" i="3"/>
  <c r="AY126" i="3"/>
  <c r="AY302" i="3"/>
  <c r="AY239" i="3"/>
  <c r="AY222" i="3"/>
  <c r="AY211" i="3"/>
  <c r="BS6" i="3"/>
  <c r="BI6" i="3"/>
  <c r="AY93" i="3"/>
  <c r="AY186" i="3"/>
  <c r="AY150" i="3"/>
  <c r="AY279" i="3"/>
  <c r="AY226" i="3"/>
  <c r="AY356" i="3"/>
  <c r="AY325" i="3"/>
  <c r="AY467" i="3"/>
  <c r="AY464" i="3"/>
  <c r="AY454" i="3"/>
  <c r="AY403" i="3"/>
  <c r="AY525" i="3"/>
  <c r="BN6" i="3"/>
  <c r="AY518" i="3"/>
  <c r="AY508" i="3"/>
  <c r="AY532" i="3"/>
  <c r="AY577" i="3"/>
  <c r="AY523" i="3"/>
  <c r="AY112" i="3"/>
  <c r="AY82" i="3"/>
  <c r="AY191" i="3"/>
  <c r="AY31" i="3"/>
  <c r="AY147" i="3"/>
  <c r="AY350" i="3"/>
  <c r="AY489" i="3"/>
  <c r="AY497" i="3"/>
  <c r="AY43" i="3"/>
  <c r="AY116"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F41" i="67"/>
  <c r="M27" i="67"/>
  <c r="M27" i="15"/>
  <c r="C48" i="67" l="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212" i="3"/>
  <c r="AY455" i="3"/>
  <c r="AY292" i="3"/>
  <c r="AY49" i="3"/>
  <c r="AY556" i="3"/>
  <c r="AY527" i="3"/>
  <c r="AY435" i="3"/>
  <c r="AY340" i="3"/>
  <c r="AY243" i="3"/>
  <c r="AY40" i="3"/>
  <c r="AY389" i="3"/>
  <c r="AY271" i="3"/>
  <c r="AY146" i="3"/>
  <c r="AY53" i="3"/>
  <c r="AY574" i="3"/>
  <c r="AY481" i="3"/>
  <c r="AY199" i="3"/>
  <c r="AY334" i="3"/>
  <c r="AY90" i="3"/>
  <c r="BG6" i="3"/>
  <c r="BF6" i="3"/>
  <c r="BQ6" i="3"/>
  <c r="AY430" i="3"/>
  <c r="AY488" i="3"/>
  <c r="AY348" i="3"/>
  <c r="AY388" i="3"/>
  <c r="AY290" i="3"/>
  <c r="AY166" i="3"/>
  <c r="AY73" i="3"/>
  <c r="AY554" i="3"/>
  <c r="AY397" i="3"/>
  <c r="AY262" i="3"/>
  <c r="AY294" i="3"/>
  <c r="AY133" i="3"/>
  <c r="AY185" i="3"/>
  <c r="AY28" i="3"/>
  <c r="AY61" i="3"/>
  <c r="BE6" i="3"/>
  <c r="BK6" i="3"/>
  <c r="AY420" i="3"/>
  <c r="AY327" i="3"/>
  <c r="AY228" i="3"/>
  <c r="AY26" i="3"/>
  <c r="AY460" i="3"/>
  <c r="AY363" i="3"/>
  <c r="AY261" i="3"/>
  <c r="AY160" i="3"/>
  <c r="AY303" i="3"/>
  <c r="AY225" i="3"/>
  <c r="AY58" i="3"/>
  <c r="AY152" i="3"/>
  <c r="AY115" i="3"/>
  <c r="AY23" i="3"/>
  <c r="AY87" i="3"/>
  <c r="C48" i="15"/>
  <c r="C66" i="15" s="1"/>
  <c r="T36" i="71"/>
  <c r="D36" i="71"/>
  <c r="D116" i="43"/>
  <c r="T32" i="71"/>
  <c r="D32" i="71"/>
  <c r="T40" i="71"/>
  <c r="D40" i="71"/>
  <c r="F69" i="67"/>
  <c r="C38" i="43"/>
  <c r="E38" i="43" s="1"/>
  <c r="C33" i="43"/>
  <c r="C7" i="69" s="1"/>
  <c r="T12" i="43"/>
  <c r="V12" i="43" s="1"/>
  <c r="C39" i="43"/>
  <c r="G39" i="43" s="1"/>
  <c r="I39" i="43" s="1"/>
  <c r="T3" i="43"/>
  <c r="V3" i="43" s="1"/>
  <c r="T9" i="43"/>
  <c r="V9" i="43" s="1"/>
  <c r="C37" i="43"/>
  <c r="G37" i="43" s="1"/>
  <c r="I37" i="43" s="1"/>
  <c r="T6" i="43"/>
  <c r="V6" i="43" s="1"/>
  <c r="T8" i="43"/>
  <c r="V8" i="43" s="1"/>
  <c r="T16" i="43"/>
  <c r="V16"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7" i="15"/>
  <c r="C14" i="67"/>
  <c r="C17" i="67"/>
  <c r="H22" i="6" l="1"/>
  <c r="H21" i="6"/>
  <c r="E39" i="43"/>
  <c r="E40" i="43"/>
  <c r="G42" i="43"/>
  <c r="I42" i="43" s="1"/>
  <c r="G38" i="43"/>
  <c r="I38" i="43" s="1"/>
  <c r="E41" i="43"/>
  <c r="H25" i="6"/>
  <c r="R25" i="6" s="1"/>
  <c r="R12" i="1" s="1"/>
  <c r="E37" i="43"/>
  <c r="E33" i="43"/>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0" i="68"/>
  <c r="C28" i="68" s="1"/>
  <c r="C27" i="68" s="1"/>
  <c r="C24" i="68"/>
  <c r="C39" i="69"/>
  <c r="C43" i="69" s="1"/>
  <c r="C42" i="69"/>
  <c r="J69" i="39"/>
  <c r="K67" i="39"/>
  <c r="J63" i="40"/>
  <c r="I65" i="40"/>
  <c r="K48" i="35"/>
  <c r="L48" i="35" s="1"/>
  <c r="M48" i="35" s="1"/>
  <c r="N48" i="35" s="1"/>
  <c r="O48" i="35" s="1"/>
  <c r="H7" i="35" s="1"/>
  <c r="B6" i="76"/>
  <c r="C28" i="69" l="1"/>
  <c r="C27" i="69" s="1"/>
  <c r="J7" i="35"/>
  <c r="W7" i="35" s="1"/>
  <c r="B2" i="76"/>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25" i="68"/>
  <c r="C22" i="68" s="1"/>
  <c r="C31" i="68" s="1"/>
  <c r="C46" i="68"/>
  <c r="C45" i="68" s="1"/>
  <c r="C43" i="68"/>
  <c r="L67" i="39"/>
  <c r="K69" i="39"/>
  <c r="J65" i="40"/>
  <c r="K63" i="40"/>
  <c r="U7" i="35"/>
  <c r="AB7" i="35"/>
  <c r="T38" i="35" s="1"/>
  <c r="G38" i="35" s="1"/>
  <c r="F7" i="35"/>
  <c r="F35" i="15"/>
  <c r="F35" i="67"/>
  <c r="M21" i="15"/>
  <c r="M21" i="67"/>
  <c r="C31" i="69" l="1"/>
  <c r="C49" i="69"/>
  <c r="C51" i="69" s="1"/>
  <c r="AC7" i="35"/>
  <c r="V38" i="35" s="1"/>
  <c r="I38" i="35" s="1"/>
  <c r="G43" i="35" s="1"/>
  <c r="H43" i="35" s="1"/>
  <c r="R58" i="21"/>
  <c r="U37" i="21"/>
  <c r="AB37" i="21"/>
  <c r="D14" i="71"/>
  <c r="C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L69" i="39"/>
  <c r="M67" i="39"/>
  <c r="S7" i="35"/>
  <c r="AA7" i="35"/>
  <c r="R38" i="35" s="1"/>
  <c r="G42" i="35"/>
  <c r="H42" i="35" s="1"/>
  <c r="K65" i="40"/>
  <c r="L63" i="40"/>
  <c r="I42" i="35"/>
  <c r="J42" i="35" s="1"/>
  <c r="C52" i="69" l="1"/>
  <c r="B2" i="69" s="1"/>
  <c r="S58"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V58" i="21" s="1"/>
  <c r="W58" i="21" s="1"/>
  <c r="X58" i="21" s="1"/>
  <c r="Y58" i="21" s="1"/>
  <c r="Z58" i="21" s="1"/>
  <c r="AA58" i="21" s="1"/>
  <c r="AB58" i="21" s="1"/>
  <c r="J7" i="21" s="1"/>
  <c r="F7" i="21"/>
  <c r="L57" i="67"/>
  <c r="L60" i="67" s="1"/>
  <c r="L46" i="67" s="1"/>
  <c r="D2" i="67" s="1"/>
  <c r="B2" i="67" s="1"/>
  <c r="Q67" i="67"/>
  <c r="C10" i="71"/>
  <c r="D11" i="7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C19" i="9"/>
  <c r="L51" i="15"/>
  <c r="D2" i="36"/>
  <c r="S7" i="21" l="1"/>
  <c r="AA7" i="21"/>
  <c r="H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11" i="1"/>
  <c r="AO10" i="1"/>
  <c r="AO8" i="1"/>
  <c r="AO12" i="1"/>
  <c r="AO7" i="1"/>
  <c r="AO6" i="1"/>
  <c r="AC7" i="21" l="1"/>
  <c r="W7" i="21"/>
  <c r="U7" i="21"/>
  <c r="AB7" i="2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27" i="21"/>
  <c r="U27" i="21" s="1"/>
  <c r="AB27" i="21" l="1"/>
  <c r="T48" i="21" s="1"/>
  <c r="G48" i="21" s="1"/>
  <c r="J27" i="21"/>
  <c r="F27" i="21"/>
  <c r="S27" i="21" s="1"/>
  <c r="AA27" i="21" l="1"/>
  <c r="R48" i="21" s="1"/>
  <c r="AC27" i="21"/>
  <c r="V48" i="21" s="1"/>
  <c r="I48" i="21" s="1"/>
  <c r="W27" i="21"/>
  <c r="G52" i="21"/>
  <c r="H52" i="21" s="1"/>
  <c r="I52" i="21" l="1"/>
  <c r="J52" i="21" s="1"/>
  <c r="G53" i="21"/>
  <c r="H53" i="21" s="1"/>
  <c r="E48" i="21"/>
  <c r="R49" i="21"/>
  <c r="C48" i="21" l="1"/>
  <c r="C49" i="21"/>
  <c r="E52" i="21"/>
  <c r="F52" i="21" s="1"/>
  <c r="E53" i="21"/>
  <c r="F53" i="21" s="1"/>
  <c r="I53" i="21"/>
  <c r="J53" i="21" s="1"/>
  <c r="B2" i="21" l="1"/>
  <c r="B3" i="21"/>
  <c r="D19" i="9"/>
  <c r="D20" i="9"/>
  <c r="D103" i="9" l="1"/>
  <c r="G20" i="9"/>
  <c r="D21" i="9"/>
  <c r="D102" i="9"/>
  <c r="G19" i="9"/>
  <c r="D30" i="9" s="1"/>
  <c r="C30" i="9" s="1"/>
  <c r="D22" i="9"/>
  <c r="G21" i="9" l="1"/>
  <c r="C32" i="9"/>
  <c r="E14" i="74"/>
  <c r="D14" i="74" s="1"/>
  <c r="G24" i="9" l="1"/>
  <c r="B5" i="74"/>
  <c r="F14" i="74"/>
  <c r="C35" i="9"/>
  <c r="C34" i="9" s="1"/>
  <c r="D5" i="74" l="1"/>
  <c r="B48" i="72"/>
  <c r="E4" i="52"/>
  <c r="B49" i="72"/>
  <c r="D5" i="52"/>
  <c r="D119" i="9"/>
  <c r="C86" i="9"/>
  <c r="C93" i="9"/>
  <c r="B51" i="72"/>
  <c r="F4" i="52"/>
  <c r="B31" i="72"/>
  <c r="D15" i="53"/>
  <c r="H5" i="52"/>
  <c r="H119" i="9"/>
  <c r="C5" i="74"/>
  <c r="H102" i="9"/>
  <c r="D7" i="53"/>
  <c r="B21" i="72"/>
  <c r="B20" i="72"/>
  <c r="B30" i="72"/>
  <c r="E81" i="9"/>
  <c r="E80" i="9"/>
  <c r="C80" i="9"/>
  <c r="M54" i="9"/>
  <c r="C97" i="9"/>
  <c r="D58" i="9"/>
  <c r="D56" i="9"/>
  <c r="D8" i="52"/>
  <c r="E118" i="9"/>
  <c r="D118" i="9"/>
  <c r="D4" i="52"/>
  <c r="B47" i="72"/>
  <c r="D5" i="53"/>
  <c r="D6" i="53"/>
  <c r="B22" i="72"/>
  <c r="D13" i="53"/>
  <c r="D14" i="53"/>
  <c r="B32" i="72"/>
  <c r="M55" i="9"/>
  <c r="D59" i="9"/>
  <c r="C73" i="9"/>
  <c r="C78" i="9"/>
  <c r="P57" i="9"/>
  <c r="N58" i="9"/>
  <c r="C104" i="9"/>
  <c r="H4" i="52"/>
  <c r="C72" i="9"/>
  <c r="C79" i="9"/>
  <c r="C81" i="9"/>
  <c r="N61" i="9"/>
  <c r="D55" i="9"/>
  <c r="M53" i="9"/>
  <c r="N57" i="9"/>
  <c r="N59" i="9"/>
  <c r="N60" i="9"/>
  <c r="D54" i="9"/>
  <c r="C64" i="9"/>
  <c r="C63" i="9"/>
  <c r="C67" i="9"/>
  <c r="C68" i="9"/>
  <c r="D122" i="9"/>
  <c r="D123" i="9"/>
  <c r="D9" i="52"/>
  <c r="I4" i="52"/>
  <c r="C105" i="9"/>
  <c r="G4" i="52"/>
  <c r="B52" i="72"/>
  <c r="H107" i="9"/>
  <c r="H108" i="9"/>
  <c r="C6" i="74"/>
  <c r="G118" i="9"/>
  <c r="F118" i="9"/>
  <c r="F119" i="9"/>
  <c r="F5" i="52"/>
  <c r="B53" i="72"/>
  <c r="D53" i="9"/>
  <c r="D52" i="9"/>
  <c r="D45" i="9"/>
  <c r="C85" i="9"/>
  <c r="C95" i="9"/>
  <c r="C96" i="9"/>
  <c r="E96" i="9"/>
  <c r="E97" i="9"/>
  <c r="I118" i="9"/>
  <c r="H118" i="9"/>
  <c r="H101" i="9"/>
  <c r="M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裴蓓</author>
  </authors>
  <commentList>
    <comment ref="AW1" authorId="0" shapeId="0" xr:uid="{00F85E69-1630-4722-9810-A5C28AB2E5EB}">
      <text>
        <r>
          <rPr>
            <b/>
            <sz val="9"/>
            <color indexed="81"/>
            <rFont val="宋体"/>
            <family val="3"/>
            <charset val="134"/>
          </rPr>
          <t>填写交易证明的类型，分为商品房合同、预售契约、买卖契约、认购书。</t>
        </r>
      </text>
    </comment>
    <comment ref="AX1" authorId="0" shapeId="0" xr:uid="{B1F97C92-FFF9-4A8D-8D65-F5FA8BFF331C}">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7B92E45F-4EF4-4F8B-A1CF-BA6F8F4E0F65}">
      <text>
        <r>
          <rPr>
            <b/>
            <sz val="9"/>
            <color indexed="81"/>
            <rFont val="宋体"/>
            <family val="3"/>
            <charset val="134"/>
          </rPr>
          <t>填写数值型数据，保留小数点后一位。</t>
        </r>
      </text>
    </comment>
    <comment ref="BG1" authorId="0" shapeId="0" xr:uid="{35BF01E6-1C1C-4DCD-BE20-E40772724859}">
      <text>
        <r>
          <rPr>
            <b/>
            <sz val="9"/>
            <color indexed="81"/>
            <rFont val="宋体"/>
            <family val="3"/>
            <charset val="134"/>
          </rPr>
          <t>此项填写合同日期，无合同日期填写预售登记日期，均无则在备注中注明</t>
        </r>
      </text>
    </comment>
    <comment ref="BH1" authorId="0" shapeId="0" xr:uid="{B67A48CF-35B4-4C75-82A1-160B0AAEA4AF}">
      <text>
        <r>
          <rPr>
            <b/>
            <sz val="9"/>
            <color indexed="81"/>
            <rFont val="宋体"/>
            <family val="3"/>
            <charset val="134"/>
          </rPr>
          <t>在补充过程中发现合同遗漏的项目，不能正常补充的需注明。</t>
        </r>
      </text>
    </comment>
    <comment ref="BL1" authorId="1" shapeId="0" xr:uid="{85411379-8E4F-441B-9571-C01390D06868}">
      <text>
        <r>
          <rPr>
            <b/>
            <sz val="9"/>
            <color indexed="81"/>
            <rFont val="宋体"/>
            <family val="3"/>
            <charset val="134"/>
          </rPr>
          <t>销售方式分为现售和预售两种方式</t>
        </r>
      </text>
    </comment>
    <comment ref="Q3" authorId="2" shapeId="0" xr:uid="{923C98AC-F098-48B2-8F51-7346E7B5BC60}">
      <text>
        <r>
          <rPr>
            <b/>
            <sz val="9"/>
            <color indexed="81"/>
            <rFont val="宋体"/>
            <family val="3"/>
            <charset val="134"/>
          </rPr>
          <t>裴蓓:</t>
        </r>
        <r>
          <rPr>
            <sz val="9"/>
            <color indexed="81"/>
            <rFont val="宋体"/>
            <family val="3"/>
            <charset val="134"/>
          </rPr>
          <t xml:space="preserve">
合同成交价为356000。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7B66BDB7-C4D3-42A7-98D2-A2B81093E936}">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6917F168-4265-4091-8F84-EE88FD36A3AC}">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CA80DAA5-A6C2-4EFA-B64A-B7C35527C7B1}">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3EB3B1F9-080E-4FE9-818D-3591B7924032}">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<sst xmlns="http://schemas.openxmlformats.org/spreadsheetml/2006/main" count="8785" uniqueCount="4020">
  <si>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</si>
  <si>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</si>
  <si>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</si>
  <si>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</si>
  <si>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</si>
  <si>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</si>
  <si>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</si>
  <si>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</si>
  <si>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</si>
  <si>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</si>
  <si>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</si>
  <si>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</si>
  <si>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</si>
  <si>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</si>
  <si>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</si>
  <si>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</si>
  <si>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</si>
  <si>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</si>
  <si>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</si>
  <si>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</si>
  <si>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</si>
  <si>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</si>
  <si>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</si>
  <si>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</si>
  <si>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</si>
  <si>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</si>
  <si>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</si>
  <si>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</si>
  <si>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</si>
  <si>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</si>
  <si>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</si>
  <si>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</si>
  <si>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</si>
  <si>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</si>
  <si>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</si>
  <si>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</si>
  <si>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</si>
  <si>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</si>
  <si>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</si>
  <si>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</si>
  <si>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</si>
  <si>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</si>
  <si>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</si>
  <si>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</si>
  <si>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</si>
  <si>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</si>
  <si>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</si>
  <si>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</si>
  <si>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</si>
  <si>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</si>
  <si>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</si>
  <si>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</si>
  <si>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</si>
  <si>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</si>
  <si>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</si>
  <si>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</si>
  <si>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</si>
  <si>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</si>
  <si>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</si>
  <si>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</si>
  <si>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</si>
  <si>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</si>
  <si>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</si>
  <si>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</si>
  <si>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</si>
  <si>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</si>
  <si>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</si>
  <si>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</si>
  <si>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</si>
  <si>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</si>
  <si>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</si>
  <si>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</si>
  <si>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</si>
  <si>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</si>
  <si>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</si>
  <si>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</si>
  <si>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</si>
  <si>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</si>
  <si>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</si>
  <si>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</si>
  <si>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</si>
  <si>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</si>
  <si>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</si>
  <si>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</si>
  <si>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</si>
  <si>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</si>
  <si>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</si>
  <si>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</si>
  <si>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</si>
  <si>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</si>
  <si>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</si>
  <si>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</si>
  <si>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</si>
  <si>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</si>
  <si>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</si>
  <si>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</si>
  <si>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</si>
  <si>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</si>
  <si>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</si>
  <si>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</si>
  <si>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</si>
  <si>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</si>
  <si>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</si>
  <si>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</si>
  <si>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</si>
  <si>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</si>
  <si>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</si>
  <si>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</si>
  <si>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</si>
  <si>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</si>
  <si>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</si>
  <si>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</si>
  <si>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</si>
  <si>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</si>
  <si>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</si>
  <si>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</si>
  <si>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</si>
  <si>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</si>
  <si>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</si>
  <si>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</si>
  <si>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</si>
  <si>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</si>
  <si>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</si>
  <si>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</si>
  <si>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</si>
  <si>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</si>
  <si>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</si>
  <si>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</si>
  <si>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</si>
  <si>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</si>
  <si>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</si>
  <si>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</si>
  <si>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</si>
  <si>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</si>
  <si>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</si>
  <si>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</si>
  <si>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</si>
  <si>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</si>
  <si>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</si>
  <si>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</si>
  <si>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</si>
  <si>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</si>
  <si>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</si>
  <si>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</si>
  <si>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</si>
  <si>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</si>
  <si>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</si>
  <si>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</si>
  <si>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</si>
  <si>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</si>
  <si>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</si>
  <si>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</si>
  <si>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</si>
  <si>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</si>
  <si>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</si>
  <si>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</si>
  <si>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</si>
  <si>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</si>
  <si>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</si>
  <si>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</si>
  <si>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</si>
  <si>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</si>
  <si>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</si>
  <si>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</si>
  <si>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</si>
  <si>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</si>
  <si>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</si>
  <si>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</si>
  <si>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</si>
  <si>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</si>
  <si>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</si>
  <si>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</si>
  <si>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</si>
  <si>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</si>
  <si>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</si>
  <si>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</si>
  <si>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</si>
  <si>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</si>
  <si>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</si>
  <si>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</si>
  <si>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</si>
  <si>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</si>
  <si>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</si>
  <si>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</si>
  <si>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</si>
  <si>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</si>
  <si>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</si>
  <si>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</si>
  <si>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</si>
  <si>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</si>
  <si>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</si>
  <si>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</si>
  <si>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</si>
  <si>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</si>
  <si>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</si>
  <si>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</si>
  <si>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</si>
  <si>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</si>
  <si>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</si>
  <si>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</si>
  <si>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</si>
  <si>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</si>
  <si>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</si>
  <si>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</si>
  <si>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</si>
  <si>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</si>
  <si>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</si>
  <si>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</si>
  <si>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</si>
  <si>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</si>
  <si>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</si>
  <si>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</si>
  <si>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</si>
  <si>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</si>
  <si>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</si>
  <si>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</si>
  <si>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</si>
  <si>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</si>
  <si>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</si>
  <si>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</si>
  <si>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</si>
  <si>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</si>
  <si>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</si>
  <si>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</si>
  <si>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</si>
  <si>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</si>
  <si>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</si>
  <si>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</si>
  <si>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</si>
  <si>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</si>
  <si>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</si>
  <si>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</si>
  <si>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</si>
  <si>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</si>
  <si>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</si>
  <si>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</si>
  <si>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</si>
  <si>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</si>
  <si>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</si>
  <si>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</si>
  <si>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</si>
  <si>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</si>
  <si>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</si>
  <si>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</si>
  <si>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</si>
  <si>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</si>
  <si>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</si>
  <si>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</si>
  <si>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</si>
  <si>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</si>
  <si>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</si>
  <si>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</si>
  <si>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</si>
  <si>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</si>
  <si>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</si>
  <si>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</si>
  <si>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</si>
  <si>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</si>
  <si>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</si>
  <si>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</si>
  <si>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</si>
  <si>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</si>
  <si>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</si>
  <si>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</si>
  <si>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</si>
  <si>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</si>
  <si>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</si>
  <si>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</si>
  <si>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</si>
  <si>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</si>
  <si>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</si>
  <si>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</si>
  <si>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</si>
  <si>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</si>
  <si>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</si>
  <si>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</si>
  <si>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</si>
  <si>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</si>
  <si>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</si>
  <si>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</si>
  <si>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</si>
  <si>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</si>
  <si>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</si>
  <si>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</si>
  <si>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</si>
  <si>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</si>
  <si>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</si>
  <si>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</si>
  <si>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</si>
  <si>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</si>
  <si>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</si>
  <si>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</si>
  <si>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</si>
  <si>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</si>
  <si>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</si>
  <si>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</si>
  <si>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</si>
  <si>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</si>
  <si>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</si>
  <si>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</si>
  <si>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</si>
  <si>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</si>
  <si>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</si>
  <si>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</si>
  <si>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</si>
  <si>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</si>
  <si>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</si>
  <si>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</si>
  <si>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</si>
  <si>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</si>
  <si>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</si>
  <si>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</si>
  <si>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</si>
  <si>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</si>
  <si>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</si>
  <si>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</si>
  <si>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</si>
  <si>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</si>
  <si>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</si>
  <si>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</si>
  <si>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</si>
  <si>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</si>
  <si>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</si>
  <si>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</si>
  <si>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</si>
  <si>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</si>
  <si>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</si>
  <si>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</si>
  <si>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</si>
  <si>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</si>
  <si>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</si>
  <si>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</si>
  <si>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</si>
  <si>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</si>
  <si>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</si>
  <si>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</si>
  <si>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</si>
  <si>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</si>
  <si>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</si>
  <si>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</si>
  <si>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</si>
  <si>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</si>
  <si>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</si>
  <si>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</si>
  <si>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</si>
  <si>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</si>
  <si>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</si>
  <si>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</si>
  <si>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</si>
  <si>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</si>
  <si>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</si>
  <si>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</si>
  <si>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</si>
  <si>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</si>
  <si>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</si>
  <si>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</si>
  <si>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</si>
  <si>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</si>
  <si>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</si>
  <si>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</si>
  <si>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</si>
  <si>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</si>
  <si>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</si>
  <si>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</si>
  <si>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</si>
  <si>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</si>
  <si>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</si>
  <si>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</si>
  <si>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</si>
  <si>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</si>
  <si>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</si>
  <si>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</si>
  <si>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</si>
  <si>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</si>
  <si>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</si>
  <si>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</si>
  <si>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</si>
  <si>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</si>
  <si>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</si>
  <si>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</si>
  <si>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</si>
  <si>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</si>
  <si>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</si>
  <si>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</si>
  <si>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</si>
  <si>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</si>
  <si>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</si>
  <si>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</si>
  <si>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</si>
  <si>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</si>
  <si>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</si>
  <si>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</si>
  <si>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</si>
  <si>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</si>
  <si>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</si>
  <si>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</si>
  <si>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</si>
  <si>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</si>
  <si>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</si>
  <si>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</si>
  <si>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</si>
  <si>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</si>
  <si>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</si>
  <si>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</si>
  <si>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</si>
  <si>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</si>
  <si>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</si>
  <si>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</si>
  <si>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</si>
  <si>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</si>
  <si>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</si>
  <si>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</si>
  <si>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</si>
  <si>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</si>
  <si>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</si>
  <si>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</si>
  <si>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</si>
  <si>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</si>
  <si>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</si>
  <si>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</si>
  <si>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</si>
  <si>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</si>
  <si>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</si>
  <si>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</si>
  <si>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</si>
  <si>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</si>
  <si>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</si>
  <si>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</si>
  <si>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</si>
  <si>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</si>
  <si>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</si>
  <si>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</si>
  <si>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</si>
  <si>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</si>
  <si>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</si>
  <si>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</si>
  <si>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</si>
  <si>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</si>
  <si>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</si>
  <si>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</si>
  <si>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</si>
  <si>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</si>
  <si>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</si>
  <si>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</si>
  <si>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</si>
  <si>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</si>
  <si>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</si>
  <si>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</si>
  <si>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</si>
  <si>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</si>
  <si>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</si>
  <si>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</si>
  <si>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</si>
  <si>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</si>
  <si>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</si>
  <si>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</si>
  <si>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</si>
  <si>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</si>
  <si>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</si>
  <si>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</si>
  <si>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</si>
  <si>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</si>
  <si>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</si>
  <si>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</si>
  <si>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</si>
  <si>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</si>
  <si>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</si>
  <si>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</si>
  <si>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</si>
  <si>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</si>
  <si>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</si>
  <si>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</si>
  <si>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</si>
  <si>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</si>
  <si>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</si>
  <si>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</si>
  <si>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</si>
  <si>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</si>
  <si>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</si>
  <si>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</si>
  <si>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</si>
  <si>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</si>
  <si>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</si>
  <si>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</si>
  <si>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</si>
  <si>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</si>
  <si>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</si>
  <si>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</si>
  <si>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</si>
  <si>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</si>
  <si>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</si>
  <si>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</si>
  <si>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</si>
  <si>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</si>
  <si>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</si>
  <si>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</si>
  <si>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</si>
  <si>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</si>
  <si>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</si>
  <si>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</si>
  <si>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</si>
  <si>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</si>
  <si>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</si>
  <si>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</si>
  <si>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</si>
  <si>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</si>
  <si>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</si>
  <si>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</si>
  <si>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</si>
  <si>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</si>
  <si>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</si>
  <si>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</si>
  <si>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</si>
  <si>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</si>
  <si>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</si>
  <si>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</si>
  <si>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</si>
  <si>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</si>
  <si>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</si>
  <si>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</si>
  <si>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</si>
  <si>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</si>
  <si>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</si>
  <si>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</si>
  <si>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</si>
  <si>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</si>
  <si>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</si>
  <si>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</si>
  <si>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</si>
  <si>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</si>
  <si>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</si>
  <si>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</si>
  <si>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</si>
  <si>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</si>
  <si>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</si>
  <si>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</si>
  <si>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</si>
  <si>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</si>
  <si>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</si>
  <si>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</si>
  <si>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</si>
  <si>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</si>
  <si>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</si>
  <si>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</si>
  <si>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</si>
  <si>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</si>
  <si>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</si>
  <si>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</si>
  <si>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</si>
  <si>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</si>
  <si>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</si>
  <si>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</si>
  <si>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</si>
  <si>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</si>
  <si>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</si>
  <si>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</si>
  <si>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</si>
  <si>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</si>
  <si>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</si>
  <si>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</si>
  <si>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</si>
  <si>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</si>
  <si>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</si>
  <si>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</si>
  <si>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</si>
  <si>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</si>
  <si>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</si>
  <si>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</si>
  <si>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</si>
  <si>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</si>
  <si>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</si>
  <si>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</si>
  <si>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</si>
  <si>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</si>
  <si>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</si>
  <si>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</si>
  <si>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</si>
  <si>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</si>
  <si>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</si>
  <si>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</si>
  <si>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</si>
  <si>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</si>
  <si>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</si>
  <si>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</si>
  <si>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</si>
  <si>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</si>
  <si>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</si>
  <si>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</si>
  <si>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</si>
  <si>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</si>
  <si>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</si>
  <si>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</si>
  <si>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</si>
  <si>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</si>
  <si>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</si>
  <si>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</si>
  <si>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</si>
  <si>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</si>
  <si>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</si>
  <si>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</si>
  <si>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</si>
  <si>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</si>
  <si>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</si>
  <si>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</si>
  <si>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</si>
  <si>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</si>
  <si>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</si>
  <si>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</si>
  <si>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</si>
  <si>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</si>
  <si>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</si>
  <si>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</si>
  <si>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</si>
  <si>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</si>
  <si>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</si>
  <si>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</si>
  <si>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</si>
  <si>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</si>
  <si>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</si>
  <si>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</si>
  <si>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</si>
  <si>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</si>
  <si>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</si>
  <si>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</si>
  <si>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</si>
  <si>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</si>
  <si>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</si>
  <si>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</si>
  <si>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</si>
  <si>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</si>
  <si>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</si>
  <si>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</si>
  <si>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</si>
  <si>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</si>
  <si>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</si>
  <si>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</si>
  <si>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</si>
  <si>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</si>
  <si>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</si>
  <si>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</si>
  <si>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</si>
  <si>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</si>
  <si>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</si>
  <si>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</si>
  <si>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</si>
  <si>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</si>
  <si>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</si>
  <si>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</si>
  <si>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</si>
  <si>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</si>
  <si>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</si>
  <si>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</si>
  <si>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</si>
  <si>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</si>
  <si>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</si>
  <si>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</si>
  <si>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</si>
  <si>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</si>
  <si>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</si>
  <si>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</si>
  <si>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</si>
  <si>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</si>
  <si>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</si>
  <si>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</si>
  <si>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</si>
  <si>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</si>
  <si>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</si>
  <si>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</si>
  <si>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</si>
  <si>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</si>
  <si>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</si>
  <si>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</si>
  <si>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</si>
  <si>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</si>
  <si>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</si>
  <si>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</si>
  <si>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</si>
  <si>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</si>
  <si>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</si>
  <si>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</si>
  <si>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</si>
  <si>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</si>
  <si>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</si>
  <si>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</si>
  <si>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</si>
  <si>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</si>
  <si>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</si>
  <si>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</si>
  <si>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</si>
  <si>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</si>
  <si>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</si>
  <si>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</si>
  <si>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</si>
  <si>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</si>
  <si>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</si>
  <si>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</si>
  <si>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</si>
  <si>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</si>
  <si>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</si>
  <si>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</si>
  <si>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</si>
  <si>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</si>
  <si>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</si>
  <si>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</si>
  <si>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</si>
  <si>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</si>
  <si>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</si>
  <si>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</si>
  <si>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</si>
  <si>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</si>
  <si>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</si>
  <si>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</si>
  <si>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</si>
  <si>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</si>
  <si>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</si>
  <si>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</si>
  <si>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</si>
  <si>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</si>
  <si>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</si>
  <si>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</si>
  <si>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</si>
  <si>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</si>
  <si>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</si>
  <si>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</si>
  <si>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</si>
  <si>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</si>
  <si>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</si>
  <si>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</si>
  <si>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</si>
  <si>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</si>
  <si>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</si>
  <si>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</si>
  <si>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</si>
  <si>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</si>
  <si>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</si>
  <si>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</si>
  <si>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</si>
  <si>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</si>
  <si>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</si>
  <si>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</si>
  <si>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</si>
  <si>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</si>
  <si>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</si>
  <si>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</si>
  <si>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</si>
  <si>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</si>
  <si>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</si>
  <si>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</si>
  <si>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</si>
  <si>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</si>
  <si>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</si>
  <si>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</si>
  <si>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</si>
  <si>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</si>
  <si>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</si>
  <si>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</si>
  <si>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</si>
  <si>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</si>
  <si>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</si>
  <si>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</si>
  <si>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</si>
  <si>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</si>
  <si>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</si>
  <si>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</si>
  <si>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</si>
  <si>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</si>
  <si>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</si>
  <si>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</si>
  <si>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</si>
  <si>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</si>
  <si>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</si>
  <si>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</si>
  <si>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</si>
  <si>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</si>
  <si>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</si>
  <si>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</si>
  <si>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</si>
  <si>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</si>
  <si>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</si>
  <si>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</si>
  <si>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</si>
  <si>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</si>
  <si>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</si>
  <si>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</si>
  <si>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</si>
  <si>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</si>
  <si>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</si>
  <si>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</si>
  <si>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</si>
  <si>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</si>
  <si>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</si>
  <si>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</si>
  <si>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</si>
  <si>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</si>
  <si>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</si>
  <si>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</si>
  <si>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</si>
  <si>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</si>
  <si>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</si>
  <si>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</si>
  <si>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</si>
  <si>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</si>
  <si>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</si>
  <si>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</si>
  <si>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</si>
  <si>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</si>
  <si>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</si>
  <si>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</si>
  <si>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</si>
  <si>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</si>
  <si>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</si>
  <si>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</si>
  <si>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</si>
  <si>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</si>
  <si>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</si>
  <si>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</si>
  <si>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</si>
  <si>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</si>
  <si>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</si>
  <si>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</si>
  <si>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</si>
  <si>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</si>
  <si>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</si>
  <si>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</si>
  <si>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</si>
  <si>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</si>
  <si>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</si>
  <si>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</si>
  <si>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</si>
  <si>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</si>
  <si>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</si>
  <si>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</si>
  <si>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</si>
  <si>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</si>
  <si>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</si>
  <si>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</si>
  <si>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</si>
  <si>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</si>
  <si>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</si>
  <si>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</si>
  <si>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</si>
  <si>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</si>
  <si>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</si>
  <si>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</si>
  <si>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</si>
  <si>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</si>
  <si>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</si>
  <si>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</si>
  <si>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</si>
  <si>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</si>
  <si>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</si>
  <si>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</si>
  <si>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</si>
  <si>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</si>
  <si>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</si>
  <si>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</si>
  <si>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</si>
  <si>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</si>
  <si>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</si>
  <si>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</si>
  <si>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</si>
  <si>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</si>
  <si>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</si>
  <si>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</si>
  <si>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</si>
  <si>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</si>
  <si>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</si>
  <si>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</si>
  <si>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</si>
  <si>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</si>
  <si>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</si>
  <si>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</si>
  <si>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</si>
  <si>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</si>
  <si>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</si>
  <si>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</si>
  <si>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</si>
  <si>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</si>
  <si>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</si>
  <si>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</si>
  <si>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</si>
  <si>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</si>
  <si>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</si>
  <si>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</si>
  <si>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</si>
  <si>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</si>
  <si>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</si>
  <si>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</si>
  <si>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</si>
  <si>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</si>
  <si>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</si>
  <si>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</si>
  <si>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</si>
  <si>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</si>
  <si>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</si>
  <si>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</si>
  <si>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</si>
  <si>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</si>
  <si>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</si>
  <si>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</si>
  <si>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</si>
  <si>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</si>
  <si>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</si>
  <si>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</si>
  <si>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</si>
  <si>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</si>
  <si>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</si>
  <si>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</si>
  <si>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</si>
  <si>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</si>
  <si>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</si>
  <si>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</si>
  <si>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</si>
  <si>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</si>
  <si>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</si>
  <si>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</si>
  <si>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</si>
  <si>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</si>
  <si>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</si>
  <si>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</si>
  <si>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</si>
  <si>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</si>
  <si>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</si>
  <si>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</si>
  <si>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</si>
  <si>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</si>
  <si>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</si>
  <si>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</si>
  <si>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</si>
  <si>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</si>
  <si>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</si>
  <si>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</si>
  <si>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</si>
  <si>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</si>
  <si>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</si>
  <si>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</si>
  <si>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</si>
  <si>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</si>
  <si>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</si>
  <si>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</si>
  <si>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</si>
  <si>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</si>
  <si>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</si>
  <si>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</si>
  <si>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</si>
  <si>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</si>
  <si>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</si>
  <si>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</si>
  <si>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</si>
  <si>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</si>
  <si>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</si>
  <si>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</si>
  <si>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</si>
  <si>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</si>
  <si>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</si>
  <si>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</si>
  <si>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</si>
  <si>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</si>
  <si>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</si>
  <si>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</si>
  <si>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</si>
  <si>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</si>
  <si>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</si>
  <si>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</si>
  <si>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</si>
  <si>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</si>
  <si>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</si>
  <si>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</si>
  <si>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</si>
  <si>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</si>
  <si>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</si>
  <si>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</si>
  <si>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</si>
  <si>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</si>
  <si>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</si>
  <si>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</si>
  <si>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</si>
  <si>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</si>
  <si>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</si>
  <si>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</si>
  <si>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</si>
  <si>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</si>
  <si>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</si>
  <si>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</si>
  <si>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</si>
  <si>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</si>
  <si>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</si>
  <si>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</si>
  <si>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</si>
  <si>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</si>
  <si>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</si>
  <si>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</si>
  <si>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</si>
  <si>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</si>
  <si>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</si>
  <si>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</si>
  <si>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</si>
  <si>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</si>
  <si>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</si>
  <si>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</si>
  <si>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</si>
  <si>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</si>
  <si>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</si>
  <si>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</si>
  <si>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</si>
  <si>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</si>
  <si>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</si>
  <si>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</si>
  <si>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</si>
  <si>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</si>
  <si>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</si>
  <si>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</si>
  <si>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</si>
  <si>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</si>
  <si>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</si>
  <si>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</si>
  <si>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</si>
  <si>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</si>
  <si>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</si>
  <si>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</si>
  <si>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</si>
  <si>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</si>
  <si>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</si>
  <si>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</si>
  <si>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</si>
  <si>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</si>
  <si>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</si>
  <si>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</si>
  <si>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</si>
  <si>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</si>
  <si>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</si>
  <si>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</si>
  <si>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</si>
  <si>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</si>
  <si>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</si>
  <si>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</si>
  <si>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</si>
  <si>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</si>
  <si>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</si>
  <si>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</si>
  <si>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</si>
  <si>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</si>
  <si>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</si>
  <si>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</si>
  <si>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</si>
  <si>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</si>
  <si>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</si>
  <si>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</si>
  <si>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</si>
  <si>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</si>
  <si>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</si>
  <si>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</si>
  <si>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</si>
  <si>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</si>
  <si>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</si>
  <si>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</si>
  <si>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</si>
  <si>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</si>
  <si>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</si>
  <si>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</si>
  <si>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</si>
  <si>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</si>
  <si>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</si>
  <si>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</si>
  <si>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</si>
  <si>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</si>
  <si>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</si>
  <si>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</si>
  <si>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</si>
  <si>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</si>
  <si>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</si>
  <si>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</si>
  <si>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</si>
  <si>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</si>
  <si>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</si>
  <si>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</si>
  <si>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</si>
  <si>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</si>
  <si>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</si>
  <si>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</si>
  <si>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</si>
  <si>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</si>
  <si>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</si>
  <si>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</si>
  <si>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</si>
  <si>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</si>
  <si>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</si>
  <si>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</si>
  <si>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</si>
  <si>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</si>
  <si>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</si>
  <si>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</si>
  <si>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</si>
  <si>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</si>
  <si>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</si>
  <si>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</si>
  <si>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</si>
  <si>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</si>
  <si>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</si>
  <si>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</si>
  <si>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</si>
  <si>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</si>
  <si>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</si>
  <si>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</si>
  <si>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</si>
  <si>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</si>
  <si>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</si>
  <si>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</si>
  <si>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</si>
  <si>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</si>
  <si>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</si>
  <si>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</si>
  <si>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</si>
  <si>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</si>
  <si>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</si>
  <si>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</si>
  <si>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</si>
  <si>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</si>
  <si>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</si>
  <si>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</si>
  <si>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</si>
  <si>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</si>
  <si>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</si>
  <si>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</si>
  <si>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</si>
  <si>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</si>
  <si>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</si>
  <si>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</si>
  <si>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</si>
  <si>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</si>
  <si>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</si>
  <si>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</si>
  <si>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</si>
  <si>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</si>
  <si>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</si>
  <si>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</si>
  <si>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</si>
  <si>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</si>
  <si>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</si>
  <si>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</si>
  <si>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</si>
  <si>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</si>
  <si>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</si>
  <si>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</si>
  <si>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</si>
  <si>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</si>
  <si>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</si>
  <si>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</si>
  <si>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</si>
  <si>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</si>
  <si>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</si>
  <si>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</si>
  <si>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</si>
  <si>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</si>
  <si>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</si>
  <si>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</si>
  <si>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</si>
  <si>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</si>
  <si>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</si>
  <si>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</si>
  <si>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</si>
  <si>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</si>
  <si>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</si>
  <si>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</si>
  <si>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</si>
  <si>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</si>
  <si>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</si>
  <si>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</si>
  <si>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</si>
  <si>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</si>
  <si>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</si>
  <si>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</si>
  <si>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</si>
  <si>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</si>
  <si>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</si>
  <si>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</si>
  <si>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</si>
  <si>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</si>
  <si>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</si>
  <si>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</si>
  <si>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</si>
  <si>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</si>
  <si>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</si>
  <si>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</si>
  <si>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</si>
  <si>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</si>
  <si>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</si>
  <si>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</si>
  <si>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</si>
  <si>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</si>
  <si>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</si>
  <si>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</si>
  <si>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</si>
  <si>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</si>
  <si>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</si>
  <si>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</si>
  <si>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</si>
  <si>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</si>
  <si>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</si>
  <si>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</si>
  <si>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</si>
  <si>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</si>
  <si>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</si>
  <si>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</si>
  <si>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</si>
  <si>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</si>
  <si>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</si>
  <si>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</si>
  <si>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</si>
  <si>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</si>
  <si>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</si>
  <si>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</si>
  <si>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</si>
  <si>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</si>
  <si>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</si>
  <si>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</si>
  <si>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</si>
  <si>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</si>
  <si>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</si>
  <si>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</si>
  <si>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</si>
  <si>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</si>
  <si>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</si>
  <si>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</si>
  <si>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</si>
  <si>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</si>
  <si>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</si>
  <si>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</si>
  <si>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</si>
  <si>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</si>
  <si>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</si>
  <si>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</si>
  <si>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</si>
  <si>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</si>
  <si>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</si>
  <si>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</si>
  <si>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</si>
  <si>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</si>
  <si>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</si>
  <si>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</si>
  <si>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</si>
  <si>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</si>
  <si>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</si>
  <si>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</si>
  <si>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</si>
  <si>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</si>
  <si>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</si>
  <si>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</si>
  <si>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</si>
  <si>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</si>
  <si>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</si>
  <si>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</si>
  <si>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</si>
  <si>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</si>
  <si>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</si>
  <si>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</si>
  <si>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</si>
  <si>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</si>
  <si>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</si>
  <si>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</si>
  <si>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</si>
  <si>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</si>
  <si>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</si>
  <si>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</si>
  <si>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</si>
  <si>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</si>
  <si>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</si>
  <si>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</si>
  <si>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</si>
  <si>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</si>
  <si>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</si>
  <si>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</si>
  <si>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</si>
  <si>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</si>
  <si>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</si>
  <si>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</si>
  <si>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</si>
  <si>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</si>
  <si>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</si>
  <si>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</si>
  <si>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</si>
  <si>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</si>
  <si>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</si>
  <si>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</si>
  <si>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</si>
  <si>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</si>
  <si>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</si>
  <si>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</si>
  <si>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</si>
  <si>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</si>
  <si>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</si>
  <si>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</si>
  <si>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</si>
  <si>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</si>
  <si>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</si>
  <si>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</si>
  <si>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</si>
  <si>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</si>
  <si>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</si>
  <si>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</si>
  <si>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</si>
  <si>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</si>
  <si>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</si>
  <si>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</si>
  <si>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</si>
  <si>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</si>
  <si>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</si>
  <si>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</si>
  <si>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</si>
  <si>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</si>
  <si>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</si>
  <si>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</si>
  <si>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</si>
  <si>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</si>
  <si>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</si>
  <si>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</si>
  <si>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</si>
  <si>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</si>
  <si>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</si>
  <si>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</si>
  <si>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</si>
  <si>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</si>
  <si>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</si>
  <si>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</si>
  <si>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</si>
  <si>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</si>
  <si>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</si>
  <si>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</si>
  <si>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</si>
  <si>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</si>
  <si>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</si>
  <si>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</si>
  <si>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</si>
  <si>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</si>
  <si>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</si>
  <si>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</si>
  <si>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</si>
  <si>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</si>
  <si>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</si>
  <si>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</si>
  <si>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</si>
  <si>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</si>
  <si>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</si>
  <si>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</si>
  <si>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</si>
  <si>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</si>
  <si>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</si>
  <si>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</si>
  <si>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</si>
  <si>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</si>
  <si>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</si>
  <si>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</si>
  <si>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</si>
  <si>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</si>
  <si>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</si>
  <si>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</si>
  <si>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</si>
  <si>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</si>
  <si>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</si>
  <si>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</si>
  <si>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</si>
  <si>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</si>
  <si>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</si>
  <si>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</si>
  <si>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</si>
  <si>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</si>
  <si>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</si>
  <si>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</si>
  <si>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</si>
  <si>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</si>
  <si>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</si>
  <si>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</si>
  <si>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</si>
  <si>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</si>
  <si>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</si>
  <si>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</si>
  <si>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</si>
  <si>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</si>
  <si>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</si>
  <si>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</si>
  <si>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</si>
  <si>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</si>
  <si>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</si>
  <si>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</si>
  <si>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</si>
  <si>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</si>
  <si>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</si>
  <si>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</si>
  <si>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</si>
  <si>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</si>
  <si>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</si>
  <si>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</si>
  <si>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</si>
  <si>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</si>
  <si>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</si>
  <si>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</si>
  <si>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</si>
  <si>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</si>
  <si>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</si>
  <si>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</si>
  <si>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</si>
  <si>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</si>
  <si>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</si>
  <si>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</si>
  <si>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</si>
  <si>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</si>
  <si>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</si>
  <si>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</si>
  <si>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</si>
  <si>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</si>
  <si>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</si>
  <si>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</si>
  <si>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</si>
  <si>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</si>
  <si>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</si>
  <si>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</si>
  <si>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</si>
  <si>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</si>
  <si>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</si>
  <si>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</si>
  <si>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</si>
  <si>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</si>
  <si>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</si>
  <si>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</si>
  <si>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</si>
  <si>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</si>
  <si>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</si>
  <si>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</si>
  <si>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</si>
  <si>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</si>
  <si>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</si>
  <si>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</si>
  <si>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</si>
  <si>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</si>
  <si>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</si>
  <si>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</si>
  <si>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</si>
  <si>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</si>
  <si>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</si>
  <si>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</si>
  <si>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</si>
  <si>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</si>
  <si>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</si>
  <si>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</si>
  <si>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</si>
  <si>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</si>
  <si>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</si>
  <si>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</si>
  <si>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</si>
  <si>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</si>
  <si>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</si>
  <si>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</si>
  <si>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</si>
  <si>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</si>
  <si>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</si>
  <si>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</si>
  <si>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</si>
  <si>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</si>
  <si>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</si>
  <si>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</si>
  <si>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</si>
  <si>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</si>
  <si>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</si>
  <si>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</si>
  <si>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</si>
  <si>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</si>
  <si>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</si>
  <si>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</si>
  <si>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</si>
  <si>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</si>
  <si>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</si>
  <si>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</si>
  <si>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</si>
  <si>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</si>
  <si>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</si>
  <si>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</si>
  <si>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</si>
  <si>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</si>
  <si>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</si>
  <si>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</si>
  <si>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</si>
  <si>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</si>
  <si>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</si>
  <si>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</si>
  <si>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</si>
  <si>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</si>
  <si>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</si>
  <si>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</si>
  <si>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</si>
  <si>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</si>
  <si>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</si>
  <si>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</si>
  <si>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</si>
  <si>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</si>
  <si>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</si>
  <si>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</si>
  <si>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</si>
  <si>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</si>
  <si>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</si>
  <si>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</si>
  <si>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</si>
  <si>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</si>
  <si>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</si>
  <si>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</si>
  <si>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</si>
  <si>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</si>
  <si>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</si>
  <si>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</si>
  <si>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</si>
  <si>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</si>
  <si>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</si>
  <si>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</si>
  <si>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</si>
  <si>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</si>
  <si>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</si>
  <si>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</si>
  <si>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</si>
  <si>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</si>
  <si>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</si>
  <si>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</si>
  <si>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</si>
  <si>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</si>
  <si>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</si>
  <si>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</si>
  <si>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</si>
  <si>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</si>
  <si>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</si>
  <si>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</si>
  <si>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</si>
  <si>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</si>
  <si>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</si>
  <si>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</si>
  <si>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</si>
  <si>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</si>
  <si>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</si>
  <si>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</si>
  <si>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</si>
  <si>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</si>
  <si>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</si>
  <si>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</si>
  <si>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</si>
  <si>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</si>
  <si>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</si>
  <si>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</si>
  <si>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</si>
  <si>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</si>
  <si>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</si>
  <si>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</si>
  <si>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</si>
  <si>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</si>
  <si>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</si>
  <si>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</si>
  <si>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</si>
  <si>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</si>
  <si>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</si>
  <si>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</si>
  <si>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</si>
  <si>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</si>
  <si>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</si>
  <si>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</si>
  <si>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</si>
  <si>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</si>
  <si>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</si>
  <si>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</si>
  <si>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</si>
  <si>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</si>
  <si>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</si>
  <si>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</si>
  <si>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</si>
  <si>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</si>
  <si>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</si>
  <si>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</si>
  <si>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</si>
  <si>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</si>
  <si>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</si>
  <si>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</si>
  <si>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</si>
  <si>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</si>
  <si>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</si>
  <si>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</si>
  <si>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</si>
  <si>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</si>
  <si>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</si>
  <si>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</si>
  <si>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</si>
  <si>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</si>
  <si>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</si>
  <si>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</si>
  <si>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</si>
  <si>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</si>
  <si>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</si>
  <si>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</si>
  <si>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</si>
  <si>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</si>
  <si>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</si>
  <si>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</si>
  <si>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</si>
  <si>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</si>
  <si>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</si>
  <si>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</si>
  <si>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</si>
  <si>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</si>
  <si>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</si>
  <si>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</si>
  <si>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</si>
  <si>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</si>
  <si>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</si>
  <si>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</si>
  <si>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</si>
  <si>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</si>
  <si>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</si>
  <si>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</si>
  <si>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</si>
  <si>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</si>
  <si>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</si>
  <si>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</si>
  <si>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</si>
  <si>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</si>
  <si>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</si>
  <si>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</si>
  <si>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</si>
  <si>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</si>
  <si>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</si>
  <si>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</si>
  <si>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</si>
  <si>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</si>
  <si>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</si>
  <si>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</si>
  <si>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</si>
  <si>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</si>
  <si>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</si>
  <si>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</si>
  <si>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</si>
  <si>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</si>
  <si>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</si>
  <si>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</si>
  <si>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</si>
  <si>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</si>
  <si>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</si>
  <si>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</si>
  <si>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</si>
  <si>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</si>
  <si>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</si>
  <si>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</si>
  <si>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</si>
  <si>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</si>
  <si>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</si>
  <si>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</si>
  <si>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</si>
  <si>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</si>
  <si>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</si>
  <si>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</si>
  <si>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</si>
  <si>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</si>
  <si>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</si>
  <si>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</si>
  <si>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</si>
  <si>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</si>
  <si>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</si>
  <si>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</si>
  <si>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</si>
  <si>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</si>
  <si>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</si>
  <si>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</si>
  <si>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</si>
  <si>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</si>
  <si>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</si>
  <si>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</si>
  <si>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</si>
  <si>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</si>
  <si>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</si>
  <si>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</si>
  <si>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</si>
  <si>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</si>
  <si>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</si>
  <si>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</si>
  <si>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</si>
  <si>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</si>
  <si>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</si>
  <si>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</si>
  <si>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</si>
  <si>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</si>
  <si>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</si>
  <si>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</si>
  <si>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</si>
  <si>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</si>
  <si>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</si>
  <si>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</si>
  <si>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</si>
  <si>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</si>
  <si>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</si>
  <si>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</si>
  <si>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</si>
  <si>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</si>
  <si>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</si>
  <si>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</si>
  <si>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</si>
  <si>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</si>
  <si>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</si>
  <si>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</si>
  <si>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</si>
  <si>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</si>
  <si>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</si>
  <si>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</si>
  <si>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</si>
  <si>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</si>
  <si>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</si>
  <si>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</si>
  <si>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</si>
  <si>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</si>
  <si>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</si>
  <si>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</si>
  <si>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</si>
  <si>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</si>
  <si>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</si>
  <si>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</si>
  <si>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</si>
  <si>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</si>
  <si>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</si>
  <si>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</si>
  <si>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</si>
  <si>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</si>
  <si>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</si>
  <si>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</si>
  <si>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</si>
  <si>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</si>
  <si>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</si>
  <si>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</si>
  <si>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</si>
  <si>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</si>
  <si>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</si>
  <si>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</si>
  <si>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</si>
  <si>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</si>
  <si>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</si>
  <si>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</si>
  <si>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</si>
  <si>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</si>
  <si>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</si>
  <si>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</si>
  <si>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</si>
  <si>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</si>
  <si>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</si>
  <si>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</si>
  <si>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</si>
  <si>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</si>
  <si>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</si>
  <si>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</si>
  <si>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</si>
  <si>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</si>
  <si>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</si>
  <si>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</si>
  <si>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</si>
  <si>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</si>
  <si>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</si>
  <si>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</si>
  <si>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</si>
  <si>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</si>
  <si>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</si>
  <si>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</si>
  <si>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</si>
  <si>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</si>
  <si>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</si>
  <si>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</si>
  <si>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</si>
  <si>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</si>
  <si>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</si>
  <si>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</si>
  <si>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</si>
  <si>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</si>
  <si>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</si>
  <si>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</si>
  <si>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</si>
  <si>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</si>
  <si>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</si>
  <si>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</si>
  <si>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</si>
  <si>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</si>
  <si>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</si>
  <si>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</si>
  <si>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</si>
  <si>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</si>
  <si>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</si>
  <si>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</si>
  <si>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</si>
  <si>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</si>
  <si>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</si>
  <si>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</si>
  <si>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</si>
  <si>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</si>
  <si>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</si>
  <si>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</si>
  <si>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</si>
  <si>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</si>
  <si>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</si>
  <si>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</si>
  <si>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</si>
  <si>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</si>
  <si>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</si>
  <si>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</si>
  <si>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</si>
  <si>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</si>
  <si>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</si>
  <si>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</si>
  <si>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</si>
  <si>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</si>
  <si>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</si>
  <si>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</si>
  <si>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</si>
  <si>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</si>
  <si>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</si>
  <si>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</si>
  <si>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</si>
  <si>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</si>
  <si>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</si>
  <si>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</si>
  <si>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</si>
  <si>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</si>
  <si>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</si>
  <si>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</si>
  <si>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</si>
  <si>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</si>
  <si>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</si>
  <si>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</si>
  <si>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</si>
  <si>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</si>
  <si>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</si>
  <si>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</si>
  <si>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</si>
  <si>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</si>
  <si>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</si>
  <si>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</si>
  <si>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</si>
  <si>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</si>
  <si>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</si>
  <si>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</si>
  <si>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</si>
  <si>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</si>
  <si>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</si>
  <si>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</si>
  <si>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</si>
  <si>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</si>
  <si>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</si>
  <si>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</si>
  <si>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</si>
  <si>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</si>
  <si>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</si>
  <si>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</si>
  <si>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</si>
  <si>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</si>
  <si>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</si>
  <si>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</si>
  <si>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</si>
  <si>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</si>
  <si>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</si>
  <si>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</si>
  <si>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</si>
  <si>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</si>
  <si>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</si>
  <si>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</si>
  <si>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</si>
  <si>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</si>
  <si>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</si>
  <si>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</si>
  <si>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</si>
  <si>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</si>
  <si>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</si>
  <si>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</si>
  <si>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</si>
  <si>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</si>
  <si>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</si>
  <si>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</si>
  <si>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</si>
  <si>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</si>
  <si>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</si>
  <si>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</si>
  <si>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</si>
  <si>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</si>
  <si>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</si>
  <si>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</si>
  <si>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</si>
  <si>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</si>
  <si>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</si>
  <si>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</si>
  <si>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</si>
  <si>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</si>
  <si>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</si>
  <si>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</si>
  <si>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</si>
  <si>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</si>
  <si>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</si>
  <si>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</si>
  <si>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</si>
  <si>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</si>
  <si>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</si>
  <si>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</si>
  <si>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</si>
  <si>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</si>
  <si>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</si>
  <si>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</si>
  <si>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</si>
  <si>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</si>
  <si>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</si>
  <si>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</si>
  <si>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</si>
  <si>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</si>
  <si>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</si>
  <si>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</si>
  <si>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</si>
  <si>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</si>
  <si>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</si>
  <si>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</si>
  <si>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</si>
  <si>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</si>
  <si>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</si>
  <si>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</si>
  <si>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</si>
  <si>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</si>
  <si>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</si>
  <si>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</si>
  <si>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</si>
  <si>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</si>
  <si>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</si>
  <si>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</si>
  <si>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</si>
  <si>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</si>
  <si>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</si>
  <si>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</si>
  <si>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</si>
  <si>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</si>
  <si>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</si>
  <si>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</si>
  <si>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</si>
  <si>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</si>
  <si>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</si>
  <si>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</si>
  <si>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</si>
  <si>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</si>
  <si>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</si>
  <si>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</si>
  <si>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</si>
  <si>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</si>
  <si>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</si>
  <si>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</si>
  <si>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</si>
  <si>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</si>
  <si>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</si>
  <si>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</si>
  <si>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</si>
  <si>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</si>
  <si>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</si>
  <si>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</si>
  <si>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</si>
  <si>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</si>
  <si>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</si>
  <si>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</si>
  <si>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</si>
  <si>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</si>
  <si>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</si>
  <si>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</si>
  <si>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</si>
  <si>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</si>
  <si>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</si>
  <si>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</si>
  <si>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</si>
  <si>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</si>
  <si>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</si>
  <si>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</si>
  <si>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</si>
  <si>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</si>
  <si>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</si>
  <si>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</si>
  <si>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</si>
  <si>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</si>
  <si>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</si>
  <si>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</si>
  <si>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</si>
  <si>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</si>
  <si>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</si>
  <si>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</si>
  <si>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</si>
  <si>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</si>
  <si>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</si>
  <si>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</si>
  <si>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</si>
  <si>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</si>
  <si>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</si>
  <si>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</si>
  <si>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</si>
  <si>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</si>
  <si>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</si>
  <si>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</si>
  <si>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</si>
  <si>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</si>
  <si>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</si>
  <si>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</si>
  <si>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</si>
  <si>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</si>
  <si>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</si>
  <si>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</si>
  <si>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</si>
  <si>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</si>
  <si>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</si>
  <si>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</si>
  <si>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</si>
  <si>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</si>
  <si>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</si>
  <si>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</si>
  <si>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</si>
  <si>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</si>
  <si>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</si>
  <si>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</si>
  <si>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</si>
  <si>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</si>
  <si>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</si>
  <si>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</si>
  <si>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</si>
  <si>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</si>
  <si>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</si>
  <si>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</si>
  <si>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</si>
  <si>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</si>
  <si>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</si>
  <si>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</si>
  <si>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</si>
  <si>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</si>
  <si>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</si>
  <si>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</si>
  <si>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</si>
  <si>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</si>
  <si>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</si>
  <si>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</si>
  <si>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</si>
  <si>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</si>
  <si>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</si>
  <si>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</si>
  <si>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</si>
  <si>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</si>
  <si>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</si>
  <si>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</si>
  <si>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</si>
  <si>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</si>
  <si>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</si>
  <si>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</si>
  <si>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</si>
  <si>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</si>
  <si>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</si>
  <si>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</si>
  <si>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</si>
  <si>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</si>
  <si>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</si>
  <si>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</si>
  <si>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</si>
  <si>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</si>
  <si>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</si>
  <si>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</si>
  <si>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</si>
  <si>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</si>
  <si>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</si>
  <si>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</si>
  <si>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</si>
  <si>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</si>
  <si>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</si>
  <si>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</si>
  <si>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</si>
  <si>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</si>
  <si>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</si>
  <si>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</si>
  <si>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</si>
  <si>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</si>
  <si>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</si>
  <si>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</si>
  <si>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</si>
  <si>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</si>
  <si>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</si>
  <si>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</si>
  <si>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</si>
  <si>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</si>
  <si>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</si>
  <si>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</si>
  <si>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</si>
  <si>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</si>
  <si>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</si>
  <si>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</si>
  <si>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</si>
  <si>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</si>
  <si>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</si>
  <si>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</si>
  <si>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</si>
  <si>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</si>
  <si>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</si>
  <si>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</si>
  <si>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</si>
  <si>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</si>
  <si>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</si>
  <si>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</si>
  <si>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</si>
  <si>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</si>
  <si>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</si>
  <si>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</si>
  <si>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</si>
  <si>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</si>
  <si>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</si>
  <si>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</si>
  <si>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</si>
  <si>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</si>
  <si>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</si>
  <si>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</si>
  <si>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</si>
  <si>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</si>
  <si>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</si>
  <si>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</si>
  <si>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</si>
  <si>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</si>
  <si>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</si>
  <si>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</si>
  <si>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</si>
  <si>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</si>
  <si>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</si>
  <si>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</si>
  <si>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</si>
  <si>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</si>
  <si>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</si>
  <si>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</si>
  <si>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</si>
  <si>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</si>
  <si>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</si>
  <si>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</si>
  <si>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</si>
  <si>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</si>
  <si>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</si>
  <si>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</si>
  <si>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</si>
  <si>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</si>
  <si>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</si>
  <si>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</si>
  <si>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</si>
  <si>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</si>
  <si>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</si>
  <si>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</si>
  <si>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</si>
  <si>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</si>
  <si>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</si>
  <si>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</si>
  <si>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</si>
  <si>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</si>
  <si>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</si>
  <si>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</si>
  <si>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</si>
  <si>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</si>
  <si>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</si>
  <si>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</si>
  <si>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</si>
  <si>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</si>
  <si>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</si>
  <si>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</si>
  <si>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</si>
  <si>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</si>
  <si>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</si>
  <si>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</si>
  <si>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</si>
  <si>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</si>
  <si>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</si>
  <si>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</si>
  <si>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</si>
  <si>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</si>
  <si>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</si>
  <si>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</si>
  <si>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</si>
  <si>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</si>
  <si>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</si>
  <si>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</si>
  <si>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</si>
  <si>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</si>
  <si>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</si>
  <si>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</si>
  <si>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</si>
  <si>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</si>
  <si>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</si>
  <si>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</si>
  <si>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</si>
  <si>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</si>
  <si>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</si>
  <si>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</si>
  <si>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</si>
  <si>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</si>
  <si>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</si>
  <si>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</si>
  <si>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</si>
  <si>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</si>
  <si>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</si>
  <si>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</si>
  <si>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</si>
  <si>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</si>
  <si>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</si>
  <si>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</si>
  <si>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</si>
  <si>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</si>
  <si>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</si>
  <si>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</si>
  <si>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</si>
  <si>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</si>
  <si>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</si>
  <si>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</si>
  <si>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</si>
  <si>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</si>
  <si>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</si>
  <si>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</si>
  <si>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</si>
  <si>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</si>
  <si>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</si>
  <si>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</si>
  <si>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</si>
  <si>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</si>
  <si>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</si>
  <si>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</si>
  <si>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</si>
  <si>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</si>
  <si>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</si>
  <si>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</si>
  <si>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</si>
  <si>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</si>
  <si>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</si>
  <si>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</si>
  <si>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</si>
  <si>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</si>
  <si>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</si>
  <si>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</si>
  <si>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</si>
  <si>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</si>
  <si>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</si>
  <si>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</si>
  <si>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</si>
  <si>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</si>
  <si>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</si>
  <si>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</si>
  <si>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</si>
  <si>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</si>
  <si>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</si>
  <si>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</si>
  <si>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</si>
  <si>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</si>
  <si>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</si>
  <si>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</si>
  <si>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</si>
  <si>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</si>
  <si>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</si>
  <si>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</si>
  <si>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</si>
  <si>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</si>
  <si>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</si>
  <si>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</si>
  <si>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</si>
  <si>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</si>
  <si>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</si>
  <si>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</si>
  <si>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</si>
  <si>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</si>
  <si>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</si>
  <si>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</si>
  <si>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</si>
  <si>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</si>
  <si>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</si>
  <si>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</si>
  <si>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</si>
  <si>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</si>
  <si>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</si>
  <si>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</si>
  <si>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</si>
  <si>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</si>
  <si>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</si>
  <si>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</si>
  <si>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</si>
  <si>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</si>
  <si>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</si>
  <si>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</si>
  <si>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</si>
  <si>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</si>
  <si>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</si>
  <si>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</si>
  <si>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</si>
  <si>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</si>
  <si>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</si>
  <si>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</si>
  <si>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</si>
  <si>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</si>
  <si>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</si>
  <si>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</si>
  <si>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</si>
  <si>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</si>
  <si>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</si>
  <si>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</si>
  <si>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</si>
  <si>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</si>
  <si>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</si>
  <si>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</si>
  <si>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</si>
  <si>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</si>
  <si>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</si>
  <si>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</si>
  <si>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</si>
  <si>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</si>
  <si>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</si>
  <si>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</si>
  <si>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</si>
  <si>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</si>
  <si>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</si>
  <si>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</si>
  <si>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</si>
  <si>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</si>
  <si>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</si>
  <si>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</si>
  <si>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</si>
  <si>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</si>
  <si>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</si>
  <si>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</si>
  <si>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</si>
  <si>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</si>
  <si>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</si>
  <si>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</si>
  <si>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</si>
  <si>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</si>
  <si>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</si>
  <si>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</si>
  <si>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</si>
  <si>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</si>
  <si>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</si>
  <si>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</si>
  <si>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</si>
  <si>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</si>
  <si>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</si>
  <si>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</si>
  <si>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</si>
  <si>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</si>
  <si>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</si>
  <si>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</si>
  <si>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</si>
  <si>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</si>
  <si>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</si>
  <si>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</si>
  <si>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</si>
  <si>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</si>
  <si>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</si>
  <si>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</si>
  <si>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</si>
  <si>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</si>
  <si>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</si>
  <si>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</si>
  <si>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</si>
  <si>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</si>
  <si>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</si>
  <si>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</si>
  <si>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</si>
  <si>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</si>
  <si>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</si>
  <si>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</si>
  <si>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</si>
  <si>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</si>
  <si>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</si>
  <si>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</si>
  <si>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</si>
  <si>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</si>
  <si>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</si>
  <si>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</si>
  <si>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</si>
  <si>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</si>
  <si>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</si>
  <si>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</si>
  <si>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</si>
  <si>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</si>
  <si>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</si>
  <si>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</si>
  <si>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</si>
  <si>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</si>
  <si>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</si>
  <si>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</si>
  <si>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</si>
  <si>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</si>
  <si>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</si>
  <si>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</si>
  <si>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</si>
  <si>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</si>
  <si>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</si>
  <si>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</si>
  <si>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</si>
  <si>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</si>
  <si>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</si>
  <si>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</si>
  <si>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</si>
  <si>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</si>
  <si>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</si>
  <si>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</si>
  <si>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</si>
  <si>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</si>
  <si>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</si>
  <si>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</si>
  <si>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</si>
  <si>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</si>
  <si>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</si>
  <si>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</si>
  <si>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</si>
  <si>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</si>
  <si>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</si>
  <si>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</si>
  <si>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</si>
  <si>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</si>
  <si>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</si>
  <si>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</si>
  <si>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</si>
  <si>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</si>
  <si>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</si>
  <si>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</si>
  <si>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</si>
  <si>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</si>
  <si>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</si>
  <si>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</si>
  <si>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</si>
  <si>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</si>
  <si>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</si>
  <si>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</si>
  <si>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</si>
  <si>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</si>
  <si>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</si>
  <si>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</si>
  <si>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</si>
  <si>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</si>
  <si>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</si>
  <si>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</si>
  <si>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</si>
  <si>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</si>
  <si>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</si>
  <si>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</si>
  <si>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</si>
  <si>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</si>
  <si>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</si>
  <si>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</si>
  <si>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</si>
  <si>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</si>
  <si>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</si>
  <si>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</si>
  <si>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</si>
  <si>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</si>
  <si>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</si>
  <si>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</si>
  <si>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</si>
  <si>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</si>
  <si>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</si>
  <si>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</si>
  <si>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</si>
  <si>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</si>
  <si>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</si>
  <si>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</si>
  <si>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</si>
  <si>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</si>
  <si>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</si>
  <si>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</si>
  <si>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</si>
  <si>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</si>
  <si>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</si>
  <si>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</si>
  <si>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</si>
  <si>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</si>
  <si>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</si>
  <si>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</si>
  <si>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</si>
  <si>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</si>
  <si>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</si>
  <si>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</si>
  <si>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</si>
  <si>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</si>
  <si>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</si>
  <si>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</si>
  <si>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</si>
  <si>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</si>
  <si>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</si>
  <si>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</si>
  <si>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</si>
  <si>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</si>
  <si>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</si>
  <si>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</si>
  <si>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</si>
  <si>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</si>
  <si>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</si>
  <si>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</si>
  <si>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</si>
  <si>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</si>
  <si>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</si>
  <si>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</si>
  <si>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</si>
  <si>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</si>
  <si>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</si>
  <si>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</si>
  <si>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</si>
  <si>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</si>
  <si>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</si>
  <si>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</si>
  <si>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</si>
  <si>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</si>
  <si>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</si>
  <si>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</si>
  <si>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</si>
  <si>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</si>
  <si>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</si>
  <si>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</si>
  <si>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</si>
  <si>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</si>
  <si>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</si>
  <si>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</si>
  <si>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</si>
  <si>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</si>
  <si>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</si>
  <si>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</si>
  <si>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</si>
  <si>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</si>
  <si>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</si>
  <si>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</si>
  <si>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</si>
  <si>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</si>
  <si>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</si>
  <si>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</si>
  <si>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</si>
  <si>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</si>
  <si>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</si>
  <si>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</si>
  <si>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</si>
  <si>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</si>
  <si>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</si>
  <si>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</si>
  <si>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</si>
  <si>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</si>
  <si>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</si>
  <si>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</si>
  <si>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</si>
  <si>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</si>
  <si>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</si>
  <si>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</si>
  <si>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</si>
  <si>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</si>
  <si>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</si>
  <si>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</si>
  <si>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</si>
  <si>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</si>
  <si>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</si>
  <si>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</si>
  <si>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</si>
  <si>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</si>
  <si>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</si>
  <si>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</si>
  <si>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</si>
  <si>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</si>
  <si>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</si>
  <si>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</si>
  <si>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</si>
  <si>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</si>
  <si>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</si>
  <si>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</si>
  <si>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</si>
  <si>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</si>
  <si>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</si>
  <si>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</si>
  <si>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</si>
  <si>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</si>
  <si>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</si>
  <si>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</si>
  <si>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</si>
  <si>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</si>
  <si>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</si>
  <si>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</si>
  <si>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</si>
  <si>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</si>
  <si>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</si>
  <si>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</si>
  <si>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</si>
  <si>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</si>
  <si>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</si>
  <si>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</si>
  <si>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</si>
  <si>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</si>
  <si>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</si>
  <si>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</si>
  <si>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</si>
  <si>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</si>
  <si>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</si>
  <si>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</si>
  <si>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</si>
  <si>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</si>
  <si>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</si>
  <si>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</si>
  <si>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</si>
  <si>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</si>
  <si>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</si>
  <si>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</si>
  <si>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</si>
  <si>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</si>
  <si>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</si>
  <si>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</si>
  <si>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</si>
  <si>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</si>
  <si>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</si>
  <si>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</si>
  <si>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</si>
  <si>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</si>
  <si>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</si>
  <si>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</si>
  <si>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</si>
  <si>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</si>
  <si>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</si>
  <si>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</si>
  <si>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</si>
  <si>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</si>
  <si>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</si>
  <si>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</si>
  <si>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</si>
  <si>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</si>
  <si>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</si>
  <si>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</si>
  <si>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</si>
  <si>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</si>
  <si>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</si>
  <si>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</si>
  <si>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</si>
  <si>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</si>
  <si>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</si>
  <si>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</si>
  <si>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</si>
  <si>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</si>
  <si>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</si>
  <si>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</si>
  <si>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</si>
  <si>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</si>
  <si>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</si>
  <si>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</si>
  <si>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</si>
  <si>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</si>
  <si>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</si>
  <si>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</si>
  <si>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</si>
  <si>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</si>
  <si>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</si>
  <si>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</si>
  <si>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</si>
  <si>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</si>
  <si>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</si>
  <si>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</si>
  <si>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</si>
  <si>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</si>
  <si>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</si>
  <si>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</si>
  <si>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</si>
  <si>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</si>
  <si>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</si>
  <si>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</si>
  <si>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</si>
  <si>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</si>
  <si>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</si>
  <si>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</si>
  <si>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</si>
  <si>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</si>
  <si>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</si>
  <si>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</si>
  <si>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</si>
  <si>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</si>
  <si>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</si>
  <si>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</si>
  <si>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</si>
  <si>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</si>
  <si>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</si>
  <si>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</si>
  <si>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</si>
  <si>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</si>
  <si>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</si>
  <si>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</si>
  <si>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</si>
  <si>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</si>
  <si>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</si>
  <si>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</si>
  <si>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</si>
  <si>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</si>
  <si>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</si>
  <si>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</si>
  <si>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</si>
  <si>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</si>
  <si>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</si>
  <si>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</si>
  <si>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</si>
  <si>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</si>
  <si>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</si>
  <si>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</si>
  <si>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</si>
  <si>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</si>
  <si>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</si>
  <si>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</si>
  <si>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</si>
  <si>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</si>
  <si>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</si>
  <si>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</si>
  <si>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</si>
  <si>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</si>
  <si>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</si>
  <si>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</si>
  <si>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</si>
  <si>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</si>
  <si>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</si>
  <si>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</si>
  <si>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</si>
  <si>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</si>
  <si>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</si>
  <si>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</si>
  <si>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</si>
  <si>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</si>
  <si>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</si>
  <si>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</si>
  <si>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</si>
  <si>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</si>
  <si>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</si>
  <si>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</si>
  <si>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</si>
  <si>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</si>
  <si>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</si>
  <si>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</si>
  <si>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</si>
  <si>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</si>
  <si>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</si>
  <si>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</si>
  <si>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</si>
  <si>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</si>
  <si>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</si>
  <si>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</si>
  <si>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</si>
  <si>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</si>
  <si>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</si>
  <si>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</si>
  <si>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</si>
  <si>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</si>
  <si>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</si>
  <si>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</si>
  <si>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</si>
  <si>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</si>
  <si>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</si>
  <si>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</si>
  <si>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</si>
  <si>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</si>
  <si>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</si>
  <si>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</si>
  <si>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</si>
  <si>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</si>
  <si>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</si>
  <si>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</si>
  <si>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</si>
  <si>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</si>
  <si>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</si>
  <si>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</si>
  <si>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</si>
  <si>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</si>
  <si>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</si>
  <si>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</si>
  <si>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</si>
  <si>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</si>
  <si>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</si>
  <si>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</si>
  <si>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</si>
  <si>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</si>
  <si>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</si>
  <si>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</si>
  <si>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</si>
  <si>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</si>
  <si>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</si>
  <si>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</si>
  <si>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</si>
  <si>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</si>
  <si>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</si>
  <si>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</si>
  <si>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</si>
  <si>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</si>
  <si>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</si>
  <si>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</si>
  <si>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</si>
  <si>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</si>
  <si>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</si>
  <si>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</si>
  <si>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</si>
  <si>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</si>
  <si>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</si>
  <si>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</si>
  <si>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</si>
  <si>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</si>
  <si>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</si>
  <si>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</si>
  <si>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</si>
  <si>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</si>
  <si>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</si>
  <si>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</si>
  <si>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</si>
  <si>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</si>
  <si>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</si>
  <si>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</si>
  <si>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</si>
  <si>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</si>
  <si>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</si>
  <si>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</si>
  <si>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</si>
  <si>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</si>
  <si>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</si>
  <si>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</si>
  <si>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</si>
  <si>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</si>
  <si>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</si>
  <si>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</si>
  <si>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</si>
  <si>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</si>
  <si>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</si>
  <si>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</si>
  <si>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</si>
  <si>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</si>
  <si>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</si>
  <si>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</si>
  <si>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</si>
  <si>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</si>
  <si>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</si>
  <si>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</si>
  <si>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</si>
  <si>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</si>
  <si>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</si>
  <si>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</si>
  <si>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</si>
  <si>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</si>
  <si>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</si>
  <si>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</si>
  <si>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</si>
  <si>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</si>
  <si>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</si>
  <si>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</si>
  <si>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</si>
  <si>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</si>
  <si>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</si>
  <si>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</si>
  <si>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</si>
  <si>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</si>
  <si>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</si>
  <si>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</si>
  <si>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</si>
  <si>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</si>
  <si>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</si>
  <si>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</si>
  <si>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</si>
  <si>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</si>
  <si>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</si>
  <si>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</si>
  <si>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</si>
  <si>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</si>
  <si>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</si>
  <si>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</si>
  <si>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</si>
  <si>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</si>
  <si>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</si>
  <si>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</si>
  <si>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</si>
  <si>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</si>
  <si>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</si>
  <si>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</si>
  <si>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</si>
  <si>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</si>
  <si>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</si>
  <si>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</si>
  <si>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</si>
  <si>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</si>
  <si>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</si>
  <si>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</si>
  <si>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</si>
  <si>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</si>
  <si>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</si>
  <si>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</si>
  <si>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</si>
  <si>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</si>
  <si>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</si>
  <si>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</si>
  <si>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</si>
  <si>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</si>
  <si>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</si>
  <si>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</si>
  <si>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</si>
  <si>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</si>
  <si>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</si>
  <si>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</si>
  <si>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</si>
  <si>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</si>
  <si>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</si>
  <si>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</si>
  <si>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</si>
  <si>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</si>
  <si>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</si>
  <si>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</si>
  <si>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</si>
  <si>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</si>
  <si>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</si>
  <si>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</si>
  <si>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</si>
  <si>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</si>
  <si>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</si>
  <si>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</si>
  <si>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</si>
  <si>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</si>
  <si>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</si>
  <si>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</si>
  <si>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</si>
  <si>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</si>
  <si>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</si>
  <si>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</si>
  <si>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</si>
  <si>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</si>
  <si>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</si>
  <si>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</si>
  <si>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</si>
  <si>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</si>
  <si>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</si>
  <si>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</si>
  <si>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</si>
  <si>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</si>
  <si>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</si>
  <si>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</si>
  <si>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</si>
  <si>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</si>
  <si>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</si>
  <si>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</si>
  <si>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</si>
  <si>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</si>
  <si>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</si>
  <si>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</si>
  <si>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</si>
  <si>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</si>
  <si>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</si>
  <si>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</si>
  <si>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</si>
  <si>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</si>
  <si>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</si>
  <si>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</si>
  <si>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</si>
  <si>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</si>
  <si>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</si>
  <si>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</si>
  <si>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</si>
  <si>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</si>
  <si>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</si>
  <si>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</si>
  <si>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</si>
  <si>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</si>
  <si>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</si>
  <si>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</si>
  <si>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</si>
  <si>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</si>
  <si>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</si>
  <si>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</si>
  <si>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</si>
  <si>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</si>
  <si>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</si>
  <si>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</si>
  <si>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</si>
  <si>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</si>
  <si>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</si>
  <si>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</si>
  <si>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</si>
  <si>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</si>
  <si>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</si>
  <si>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</si>
  <si>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</si>
  <si>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</si>
  <si>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</si>
  <si>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</si>
  <si>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</si>
  <si>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</si>
  <si>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</si>
  <si>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</si>
  <si>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</si>
  <si>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</si>
  <si>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</si>
  <si>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</si>
  <si>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</si>
  <si>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</si>
  <si>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</si>
  <si>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</si>
  <si>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</si>
  <si>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</si>
  <si>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</si>
  <si>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</si>
  <si>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</si>
  <si>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</si>
  <si>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</si>
  <si>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</si>
  <si>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</si>
  <si>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</si>
  <si>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</si>
  <si>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</si>
  <si>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</si>
  <si>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</si>
  <si>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</si>
  <si>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</si>
  <si>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</si>
  <si>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</si>
  <si>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</si>
  <si>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</si>
  <si>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</si>
  <si>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</si>
  <si>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</si>
  <si>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</si>
  <si>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</si>
  <si>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</si>
  <si>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</si>
  <si>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</si>
  <si>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</si>
  <si>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</si>
  <si>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</si>
  <si>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</si>
  <si>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</si>
  <si>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</si>
  <si>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</si>
  <si>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</si>
  <si>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</si>
  <si>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</si>
  <si>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</si>
  <si>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</si>
  <si>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</si>
  <si>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</si>
  <si>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</si>
  <si>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</si>
  <si>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</si>
  <si>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</si>
  <si>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</si>
  <si>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</si>
  <si>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</si>
  <si>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</si>
  <si>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</si>
  <si>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</si>
  <si>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</si>
  <si>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</si>
  <si>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</si>
  <si>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</si>
  <si>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</si>
  <si>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</si>
  <si>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</si>
  <si>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</si>
  <si>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</si>
  <si>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</si>
  <si>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</si>
  <si>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</si>
  <si>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</si>
  <si>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</si>
  <si>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</si>
  <si>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</si>
  <si>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</si>
  <si>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</si>
  <si>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</si>
  <si>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</si>
  <si>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</si>
  <si>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</si>
  <si>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</si>
  <si>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</si>
  <si>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</si>
  <si>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</si>
  <si>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</si>
  <si>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</si>
  <si>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</si>
  <si>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</si>
  <si>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</si>
  <si>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</si>
  <si>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</si>
  <si>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</si>
  <si>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</si>
  <si>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</si>
  <si>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</si>
  <si>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</si>
  <si>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</si>
  <si>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</si>
  <si>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</si>
  <si>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</si>
  <si>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</si>
  <si>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</si>
  <si>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</si>
  <si>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</si>
  <si>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</si>
  <si>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</si>
  <si>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</si>
  <si>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</si>
  <si>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</si>
  <si>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</si>
  <si>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</si>
  <si>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</si>
  <si>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</si>
  <si>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</si>
  <si>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</si>
  <si>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</si>
  <si>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</si>
  <si>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</si>
  <si>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</si>
  <si>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</si>
  <si>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</si>
  <si>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</si>
  <si>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</si>
  <si>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</si>
  <si>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</si>
  <si>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</si>
  <si>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</si>
  <si>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</si>
  <si>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</si>
  <si>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</si>
  <si>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</si>
  <si>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</si>
  <si>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</si>
  <si>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</si>
  <si>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</si>
  <si>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</si>
  <si>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</si>
  <si>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</si>
  <si>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</si>
  <si>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</si>
  <si>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</si>
  <si>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</si>
  <si>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</si>
  <si>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</si>
  <si>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</si>
  <si>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</si>
  <si>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</si>
  <si>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</si>
  <si>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</si>
  <si>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</si>
  <si>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</si>
  <si>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</si>
  <si>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</si>
  <si>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</si>
  <si>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</si>
  <si>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</si>
  <si>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</si>
  <si>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</si>
  <si>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</si>
  <si>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</si>
  <si>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</si>
  <si>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</si>
  <si>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</si>
  <si>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</si>
  <si>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</si>
  <si>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</si>
  <si>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</si>
  <si>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</si>
  <si>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</si>
  <si>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</si>
  <si>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</si>
  <si>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</si>
  <si>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</si>
  <si>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</si>
  <si>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</si>
  <si>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</si>
  <si>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</si>
  <si>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</si>
  <si>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</si>
  <si>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</si>
  <si>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</si>
  <si>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</si>
  <si>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</si>
  <si>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</si>
  <si>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</si>
  <si>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</si>
  <si>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</si>
  <si>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</si>
  <si>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</si>
  <si>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</si>
  <si>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</si>
  <si>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</si>
  <si>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</si>
  <si>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</si>
  <si>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</si>
  <si>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</si>
  <si>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</si>
  <si>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</si>
  <si>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</si>
  <si>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</si>
  <si>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</si>
  <si>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</si>
  <si>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</si>
  <si>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</si>
  <si>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</si>
  <si>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</si>
  <si>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</si>
  <si>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</si>
  <si>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</si>
  <si>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</si>
  <si>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</si>
  <si>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</si>
  <si>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</si>
  <si>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</si>
  <si>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</si>
  <si>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</si>
  <si>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</si>
  <si>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</si>
  <si>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</si>
  <si>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</si>
  <si>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</si>
  <si>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</si>
  <si>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</si>
  <si>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</si>
  <si>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</si>
  <si>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</si>
  <si>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</si>
  <si>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</si>
  <si>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</si>
  <si>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</si>
  <si>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</si>
  <si>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</si>
  <si>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</si>
  <si>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</si>
  <si>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</si>
  <si>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</si>
  <si>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</si>
  <si>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</si>
  <si>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</si>
  <si>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</si>
  <si>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</si>
  <si>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</si>
  <si>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</si>
  <si>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</si>
  <si>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</si>
  <si>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</si>
  <si>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</si>
  <si>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</si>
  <si>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</si>
  <si>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</si>
  <si>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</si>
  <si>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</si>
  <si>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</si>
  <si>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</si>
  <si>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</si>
  <si>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</si>
  <si>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</si>
  <si>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</si>
  <si>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</si>
  <si>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</si>
  <si>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</si>
  <si>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</si>
  <si>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</si>
  <si>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</si>
  <si>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</si>
  <si>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</si>
  <si>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</si>
  <si>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</si>
  <si>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</si>
  <si>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</si>
  <si>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</si>
  <si>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</si>
  <si>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</si>
  <si>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</si>
  <si>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</si>
  <si>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</si>
  <si>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</si>
  <si>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</si>
  <si>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</si>
  <si>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</si>
  <si>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</si>
  <si>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</si>
  <si>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</si>
  <si>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</si>
  <si>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</si>
  <si>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</si>
  <si>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</si>
  <si>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</si>
  <si>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</si>
  <si>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</si>
  <si>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</si>
  <si>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</si>
  <si>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</si>
  <si>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</si>
  <si>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</si>
  <si>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</si>
  <si>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</si>
  <si>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</si>
  <si>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</si>
  <si>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</si>
  <si>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</si>
  <si>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</si>
  <si>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</si>
  <si>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</si>
  <si>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</si>
  <si>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</si>
  <si>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</si>
  <si>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</si>
  <si>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</si>
  <si>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</si>
  <si>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</si>
  <si>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</si>
  <si>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</si>
  <si>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</si>
  <si>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</si>
  <si>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</si>
  <si>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</si>
  <si>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</si>
  <si>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</si>
  <si>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</si>
  <si>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</si>
  <si>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</si>
  <si>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</si>
  <si>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</si>
  <si>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</si>
  <si>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</si>
  <si>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</si>
  <si>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</si>
  <si>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</si>
  <si>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</si>
  <si>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</si>
  <si>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</si>
  <si>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</si>
  <si>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</si>
  <si>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</si>
  <si>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</si>
  <si>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</si>
  <si>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</si>
  <si>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</si>
  <si>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</si>
  <si>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</si>
  <si>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</si>
  <si>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</si>
  <si>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</si>
  <si>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</si>
  <si>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</si>
  <si>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</si>
  <si>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</si>
  <si>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</si>
  <si>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</si>
  <si>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</si>
  <si>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</si>
  <si>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</si>
  <si>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</si>
  <si>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</si>
  <si>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</si>
  <si>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</si>
  <si>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</si>
  <si>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</si>
  <si>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</si>
  <si>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</si>
  <si>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</si>
  <si>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</si>
  <si>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</si>
  <si>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</si>
  <si>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</si>
  <si>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</si>
  <si>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</si>
  <si>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</si>
  <si>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</si>
  <si>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</si>
  <si>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</si>
  <si>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</si>
  <si>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</si>
  <si>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</si>
  <si>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</si>
  <si>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</si>
  <si>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</si>
  <si>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</si>
  <si>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</si>
  <si>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</si>
  <si>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</si>
  <si>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</si>
  <si>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</si>
  <si>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</si>
  <si>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</si>
  <si>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</si>
  <si>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</si>
  <si>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</si>
  <si>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</si>
  <si>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</si>
  <si>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</si>
  <si>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</si>
  <si>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</si>
  <si>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</si>
  <si>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</si>
  <si>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</si>
  <si>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</si>
  <si>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</si>
  <si>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</si>
  <si>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</si>
  <si>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</si>
  <si>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</si>
  <si>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</si>
  <si>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</si>
  <si>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</si>
  <si>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</si>
  <si>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</si>
  <si>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</si>
  <si>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</si>
  <si>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</si>
  <si>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</si>
  <si>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</si>
  <si>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</si>
  <si>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</si>
  <si>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</si>
  <si>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</si>
  <si>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</si>
  <si>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</si>
  <si>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</si>
  <si>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</si>
  <si>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</si>
  <si>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</si>
  <si>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</si>
  <si>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</si>
  <si>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</si>
  <si>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</si>
  <si>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</si>
  <si>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</si>
  <si>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</si>
  <si>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</si>
  <si>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</si>
  <si>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</si>
  <si>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</si>
  <si>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</si>
  <si>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</si>
  <si>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</si>
  <si>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</si>
  <si>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南北</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</si>
  <si>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</si>
  <si>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</si>
  <si>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</si>
  <si>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</si>
  <si>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</si>
  <si>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</si>
  <si>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</si>
  <si>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</si>
  <si>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</si>
  <si>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</si>
  <si>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</si>
  <si>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</si>
  <si>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</si>
  <si>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</si>
  <si>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</si>
  <si>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</si>
  <si>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</si>
  <si>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</si>
  <si>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估价对象所在区域基础设施水平</t>
    <phoneticPr fontId="24" type="noConversion"/>
  </si>
  <si>
    <t>城市支路</t>
    <phoneticPr fontId="24" type="noConversion"/>
  </si>
  <si>
    <t>城市支路</t>
    <phoneticPr fontId="24" type="noConversion"/>
  </si>
  <si>
    <t>居委会管理</t>
  </si>
  <si>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</si>
  <si>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</si>
  <si>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</si>
  <si>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</si>
  <si>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</si>
  <si>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</si>
  <si>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</si>
  <si>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</si>
  <si>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</si>
  <si>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</si>
  <si>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</si>
  <si>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</si>
  <si>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</si>
  <si>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</si>
  <si>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</si>
  <si>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</si>
  <si>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</si>
  <si>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</si>
  <si>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</si>
  <si>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</si>
  <si>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</si>
  <si>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</si>
  <si>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</si>
  <si>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</si>
  <si>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</si>
  <si>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</si>
  <si>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</si>
  <si>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</si>
  <si>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</si>
  <si>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</si>
  <si>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</si>
  <si>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</si>
  <si>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</si>
  <si>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</si>
  <si>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</si>
  <si>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</si>
  <si>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</si>
  <si>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</si>
  <si>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</si>
  <si>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</si>
  <si>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</si>
  <si>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</si>
  <si>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</si>
  <si>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</si>
  <si>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</si>
  <si>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</si>
  <si>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</si>
  <si>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</si>
  <si>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</si>
  <si>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</si>
  <si>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</si>
  <si>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</si>
  <si>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</si>
  <si>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</si>
  <si>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</si>
  <si>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</si>
  <si>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</si>
  <si>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</si>
  <si>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</si>
  <si>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</si>
  <si>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</si>
  <si>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</si>
  <si>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</si>
  <si>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</si>
  <si>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</si>
  <si>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</si>
  <si>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</si>
  <si>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</si>
  <si>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</si>
  <si>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</si>
  <si>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</si>
  <si>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</si>
  <si>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</si>
  <si>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</si>
  <si>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</si>
  <si>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2006-21-P-02383-U</t>
    <phoneticPr fontId="3" type="noConversion"/>
  </si>
  <si>
    <t>王晓光</t>
    <phoneticPr fontId="3" type="noConversion"/>
  </si>
  <si>
    <t>230827197804251226</t>
    <phoneticPr fontId="3" type="noConversion"/>
  </si>
  <si>
    <t>北洼西里</t>
    <phoneticPr fontId="3" type="noConversion"/>
  </si>
  <si>
    <t>11号楼</t>
    <phoneticPr fontId="3" type="noConversion"/>
  </si>
  <si>
    <t>6号</t>
    <phoneticPr fontId="3" type="noConversion"/>
  </si>
  <si>
    <t>三室二厅一卫一厨</t>
    <phoneticPr fontId="3" type="noConversion"/>
  </si>
  <si>
    <t>复式、平层√、跃层、错层</t>
    <phoneticPr fontId="3" type="noConversion"/>
  </si>
  <si>
    <t>北京住房公积金管理中心中央国家机关分中心</t>
  </si>
  <si>
    <t>魏伯欣</t>
  </si>
  <si>
    <t>现房</t>
    <phoneticPr fontId="3" type="noConversion"/>
  </si>
  <si>
    <t>可抵押商品住宅</t>
  </si>
  <si>
    <t>刘朝阳</t>
    <phoneticPr fontId="3" type="noConversion"/>
  </si>
  <si>
    <t>六</t>
    <phoneticPr fontId="3" type="noConversion"/>
  </si>
  <si>
    <t xml:space="preserve">二 </t>
    <phoneticPr fontId="3" type="noConversion"/>
  </si>
  <si>
    <t>杨红英</t>
    <phoneticPr fontId="3" type="noConversion"/>
  </si>
  <si>
    <t>新增</t>
    <phoneticPr fontId="3" type="noConversion"/>
  </si>
  <si>
    <t>抵押人错</t>
    <phoneticPr fontId="3" type="noConversion"/>
  </si>
  <si>
    <t>合同</t>
    <phoneticPr fontId="3" type="noConversion"/>
  </si>
  <si>
    <t>王光清</t>
    <phoneticPr fontId="3" type="noConversion"/>
  </si>
  <si>
    <t>刘锫</t>
    <phoneticPr fontId="3" type="noConversion"/>
  </si>
  <si>
    <t>二手房</t>
    <phoneticPr fontId="3" type="noConversion"/>
  </si>
  <si>
    <t>正常</t>
    <phoneticPr fontId="3" type="noConversion"/>
  </si>
  <si>
    <t>双方</t>
    <phoneticPr fontId="3" type="noConversion"/>
  </si>
  <si>
    <t>不含任何税费</t>
    <phoneticPr fontId="3" type="noConversion"/>
  </si>
  <si>
    <t>2006-2-CP-01057-U</t>
    <phoneticPr fontId="3" type="noConversion"/>
  </si>
  <si>
    <t>陈静</t>
    <phoneticPr fontId="3" type="noConversion"/>
  </si>
  <si>
    <t>110109197304240020</t>
    <phoneticPr fontId="3" type="noConversion"/>
  </si>
  <si>
    <t>88196340</t>
    <phoneticPr fontId="3" type="noConversion"/>
  </si>
  <si>
    <t>7号楼</t>
    <phoneticPr fontId="3" type="noConversion"/>
  </si>
  <si>
    <t>3单元</t>
    <phoneticPr fontId="3" type="noConversion"/>
  </si>
  <si>
    <t>1004号</t>
    <phoneticPr fontId="3" type="noConversion"/>
  </si>
  <si>
    <t>王紫薇</t>
    <phoneticPr fontId="3" type="noConversion"/>
  </si>
  <si>
    <t>一室一厅一卫一厨</t>
    <phoneticPr fontId="3" type="noConversion"/>
  </si>
  <si>
    <t>北京住房公积金管理中心住房公积金贷款中心</t>
    <phoneticPr fontId="3" type="noConversion"/>
  </si>
  <si>
    <t>李晓岩</t>
  </si>
  <si>
    <t>二</t>
    <phoneticPr fontId="3" type="noConversion"/>
  </si>
  <si>
    <t>2006-3-1D1-00350CJD</t>
    <phoneticPr fontId="3" type="noConversion"/>
  </si>
  <si>
    <t>裴蓓</t>
  </si>
  <si>
    <t>初审换正式</t>
  </si>
  <si>
    <t>裴蓓</t>
    <phoneticPr fontId="3" type="noConversion"/>
  </si>
  <si>
    <t>现售</t>
    <phoneticPr fontId="3" type="noConversion"/>
  </si>
  <si>
    <t>中介</t>
    <phoneticPr fontId="3" type="noConversion"/>
  </si>
  <si>
    <t>2005-22-P-08647-U</t>
    <phoneticPr fontId="3" type="noConversion"/>
  </si>
  <si>
    <t>吕刚</t>
    <phoneticPr fontId="3" type="noConversion"/>
  </si>
  <si>
    <t>630104761220201</t>
    <phoneticPr fontId="3" type="noConversion"/>
  </si>
  <si>
    <t>13521440810</t>
    <phoneticPr fontId="3" type="noConversion"/>
  </si>
  <si>
    <t>北洼西里22号中海雅园</t>
    <phoneticPr fontId="3" type="noConversion"/>
  </si>
  <si>
    <t>中7号楼</t>
    <phoneticPr fontId="3" type="noConversion"/>
  </si>
  <si>
    <t>6层</t>
    <phoneticPr fontId="3" type="noConversion"/>
  </si>
  <si>
    <t>701号</t>
    <phoneticPr fontId="3" type="noConversion"/>
  </si>
  <si>
    <t>三室一厅二卫一厨</t>
    <phoneticPr fontId="3" type="noConversion"/>
  </si>
  <si>
    <t>北京住房公积金管理中心海淀管理部</t>
    <phoneticPr fontId="3" type="noConversion"/>
  </si>
  <si>
    <t>魏伯欣</t>
    <phoneticPr fontId="3" type="noConversion"/>
  </si>
  <si>
    <t>邹晓鸣</t>
    <phoneticPr fontId="3" type="noConversion"/>
  </si>
  <si>
    <t>新增</t>
  </si>
  <si>
    <t>不含税费</t>
    <phoneticPr fontId="3" type="noConversion"/>
  </si>
  <si>
    <t>2005-22-P-18979-U</t>
    <phoneticPr fontId="3" type="noConversion"/>
  </si>
  <si>
    <t>孟淼</t>
    <phoneticPr fontId="3" type="noConversion"/>
  </si>
  <si>
    <t>120221197909260026</t>
    <phoneticPr fontId="3" type="noConversion"/>
  </si>
  <si>
    <t>13366851432</t>
    <phoneticPr fontId="3" type="noConversion"/>
  </si>
  <si>
    <t>2单元</t>
    <phoneticPr fontId="3" type="noConversion"/>
  </si>
  <si>
    <t>1404号</t>
    <phoneticPr fontId="3" type="noConversion"/>
  </si>
  <si>
    <t>李晓岩</t>
    <phoneticPr fontId="3" type="noConversion"/>
  </si>
  <si>
    <t>十一</t>
    <phoneticPr fontId="3" type="noConversion"/>
  </si>
  <si>
    <t>五</t>
    <phoneticPr fontId="3" type="noConversion"/>
  </si>
  <si>
    <t>正式报告</t>
    <phoneticPr fontId="3" type="noConversion"/>
  </si>
  <si>
    <t>王德华</t>
    <phoneticPr fontId="3" type="noConversion"/>
  </si>
  <si>
    <t>张国威</t>
    <phoneticPr fontId="3" type="noConversion"/>
  </si>
  <si>
    <t>含装修</t>
    <phoneticPr fontId="3" type="noConversion"/>
  </si>
  <si>
    <t>成本法 (元)</t>
  </si>
  <si>
    <t>2002基准地价</t>
  </si>
  <si>
    <t>建筑面积</t>
  </si>
  <si>
    <t>土地面积</t>
  </si>
  <si>
    <t>总价</t>
  </si>
  <si>
    <t>元</t>
  </si>
  <si>
    <t>用途/地上主用途</t>
  </si>
  <si>
    <t>位置</t>
  </si>
  <si>
    <t>楼面单价</t>
  </si>
  <si>
    <t>用途类别</t>
  </si>
  <si>
    <t>居住用地（指二类居住用地）</t>
  </si>
  <si>
    <t>设定容积率</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</si>
  <si>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</si>
  <si>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</si>
  <si>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</si>
  <si>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</si>
  <si>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</si>
  <si>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</si>
  <si>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</si>
  <si>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</si>
  <si>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</si>
  <si>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</si>
  <si>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</si>
  <si>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</si>
  <si>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</si>
  <si>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土地还原率</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</si>
  <si>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</si>
  <si>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</si>
  <si>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</si>
  <si>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</si>
  <si>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</si>
  <si>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</si>
  <si>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</si>
  <si>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</si>
  <si>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</si>
  <si>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</si>
  <si>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</si>
  <si>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</si>
  <si>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</si>
  <si>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</si>
  <si>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</si>
  <si>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</si>
  <si>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</si>
  <si>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</si>
  <si>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</si>
  <si>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</si>
  <si>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</si>
  <si>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</si>
  <si>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</si>
  <si>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</si>
  <si>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</si>
  <si>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</si>
  <si>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</si>
  <si>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</si>
  <si>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</si>
  <si>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</si>
  <si>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</si>
  <si>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</si>
  <si>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综合平均</t>
  </si>
  <si>
    <t>办公/综合</t>
  </si>
  <si>
    <t>住宅/居住</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</si>
  <si>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</si>
  <si>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</si>
  <si>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</si>
  <si>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</si>
  <si>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</si>
  <si>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合计</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</si>
  <si>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</si>
  <si>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</si>
  <si>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</si>
  <si>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</si>
  <si>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</si>
  <si>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</si>
  <si>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</si>
  <si>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</si>
  <si>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</si>
  <si>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</si>
  <si>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</si>
  <si>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</si>
  <si>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</si>
  <si>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</si>
  <si>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</si>
  <si>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</si>
  <si>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</si>
  <si>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</si>
  <si>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</si>
  <si>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</si>
  <si>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</si>
  <si>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</si>
  <si>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</si>
  <si>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</si>
  <si>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</si>
  <si>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</si>
  <si>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</si>
  <si>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</si>
  <si>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</si>
  <si>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成本法</t>
  </si>
  <si>
    <t>基础信息</t>
  </si>
  <si>
    <t>一、房屋重置成本价</t>
  </si>
  <si>
    <t>建筑物耐用年限</t>
  </si>
  <si>
    <t>序号</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</si>
  <si>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</si>
  <si>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</si>
  <si>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</si>
  <si>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</si>
  <si>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</si>
  <si>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</si>
  <si>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</si>
  <si>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</si>
  <si>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</si>
  <si>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</si>
  <si>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</si>
  <si>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</si>
  <si>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</si>
  <si>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</si>
  <si>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</si>
  <si>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</si>
  <si>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</si>
  <si>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</si>
  <si>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</si>
  <si>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</si>
  <si>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</si>
  <si>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</si>
  <si>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</si>
  <si>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</si>
  <si>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</si>
  <si>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</si>
  <si>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</si>
  <si>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</si>
  <si>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</si>
  <si>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</si>
  <si>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</si>
  <si>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</si>
  <si>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</si>
  <si>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</si>
  <si>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</si>
  <si>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</si>
  <si>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</si>
  <si>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</si>
  <si>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</si>
  <si>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</si>
  <si>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</si>
  <si>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</si>
  <si>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</si>
  <si>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</si>
  <si>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</si>
  <si>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</si>
  <si>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</si>
  <si>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</si>
  <si>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</si>
  <si>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</si>
  <si>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</si>
  <si>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（3）</t>
  </si>
  <si>
    <t>室外工程费</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</si>
  <si>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</si>
  <si>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</si>
  <si>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</si>
  <si>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</si>
  <si>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</si>
  <si>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</si>
  <si>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</si>
  <si>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</si>
  <si>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</si>
  <si>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</si>
  <si>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</si>
  <si>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</si>
  <si>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</si>
  <si>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单价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</si>
  <si>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</si>
  <si>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</si>
  <si>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</si>
  <si>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</si>
  <si>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</si>
  <si>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</si>
  <si>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</si>
  <si>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</si>
  <si>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</si>
  <si>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</si>
  <si>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</si>
  <si>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</si>
  <si>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</si>
  <si>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</si>
  <si>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</si>
  <si>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</si>
  <si>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</si>
  <si>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</si>
  <si>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</si>
  <si>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</si>
  <si>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</si>
  <si>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</si>
  <si>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</si>
  <si>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</si>
  <si>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</si>
  <si>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</si>
  <si>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</si>
  <si>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</si>
  <si>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</si>
  <si>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</si>
  <si>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</si>
  <si>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</si>
  <si>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</si>
  <si>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</si>
  <si>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城镇土地纳税等级分级范围</t>
  </si>
  <si>
    <t>周边有中海雅园、北洼西里等住宅小区，居住社区成熟度较好。</t>
    <phoneticPr fontId="40" type="noConversion"/>
  </si>
  <si>
    <t>周边有601路、709路等多条公交线路，综合评价交通便捷度一般</t>
    <phoneticPr fontId="40" type="noConversion"/>
  </si>
  <si>
    <t>银行：等金融机构；
医院：中国人民解放军第304医院等医疗机构；
学校：首都师范大学、首都师范大学附属中学等教育机构；
商业：社区级商业设施；
综合评价公共服务设施齐备度一般。</t>
    <phoneticPr fontId="40" type="noConversion"/>
  </si>
  <si>
    <t>人文环境：首都师范大学等人文场所；
综合评价环境状况一般。</t>
    <phoneticPr fontId="40" type="noConversion"/>
  </si>
  <si>
    <t>颐安嘉园</t>
    <phoneticPr fontId="3" type="noConversion"/>
  </si>
  <si>
    <t>5/7（中楼层）</t>
    <phoneticPr fontId="24" type="noConversion"/>
  </si>
  <si>
    <t>物业公司管理</t>
  </si>
  <si>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</si>
  <si>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</si>
  <si>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</si>
  <si>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</si>
  <si>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</si>
  <si>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</si>
  <si>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</si>
  <si>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</si>
  <si>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</si>
  <si>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</si>
  <si>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</si>
  <si>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</si>
  <si>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</si>
  <si>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</si>
  <si>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</si>
  <si>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</si>
  <si>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</si>
  <si>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</si>
  <si>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</si>
  <si>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</si>
  <si>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</si>
  <si>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</si>
  <si>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</si>
  <si>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</si>
  <si>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</si>
  <si>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</si>
  <si>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</si>
  <si>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</si>
  <si>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</si>
  <si>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</si>
  <si>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</si>
  <si>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</si>
  <si>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</si>
  <si>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</si>
  <si>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</si>
  <si>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</si>
  <si>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</si>
  <si>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</si>
  <si>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</si>
  <si>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</si>
  <si>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</si>
  <si>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</si>
  <si>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</si>
  <si>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</si>
  <si>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</si>
  <si>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</si>
  <si>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</si>
  <si>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</si>
  <si>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</si>
  <si>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</si>
  <si>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</si>
  <si>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</si>
  <si>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</si>
  <si>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</si>
  <si>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</si>
  <si>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</si>
  <si>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</si>
  <si>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</si>
  <si>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11号楼6号</t>
    <phoneticPr fontId="3" type="noConversion"/>
  </si>
  <si>
    <t>不上人屋面</t>
  </si>
  <si>
    <t>外墙涂料</t>
    <phoneticPr fontId="3" type="noConversion"/>
  </si>
  <si>
    <t>外窗：钢窗；户门：防盗门</t>
    <phoneticPr fontId="3" type="noConversion"/>
  </si>
  <si>
    <t>涂料</t>
  </si>
  <si>
    <t>瓷砖</t>
    <phoneticPr fontId="3" type="noConversion"/>
  </si>
  <si>
    <t>地砖</t>
  </si>
  <si>
    <t>木门</t>
  </si>
  <si>
    <t>洗菜池、灶具、抽油烟机等</t>
    <phoneticPr fontId="3" type="noConversion"/>
  </si>
  <si>
    <t>座便器、面盆</t>
    <phoneticPr fontId="3" type="noConversion"/>
  </si>
  <si>
    <t>水泥地面，涂料墙面</t>
    <phoneticPr fontId="3" type="noConversion"/>
  </si>
  <si>
    <t>市政供水</t>
  </si>
  <si>
    <t>市政排水</t>
  </si>
  <si>
    <t>市政供电</t>
  </si>
  <si>
    <t>小区集中供暖</t>
    <phoneticPr fontId="3" type="noConversion"/>
  </si>
  <si>
    <t>管道天然气</t>
  </si>
  <si>
    <t>有线电视、电话线入户</t>
    <phoneticPr fontId="3" type="noConversion"/>
  </si>
  <si>
    <t>消防栓</t>
    <phoneticPr fontId="3" type="noConversion"/>
  </si>
  <si>
    <t>电表磁卡计费</t>
  </si>
  <si>
    <t>电子门禁</t>
    <phoneticPr fontId="3" type="noConversion"/>
  </si>
  <si>
    <t>2部</t>
    <phoneticPr fontId="3" type="noConversion"/>
  </si>
  <si>
    <t>楼前楼后停车</t>
    <phoneticPr fontId="3" type="noConversion"/>
  </si>
  <si>
    <t>自管</t>
    <phoneticPr fontId="3" type="noConversion"/>
  </si>
  <si>
    <t>标准居住区</t>
  </si>
  <si>
    <t>市级、区级、小区级√、街区级</t>
    <phoneticPr fontId="3" type="noConversion"/>
  </si>
  <si>
    <t>城市主干道、城市次干道√、支路</t>
    <phoneticPr fontId="3" type="noConversion"/>
  </si>
  <si>
    <t>有601、709路等公交线路经过</t>
    <phoneticPr fontId="3" type="noConversion"/>
  </si>
  <si>
    <t>利用周围配套设施</t>
  </si>
  <si>
    <t>天然气√、煤气</t>
  </si>
  <si>
    <t>塔楼</t>
    <phoneticPr fontId="3" type="noConversion"/>
  </si>
  <si>
    <t>中等</t>
  </si>
  <si>
    <t>中等</t>
    <phoneticPr fontId="3" type="noConversion"/>
  </si>
  <si>
    <t>七通一平</t>
    <phoneticPr fontId="3" type="noConversion"/>
  </si>
  <si>
    <t>西北</t>
    <phoneticPr fontId="3" type="noConversion"/>
  </si>
  <si>
    <t>2006-2-CP-01057-U</t>
  </si>
  <si>
    <t>7#3-1004</t>
    <phoneticPr fontId="3" type="noConversion"/>
  </si>
  <si>
    <t>不上人屋面</t>
    <phoneticPr fontId="3" type="noConversion"/>
  </si>
  <si>
    <t>涂料</t>
    <phoneticPr fontId="3" type="noConversion"/>
  </si>
  <si>
    <t>外窗：铝合金窗；户门：防盗门</t>
    <phoneticPr fontId="3" type="noConversion"/>
  </si>
  <si>
    <t>铝扣板</t>
    <phoneticPr fontId="3" type="noConversion"/>
  </si>
  <si>
    <t>地砖，卧室木地板</t>
    <phoneticPr fontId="3" type="noConversion"/>
  </si>
  <si>
    <t>地砖</t>
    <phoneticPr fontId="3" type="noConversion"/>
  </si>
  <si>
    <t>木门</t>
    <phoneticPr fontId="3" type="noConversion"/>
  </si>
  <si>
    <t>吊柜</t>
    <phoneticPr fontId="3" type="noConversion"/>
  </si>
  <si>
    <t>洗菜池、橱柜、灶具、抽油烟机</t>
    <phoneticPr fontId="3" type="noConversion"/>
  </si>
  <si>
    <t>水泥地面，涂料墙面</t>
    <phoneticPr fontId="174" type="noConversion"/>
  </si>
  <si>
    <t>市政供水</t>
    <phoneticPr fontId="174" type="noConversion"/>
  </si>
  <si>
    <t>市政排水</t>
    <phoneticPr fontId="3" type="noConversion"/>
  </si>
  <si>
    <t>市政供电</t>
    <phoneticPr fontId="3" type="noConversion"/>
  </si>
  <si>
    <t>集中供暖</t>
    <phoneticPr fontId="174" type="noConversion"/>
  </si>
  <si>
    <t>电表磁卡计量、水表读数计量</t>
    <phoneticPr fontId="3" type="noConversion"/>
  </si>
  <si>
    <t>小区门卫</t>
    <phoneticPr fontId="3" type="noConversion"/>
  </si>
  <si>
    <t>地上停车</t>
    <phoneticPr fontId="3" type="noConversion"/>
  </si>
  <si>
    <t>普通物业管理</t>
    <phoneticPr fontId="3" type="noConversion"/>
  </si>
  <si>
    <t>标准居住区</t>
    <phoneticPr fontId="3" type="noConversion"/>
  </si>
  <si>
    <t>城市主干道√、城市次干道、支路</t>
    <phoneticPr fontId="3" type="noConversion"/>
  </si>
  <si>
    <t>有601路、709路等多条公交线路经过</t>
    <phoneticPr fontId="3" type="noConversion"/>
  </si>
  <si>
    <t>利用周围配套设施</t>
    <phoneticPr fontId="3" type="noConversion"/>
  </si>
  <si>
    <t>天然气√、煤气</t>
    <phoneticPr fontId="3" type="noConversion"/>
  </si>
  <si>
    <t>中</t>
    <phoneticPr fontId="3" type="noConversion"/>
  </si>
  <si>
    <t>七通</t>
    <phoneticPr fontId="3" type="noConversion"/>
  </si>
  <si>
    <t>四</t>
    <phoneticPr fontId="3" type="noConversion"/>
  </si>
  <si>
    <t>东南</t>
    <phoneticPr fontId="3" type="noConversion"/>
  </si>
  <si>
    <t>25.5万</t>
    <phoneticPr fontId="3" type="noConversion"/>
  </si>
  <si>
    <t>15年</t>
    <phoneticPr fontId="3" type="noConversion"/>
  </si>
  <si>
    <r>
      <t>北洼西里</t>
    </r>
    <r>
      <rPr>
        <sz val="10"/>
        <color indexed="8"/>
        <rFont val="宋体"/>
        <family val="3"/>
        <charset val="134"/>
      </rPr>
      <t>22号中海雅园</t>
    </r>
    <phoneticPr fontId="3" type="noConversion"/>
  </si>
  <si>
    <r>
      <t>中</t>
    </r>
    <r>
      <rPr>
        <sz val="10"/>
        <color indexed="8"/>
        <rFont val="宋体"/>
        <family val="3"/>
        <charset val="134"/>
      </rPr>
      <t>7</t>
    </r>
    <phoneticPr fontId="3" type="noConversion"/>
  </si>
  <si>
    <t>外窗：铝合金喷塑窗；外门：防盗门</t>
    <phoneticPr fontId="3" type="noConversion"/>
  </si>
  <si>
    <t>铝扣板吊顶</t>
    <phoneticPr fontId="3" type="noConversion"/>
  </si>
  <si>
    <t>木地板</t>
    <phoneticPr fontId="3" type="noConversion"/>
  </si>
  <si>
    <t>燃气灶、抽油烟机、不锈钢洗菜池、厨柜</t>
    <phoneticPr fontId="3" type="noConversion"/>
  </si>
  <si>
    <t>陶瓷坐便器、洗面盆、浴缸、淋浴房</t>
    <phoneticPr fontId="3" type="noConversion"/>
  </si>
  <si>
    <t>地砖地面，墙砖墙面</t>
    <phoneticPr fontId="3" type="noConversion"/>
  </si>
  <si>
    <t>管道天然气</t>
    <phoneticPr fontId="3" type="noConversion"/>
  </si>
  <si>
    <t>电表出户计量</t>
    <phoneticPr fontId="3" type="noConversion"/>
  </si>
  <si>
    <t>24小时保安值勤；单元对讲</t>
    <phoneticPr fontId="174" type="noConversion"/>
  </si>
  <si>
    <t>合资电梯</t>
    <phoneticPr fontId="3" type="noConversion"/>
  </si>
  <si>
    <t>地上车位</t>
    <phoneticPr fontId="3" type="noConversion"/>
  </si>
  <si>
    <t>专业物业管理</t>
    <phoneticPr fontId="3" type="noConversion"/>
  </si>
  <si>
    <t>市级、区级、小区级、街区级√</t>
    <phoneticPr fontId="3" type="noConversion"/>
  </si>
  <si>
    <r>
      <t>有</t>
    </r>
    <r>
      <rPr>
        <sz val="10"/>
        <color indexed="8"/>
        <rFont val="宋体"/>
        <family val="3"/>
        <charset val="134"/>
      </rPr>
      <t>601、709路等多条公交线路经过</t>
    </r>
    <phoneticPr fontId="3" type="noConversion"/>
  </si>
  <si>
    <t>塔式小高层</t>
    <phoneticPr fontId="3" type="noConversion"/>
  </si>
  <si>
    <t>较好</t>
    <phoneticPr fontId="3" type="noConversion"/>
  </si>
  <si>
    <t>较高</t>
    <phoneticPr fontId="3" type="noConversion"/>
  </si>
  <si>
    <t>高</t>
    <phoneticPr fontId="3" type="noConversion"/>
  </si>
  <si>
    <t>一</t>
    <phoneticPr fontId="3" type="noConversion"/>
  </si>
  <si>
    <t>海淀区北洼西里7号楼</t>
    <phoneticPr fontId="3" type="noConversion"/>
  </si>
  <si>
    <t>2单元1404号</t>
    <phoneticPr fontId="3" type="noConversion"/>
  </si>
  <si>
    <t>外窗：塑钢窗；外门：防盗门</t>
    <phoneticPr fontId="3" type="noConversion"/>
  </si>
  <si>
    <t>无</t>
    <phoneticPr fontId="3" type="noConversion"/>
  </si>
  <si>
    <t>燃气灶、洗菜池、厨柜、抽油烟机</t>
    <phoneticPr fontId="3" type="noConversion"/>
  </si>
  <si>
    <t>座便器、洗面盆</t>
    <phoneticPr fontId="3" type="noConversion"/>
  </si>
  <si>
    <t>电表磁卡计费</t>
    <phoneticPr fontId="3" type="noConversion"/>
  </si>
  <si>
    <t>无</t>
    <phoneticPr fontId="174" type="noConversion"/>
  </si>
  <si>
    <t>1部电梯</t>
    <phoneticPr fontId="3" type="noConversion"/>
  </si>
  <si>
    <t>有601、709、360路等多条公交线路经过</t>
    <phoneticPr fontId="3" type="noConversion"/>
  </si>
  <si>
    <t>高层塔楼</t>
    <phoneticPr fontId="3" type="noConversion"/>
  </si>
  <si>
    <t>中上</t>
    <phoneticPr fontId="3" type="noConversion"/>
  </si>
  <si>
    <t>一般</t>
    <phoneticPr fontId="3" type="noConversion"/>
  </si>
  <si>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</si>
  <si>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</si>
  <si>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</si>
  <si>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</si>
  <si>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</si>
  <si>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</si>
  <si>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</si>
  <si>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</si>
  <si>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</si>
  <si>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</si>
  <si>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</si>
  <si>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</si>
  <si>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</si>
  <si>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朝向</t>
  </si>
  <si>
    <t>卖方房屋所有权证号</t>
    <phoneticPr fontId="3" type="noConversion"/>
  </si>
  <si>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</si>
  <si>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</si>
  <si>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</si>
  <si>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</si>
  <si>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</si>
  <si>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</si>
  <si>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</si>
  <si>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</si>
  <si>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</si>
  <si>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</si>
  <si>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</si>
  <si>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</si>
  <si>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</si>
  <si>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</si>
  <si>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</si>
  <si>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</si>
  <si>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2006-21-P-02383-U</t>
    <phoneticPr fontId="19" type="noConversion"/>
  </si>
  <si>
    <t>京房权证海私移字第0074535号</t>
    <phoneticPr fontId="19" type="noConversion"/>
  </si>
  <si>
    <t>海淀区北洼西里11号楼</t>
    <phoneticPr fontId="3" type="noConversion"/>
  </si>
  <si>
    <t>IV-1-2-2(4)</t>
    <phoneticPr fontId="19" type="noConversion"/>
  </si>
  <si>
    <t>私产</t>
    <phoneticPr fontId="3" type="noConversion"/>
  </si>
  <si>
    <t>6号</t>
    <phoneticPr fontId="19" type="noConversion"/>
  </si>
  <si>
    <t>钢混</t>
    <phoneticPr fontId="3" type="noConversion"/>
  </si>
  <si>
    <t>住宅</t>
    <phoneticPr fontId="19" type="noConversion"/>
  </si>
  <si>
    <t>西北</t>
    <phoneticPr fontId="19" type="noConversion"/>
  </si>
  <si>
    <t>张国威</t>
    <phoneticPr fontId="19" type="noConversion"/>
  </si>
  <si>
    <t>二</t>
    <phoneticPr fontId="19" type="noConversion"/>
  </si>
  <si>
    <t>2006-2-CP-01057-U</t>
    <phoneticPr fontId="19" type="noConversion"/>
  </si>
  <si>
    <t>京房权证海私移字第0046596号</t>
    <phoneticPr fontId="19" type="noConversion"/>
  </si>
  <si>
    <t>海淀区北洼西里7号楼</t>
    <phoneticPr fontId="19" type="noConversion"/>
  </si>
  <si>
    <t>Ⅳ-1-2-1-（4）</t>
    <phoneticPr fontId="19" type="noConversion"/>
  </si>
  <si>
    <t>私产</t>
    <phoneticPr fontId="19" type="noConversion"/>
  </si>
  <si>
    <t>3单元1004</t>
    <phoneticPr fontId="19" type="noConversion"/>
  </si>
  <si>
    <t>钢混</t>
    <phoneticPr fontId="19" type="noConversion"/>
  </si>
  <si>
    <t>一十七</t>
    <phoneticPr fontId="19" type="noConversion"/>
  </si>
  <si>
    <t>东南</t>
    <phoneticPr fontId="19" type="noConversion"/>
  </si>
  <si>
    <t xml:space="preserve"> </t>
    <phoneticPr fontId="19" type="noConversion"/>
  </si>
  <si>
    <t>原产权证</t>
    <phoneticPr fontId="19" type="noConversion"/>
  </si>
  <si>
    <t>京房权证海私移字第0028698号</t>
    <phoneticPr fontId="3" type="noConversion"/>
  </si>
  <si>
    <t>海淀区北洼西里22号中海雅园中7号楼</t>
    <phoneticPr fontId="19" type="noConversion"/>
  </si>
  <si>
    <t>IV-2-3-50（3）</t>
    <phoneticPr fontId="19" type="noConversion"/>
  </si>
  <si>
    <t>中7</t>
    <phoneticPr fontId="19" type="noConversion"/>
  </si>
  <si>
    <t>6层701</t>
    <phoneticPr fontId="19" type="noConversion"/>
  </si>
  <si>
    <t>魏伯欣</t>
    <phoneticPr fontId="19" type="noConversion"/>
  </si>
  <si>
    <t>一</t>
    <phoneticPr fontId="19" type="noConversion"/>
  </si>
  <si>
    <t>2005-22-P-18979-U</t>
    <phoneticPr fontId="19" type="noConversion"/>
  </si>
  <si>
    <t>京房权证海私移字第0051883号</t>
    <phoneticPr fontId="19" type="noConversion"/>
  </si>
  <si>
    <t>IV-1-2-1(4)</t>
    <phoneticPr fontId="19" type="noConversion"/>
  </si>
  <si>
    <t>私有产</t>
    <phoneticPr fontId="3" type="noConversion"/>
  </si>
  <si>
    <t>2单元1404</t>
    <phoneticPr fontId="19" type="noConversion"/>
  </si>
  <si>
    <t>五</t>
    <phoneticPr fontId="19" type="noConversion"/>
  </si>
  <si>
    <t>14/17（高楼层）</t>
    <phoneticPr fontId="24" type="noConversion"/>
  </si>
  <si>
    <t>6/17（低楼层）</t>
    <phoneticPr fontId="24" type="noConversion"/>
  </si>
  <si>
    <t>8/18（中楼层）</t>
    <phoneticPr fontId="24" type="noConversion"/>
  </si>
  <si>
    <t>西北</t>
  </si>
  <si>
    <t>东南</t>
  </si>
  <si>
    <t>塔楼</t>
  </si>
  <si>
    <t>建成年代</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</si>
</sst>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b/>
      <sz val="16"/>
      <color indexed="10"/>
      <name val="宋体"/>
      <family val="3"/>
      <charset val="134"/>
      <scheme val="minor"/>
    </font>
    <font>
      <b/>
      <sz val="12"/>
      <name val="宋体"/>
      <family val="3"/>
      <charset val="134"/>
      <scheme val="minor"/>
    </font>
    <font>
      <sz val="10"/>
      <name val="宋体"/>
      <family val="3"/>
      <charset val="134"/>
      <scheme val="minor"/>
    </font>
    <font>
      <sz val="12"/>
      <name val="宋体"/>
      <family val="3"/>
      <charset val="134"/>
      <scheme val="minor"/>
    </font>
    <font>
      <sz val="11"/>
      <name val="宋体"/>
      <family val="3"/>
      <charset val="134"/>
      <scheme val="minor"/>
    </font>
    <font>
      <b/>
      <sz val="11"/>
      <name val="宋体"/>
      <family val="3"/>
      <charset val="134"/>
      <scheme val="minor"/>
    </font>
    <font>
      <sz val="12"/>
      <color indexed="8"/>
      <name val="宋体"/>
      <family val="3"/>
      <charset val="134"/>
      <scheme val="minor"/>
    </font>
    <font>
      <i/>
      <sz val="12"/>
      <name val="宋体"/>
      <family val="3"/>
      <charset val="134"/>
      <scheme val="minor"/>
    </font>
    <font>
      <sz val="10"/>
      <color indexed="8"/>
      <name val="宋体"/>
      <family val="3"/>
      <charset val="134"/>
      <scheme val="minor"/>
    </font>
    <font>
      <sz val="10"/>
      <color theme="9" tint="-0.249977111117893"/>
      <name val="宋体"/>
      <family val="3"/>
      <charset val="134"/>
      <scheme val="minor"/>
    </font>
    <font>
      <b/>
      <sz val="16"/>
      <color rgb="FFFF0000"/>
      <name val="楷体_GB2312"/>
      <family val="3"/>
      <charset val="134"/>
    </font>
    <font>
      <sz val="12"/>
      <name val="楷体_GB2312"/>
      <family val="3"/>
      <charset val="134"/>
    </font>
    <font>
      <b/>
      <sz val="10"/>
      <name val="宋体"/>
      <family val="3"/>
      <charset val="134"/>
      <scheme val="minor"/>
    </font>
    <font>
      <sz val="10"/>
      <color rgb="FFFF0000"/>
      <name val="宋体"/>
      <family val="3"/>
      <charset val="134"/>
      <scheme val="minor"/>
    </font>
    <font>
      <sz val="10"/>
      <color theme="1"/>
      <name val="楷体_GB2312"/>
      <family val="3"/>
      <charset val="134"/>
    </font>
    <font>
      <sz val="12"/>
      <color rgb="FFFF0000"/>
      <name val="楷体_GB2312"/>
      <family val="3"/>
      <charset val="134"/>
    </font>
    <font>
      <sz val="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thin">
        <color auto="1"/>
      </left>
      <right style="double">
        <color auto="1"/>
      </right>
      <top style="thin">
        <color auto="1"/>
      </top>
      <bottom style="thin">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0" fillId="0" borderId="0" applyFont="0" applyFill="0" applyBorder="0" applyAlignment="0" applyProtection="0">
      <alignment vertical="center"/>
    </xf>
  </cellStyleXfs>
  <cellXfs count="39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49" fontId="94" fillId="0" borderId="14" xfId="0" applyNumberFormat="1"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0" fontId="128" fillId="6" borderId="57"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128" fillId="9" borderId="5"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0" borderId="0" xfId="0" applyFont="1" applyAlignment="1" applyProtection="1">
      <alignment horizontal="center"/>
      <protection locked="0"/>
    </xf>
    <xf numFmtId="0" fontId="19" fillId="0" borderId="1" xfId="0" applyFont="1" applyBorder="1" applyAlignment="1"/>
    <xf numFmtId="49" fontId="19" fillId="0" borderId="1" xfId="0" applyNumberFormat="1" applyFont="1" applyBorder="1" applyAlignment="1"/>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alignment horizontal="right"/>
    </xf>
    <xf numFmtId="197" fontId="19" fillId="0" borderId="1" xfId="0" applyNumberFormat="1" applyFont="1" applyBorder="1" applyAlignment="1">
      <alignment horizontal="right"/>
    </xf>
    <xf numFmtId="0" fontId="19" fillId="0" borderId="1" xfId="0" applyFont="1" applyBorder="1" applyAlignment="1" applyProtection="1">
      <protection locked="0"/>
    </xf>
    <xf numFmtId="31" fontId="19" fillId="0" borderId="1" xfId="0" applyNumberFormat="1" applyFont="1" applyBorder="1" applyAlignment="1"/>
    <xf numFmtId="31" fontId="19" fillId="0" borderId="1" xfId="0" applyNumberFormat="1" applyFont="1" applyBorder="1" applyAlignment="1">
      <alignment horizontal="left"/>
    </xf>
    <xf numFmtId="183" fontId="19" fillId="0" borderId="1" xfId="0" applyNumberFormat="1" applyFont="1" applyBorder="1" applyAlignment="1" applyProtection="1">
      <protection locked="0"/>
    </xf>
    <xf numFmtId="0" fontId="77" fillId="0" borderId="0" xfId="0" applyFont="1" applyAlignment="1"/>
    <xf numFmtId="0" fontId="19" fillId="0" borderId="0" xfId="0" applyFont="1" applyAlignment="1"/>
    <xf numFmtId="0" fontId="19" fillId="0" borderId="1" xfId="0" applyFont="1" applyBorder="1" applyAlignment="1">
      <alignment horizontal="left"/>
    </xf>
    <xf numFmtId="1"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Border="1" applyAlignment="1">
      <alignment horizontal="center"/>
    </xf>
    <xf numFmtId="199" fontId="19" fillId="0" borderId="1" xfId="0" applyNumberFormat="1" applyFont="1" applyBorder="1" applyAlignment="1">
      <alignment horizontal="left"/>
    </xf>
    <xf numFmtId="49" fontId="19" fillId="0" borderId="1" xfId="0" applyNumberFormat="1" applyFont="1" applyBorder="1" applyAlignment="1" applyProtection="1">
      <protection locked="0"/>
    </xf>
    <xf numFmtId="0" fontId="19" fillId="0" borderId="1" xfId="0" applyFont="1" applyBorder="1" applyAlignment="1" applyProtection="1">
      <alignment horizontal="left"/>
      <protection locked="0"/>
    </xf>
    <xf numFmtId="198" fontId="19" fillId="0" borderId="1" xfId="0" applyNumberFormat="1" applyFont="1" applyBorder="1" applyAlignment="1" applyProtection="1">
      <alignment horizontal="left"/>
      <protection locked="0"/>
    </xf>
    <xf numFmtId="198" fontId="19" fillId="0" borderId="1" xfId="0" applyNumberFormat="1" applyFont="1" applyBorder="1" applyAlignment="1" applyProtection="1">
      <alignment horizontal="right"/>
      <protection locked="0"/>
    </xf>
    <xf numFmtId="179" fontId="19" fillId="0" borderId="1" xfId="0" applyNumberFormat="1" applyFont="1" applyBorder="1" applyAlignment="1" applyProtection="1">
      <protection locked="0"/>
    </xf>
    <xf numFmtId="31" fontId="19" fillId="0" borderId="1" xfId="0" applyNumberFormat="1" applyFont="1" applyBorder="1" applyAlignment="1" applyProtection="1">
      <alignment horizontal="right"/>
      <protection locked="0"/>
    </xf>
    <xf numFmtId="0" fontId="19" fillId="0" borderId="1" xfId="0" applyFont="1" applyBorder="1" applyAlignment="1" applyProtection="1">
      <alignment horizontal="center"/>
      <protection locked="0"/>
    </xf>
    <xf numFmtId="0" fontId="77" fillId="0" borderId="1" xfId="0" applyFont="1" applyBorder="1" applyAlignment="1"/>
    <xf numFmtId="49" fontId="77" fillId="0" borderId="1" xfId="0" applyNumberFormat="1" applyFont="1" applyBorder="1" applyAlignment="1"/>
    <xf numFmtId="44" fontId="77" fillId="0" borderId="1" xfId="19" applyFont="1" applyFill="1" applyBorder="1" applyAlignment="1">
      <alignment horizontal="left"/>
    </xf>
    <xf numFmtId="179" fontId="77" fillId="0" borderId="1" xfId="0" applyNumberFormat="1" applyFont="1" applyBorder="1" applyAlignment="1">
      <alignment horizontal="right"/>
    </xf>
    <xf numFmtId="1" fontId="77" fillId="0" borderId="1" xfId="0" applyNumberFormat="1" applyFont="1" applyBorder="1" applyAlignment="1">
      <alignment horizontal="center"/>
    </xf>
    <xf numFmtId="2" fontId="77" fillId="0" borderId="1" xfId="0" applyNumberFormat="1" applyFont="1" applyBorder="1" applyAlignment="1">
      <alignment horizontal="right"/>
    </xf>
    <xf numFmtId="197" fontId="77" fillId="0" borderId="1" xfId="0" applyNumberFormat="1" applyFont="1" applyBorder="1" applyAlignment="1"/>
    <xf numFmtId="9" fontId="77" fillId="0" borderId="1" xfId="0" applyNumberFormat="1" applyFont="1" applyBorder="1" applyAlignment="1"/>
    <xf numFmtId="197" fontId="77" fillId="0" borderId="1" xfId="0" applyNumberFormat="1" applyFont="1" applyBorder="1" applyAlignment="1">
      <alignment horizontal="right"/>
    </xf>
    <xf numFmtId="0" fontId="77" fillId="0" borderId="1" xfId="0" applyFont="1" applyBorder="1" applyAlignment="1" applyProtection="1">
      <protection locked="0"/>
    </xf>
    <xf numFmtId="31" fontId="77" fillId="0" borderId="1" xfId="0" applyNumberFormat="1" applyFont="1" applyBorder="1" applyAlignment="1"/>
    <xf numFmtId="199" fontId="77" fillId="0" borderId="1" xfId="0" applyNumberFormat="1" applyFont="1" applyBorder="1" applyAlignment="1">
      <alignment horizontal="center"/>
    </xf>
    <xf numFmtId="49" fontId="77" fillId="0" borderId="1" xfId="0" applyNumberFormat="1" applyFont="1" applyBorder="1" applyAlignment="1" applyProtection="1">
      <protection locked="0"/>
    </xf>
    <xf numFmtId="198" fontId="77" fillId="0" borderId="1" xfId="0" applyNumberFormat="1" applyFont="1" applyBorder="1" applyAlignment="1" applyProtection="1">
      <protection locked="0"/>
    </xf>
    <xf numFmtId="179" fontId="77" fillId="0" borderId="1" xfId="0" applyNumberFormat="1" applyFont="1" applyBorder="1" applyAlignment="1" applyProtection="1">
      <protection locked="0"/>
    </xf>
    <xf numFmtId="31" fontId="77" fillId="0" borderId="1" xfId="0" applyNumberFormat="1" applyFont="1" applyBorder="1" applyAlignment="1" applyProtection="1">
      <protection locked="0"/>
    </xf>
    <xf numFmtId="183" fontId="77" fillId="0" borderId="1" xfId="0" applyNumberFormat="1" applyFont="1" applyBorder="1" applyAlignment="1" applyProtection="1">
      <protection locked="0"/>
    </xf>
    <xf numFmtId="0" fontId="77" fillId="0" borderId="0" xfId="0" applyFont="1" applyAlignment="1" applyProtection="1">
      <protection locked="0"/>
    </xf>
    <xf numFmtId="0" fontId="19" fillId="0" borderId="0" xfId="0" applyFont="1" applyAlignment="1" applyProtection="1">
      <protection locked="0"/>
    </xf>
    <xf numFmtId="0" fontId="273" fillId="6" borderId="51" xfId="1" applyFont="1" applyFill="1" applyBorder="1">
      <alignment vertical="center"/>
    </xf>
    <xf numFmtId="0" fontId="274" fillId="6" borderId="19" xfId="1" applyFont="1" applyFill="1" applyBorder="1">
      <alignment vertical="center"/>
    </xf>
    <xf numFmtId="0" fontId="275" fillId="6" borderId="0" xfId="10" applyFont="1" applyFill="1" applyAlignment="1">
      <alignment vertical="center" wrapText="1"/>
    </xf>
    <xf numFmtId="0" fontId="274" fillId="6" borderId="1" xfId="1" applyFont="1" applyFill="1" applyBorder="1">
      <alignment vertical="center"/>
    </xf>
    <xf numFmtId="49" fontId="54" fillId="6" borderId="1" xfId="10" applyNumberFormat="1" applyFont="1" applyFill="1" applyBorder="1" applyAlignment="1">
      <alignment horizontal="center" vertical="center" wrapText="1"/>
    </xf>
    <xf numFmtId="0" fontId="275" fillId="7" borderId="0" xfId="10" applyFont="1" applyFill="1" applyAlignment="1" applyProtection="1">
      <alignment vertical="center" wrapText="1"/>
      <protection locked="0"/>
    </xf>
    <xf numFmtId="0" fontId="275" fillId="0" borderId="0" xfId="10" applyFont="1" applyAlignment="1">
      <alignment vertical="center" wrapText="1"/>
    </xf>
    <xf numFmtId="0" fontId="275" fillId="0" borderId="0" xfId="10" applyFont="1" applyAlignment="1">
      <alignment horizontal="center" vertical="center" wrapText="1"/>
    </xf>
    <xf numFmtId="0" fontId="275" fillId="7" borderId="0" xfId="10" applyFont="1" applyFill="1" applyAlignment="1">
      <alignment horizontal="center" vertical="center" wrapText="1"/>
    </xf>
    <xf numFmtId="0" fontId="275" fillId="7" borderId="0" xfId="10" applyFont="1" applyFill="1" applyAlignment="1" applyProtection="1">
      <alignment horizontal="center" vertical="center" wrapText="1"/>
      <protection locked="0"/>
    </xf>
    <xf numFmtId="0" fontId="274" fillId="6" borderId="5" xfId="1" applyFont="1" applyFill="1" applyBorder="1">
      <alignment vertical="center"/>
    </xf>
    <xf numFmtId="0" fontId="274" fillId="6" borderId="54" xfId="1" applyFont="1" applyFill="1" applyBorder="1">
      <alignment vertical="center"/>
    </xf>
    <xf numFmtId="0" fontId="275" fillId="6" borderId="1" xfId="10" applyFont="1" applyFill="1" applyBorder="1" applyAlignment="1">
      <alignment horizontal="left" vertical="center" wrapText="1"/>
    </xf>
    <xf numFmtId="0" fontId="275" fillId="6" borderId="1" xfId="10" applyFont="1" applyFill="1" applyBorder="1" applyAlignment="1">
      <alignment vertical="center" wrapText="1"/>
    </xf>
    <xf numFmtId="0" fontId="275" fillId="6" borderId="1" xfId="10" applyFont="1" applyFill="1" applyBorder="1" applyAlignment="1">
      <alignment horizontal="center" vertical="center" wrapText="1"/>
    </xf>
    <xf numFmtId="0" fontId="275" fillId="5" borderId="1" xfId="10" applyFont="1" applyFill="1" applyBorder="1" applyAlignment="1" applyProtection="1">
      <alignment horizontal="center" vertical="center" wrapText="1"/>
      <protection locked="0"/>
    </xf>
    <xf numFmtId="0" fontId="274" fillId="6" borderId="46" xfId="1" applyFont="1" applyFill="1" applyBorder="1">
      <alignment vertical="center"/>
    </xf>
    <xf numFmtId="0" fontId="57" fillId="6" borderId="58" xfId="1" applyFont="1" applyFill="1" applyBorder="1" applyAlignment="1">
      <alignment horizontal="right" vertical="center"/>
    </xf>
    <xf numFmtId="0" fontId="275" fillId="5" borderId="1" xfId="10" applyFont="1" applyFill="1" applyBorder="1" applyAlignment="1" applyProtection="1">
      <alignment vertical="center" wrapText="1"/>
      <protection locked="0"/>
    </xf>
    <xf numFmtId="0" fontId="275" fillId="5" borderId="1" xfId="10" applyFont="1" applyFill="1" applyBorder="1" applyAlignment="1" applyProtection="1">
      <alignment horizontal="left" vertical="center"/>
      <protection locked="0"/>
    </xf>
    <xf numFmtId="0" fontId="51" fillId="6" borderId="1" xfId="10" applyFont="1" applyFill="1" applyBorder="1" applyAlignment="1">
      <alignment horizontal="center" vertical="center" wrapText="1"/>
    </xf>
    <xf numFmtId="0" fontId="275" fillId="6" borderId="1" xfId="10" applyFont="1" applyFill="1" applyBorder="1" applyAlignment="1">
      <alignment horizontal="left" vertical="center"/>
    </xf>
    <xf numFmtId="0" fontId="53" fillId="6" borderId="1" xfId="10" applyFont="1" applyFill="1" applyBorder="1" applyAlignment="1">
      <alignment horizontal="center" vertical="center" wrapText="1"/>
    </xf>
    <xf numFmtId="0" fontId="274" fillId="6" borderId="3" xfId="1" applyFont="1" applyFill="1" applyBorder="1">
      <alignment vertical="center"/>
    </xf>
    <xf numFmtId="0" fontId="275" fillId="6" borderId="0" xfId="10" applyFont="1" applyFill="1" applyAlignment="1">
      <alignment horizontal="left" vertical="center" wrapText="1"/>
    </xf>
    <xf numFmtId="0" fontId="275" fillId="6" borderId="0" xfId="10" applyFont="1" applyFill="1" applyAlignment="1" applyProtection="1">
      <alignment horizontal="left" vertical="center"/>
      <protection locked="0"/>
    </xf>
    <xf numFmtId="0" fontId="51" fillId="6" borderId="0" xfId="10" applyFont="1" applyFill="1" applyAlignment="1">
      <alignment horizontal="center" vertical="center" wrapText="1"/>
    </xf>
    <xf numFmtId="0" fontId="275" fillId="6" borderId="0" xfId="10" applyFont="1" applyFill="1" applyAlignment="1">
      <alignment horizontal="left" vertical="center"/>
    </xf>
    <xf numFmtId="0" fontId="53" fillId="6" borderId="0" xfId="10" applyFont="1" applyFill="1" applyAlignment="1">
      <alignment horizontal="center" vertical="center" wrapText="1"/>
    </xf>
    <xf numFmtId="0" fontId="57" fillId="6" borderId="47" xfId="10" applyFont="1" applyFill="1" applyBorder="1" applyAlignment="1">
      <alignment vertical="center" wrapText="1"/>
    </xf>
    <xf numFmtId="0" fontId="274" fillId="6" borderId="66" xfId="10" applyFont="1" applyFill="1" applyBorder="1" applyAlignment="1">
      <alignment vertical="center" wrapText="1"/>
    </xf>
    <xf numFmtId="0" fontId="274" fillId="6" borderId="47" xfId="10" applyFont="1" applyFill="1" applyBorder="1" applyAlignment="1">
      <alignment vertical="center" wrapText="1"/>
    </xf>
    <xf numFmtId="0" fontId="274" fillId="6" borderId="73" xfId="10" applyFont="1" applyFill="1" applyBorder="1" applyAlignment="1">
      <alignment vertical="center" wrapText="1"/>
    </xf>
    <xf numFmtId="0" fontId="274" fillId="6" borderId="40" xfId="10" applyFont="1" applyFill="1" applyBorder="1" applyAlignment="1">
      <alignment horizontal="center" vertical="center" wrapText="1"/>
    </xf>
    <xf numFmtId="0" fontId="274" fillId="6" borderId="17" xfId="10" applyFont="1" applyFill="1" applyBorder="1" applyAlignment="1">
      <alignment horizontal="left" vertical="center" wrapText="1"/>
    </xf>
    <xf numFmtId="0" fontId="116" fillId="6" borderId="9" xfId="10" applyFont="1" applyFill="1" applyBorder="1" applyAlignment="1">
      <alignment horizontal="center" vertical="center"/>
    </xf>
    <xf numFmtId="0" fontId="274" fillId="6" borderId="19" xfId="10" applyFont="1" applyFill="1" applyBorder="1" applyAlignment="1">
      <alignment vertical="center" wrapText="1"/>
    </xf>
    <xf numFmtId="0" fontId="276" fillId="6" borderId="19" xfId="10" applyFont="1" applyFill="1" applyBorder="1" applyAlignment="1">
      <alignment vertical="center" wrapText="1"/>
    </xf>
    <xf numFmtId="0" fontId="276" fillId="6" borderId="31" xfId="10" applyFont="1" applyFill="1" applyBorder="1" applyAlignment="1">
      <alignment vertical="center" wrapText="1"/>
    </xf>
    <xf numFmtId="0" fontId="277" fillId="7" borderId="0" xfId="10" applyFont="1" applyFill="1" applyProtection="1">
      <alignment vertical="center"/>
      <protection locked="0"/>
    </xf>
    <xf numFmtId="0" fontId="277" fillId="0" borderId="0" xfId="10" applyFont="1" applyAlignment="1">
      <alignment vertical="center" wrapText="1"/>
    </xf>
    <xf numFmtId="0" fontId="277" fillId="7" borderId="0" xfId="10" applyFont="1" applyFill="1" applyAlignment="1" applyProtection="1">
      <alignment horizontal="center" vertical="center" wrapText="1"/>
      <protection locked="0"/>
    </xf>
    <xf numFmtId="0" fontId="277" fillId="0" borderId="0" xfId="10" applyFont="1" applyAlignment="1">
      <alignment horizontal="center" vertical="center" wrapText="1"/>
    </xf>
    <xf numFmtId="0" fontId="274" fillId="6" borderId="23" xfId="10" applyFont="1" applyFill="1" applyBorder="1" applyAlignment="1">
      <alignment horizontal="center" vertical="center" wrapText="1"/>
    </xf>
    <xf numFmtId="0" fontId="274" fillId="6" borderId="1" xfId="10" applyFont="1" applyFill="1" applyBorder="1" applyAlignment="1">
      <alignment horizontal="left" vertical="center" wrapText="1"/>
    </xf>
    <xf numFmtId="0" fontId="124" fillId="6" borderId="1" xfId="10" applyFont="1" applyFill="1" applyBorder="1" applyAlignment="1">
      <alignment horizontal="center" vertical="center"/>
    </xf>
    <xf numFmtId="0" fontId="274" fillId="6" borderId="5" xfId="10" applyFont="1" applyFill="1" applyBorder="1">
      <alignment vertical="center"/>
    </xf>
    <xf numFmtId="0" fontId="274" fillId="6" borderId="54" xfId="10" applyFont="1" applyFill="1" applyBorder="1" applyAlignment="1">
      <alignment vertical="center" wrapText="1"/>
    </xf>
    <xf numFmtId="0" fontId="276" fillId="6" borderId="54" xfId="10" applyFont="1" applyFill="1" applyBorder="1" applyAlignment="1">
      <alignment vertical="center" wrapText="1"/>
    </xf>
    <xf numFmtId="0" fontId="276" fillId="6" borderId="48" xfId="10" applyFont="1" applyFill="1" applyBorder="1" applyAlignment="1">
      <alignment vertical="center" wrapText="1"/>
    </xf>
    <xf numFmtId="0" fontId="275" fillId="7" borderId="0" xfId="10" applyFont="1" applyFill="1" applyProtection="1">
      <alignment vertical="center"/>
      <protection locked="0"/>
    </xf>
    <xf numFmtId="0" fontId="274" fillId="6" borderId="25" xfId="10" applyFont="1" applyFill="1" applyBorder="1" applyAlignment="1">
      <alignment horizontal="center" vertical="center" wrapText="1"/>
    </xf>
    <xf numFmtId="0" fontId="274" fillId="6" borderId="32" xfId="10" applyFont="1" applyFill="1" applyBorder="1" applyAlignment="1">
      <alignment horizontal="left" vertical="center" wrapText="1"/>
    </xf>
    <xf numFmtId="0" fontId="57" fillId="0" borderId="32" xfId="10" applyFont="1" applyBorder="1" applyAlignment="1" applyProtection="1">
      <alignment horizontal="center" vertical="center" wrapText="1"/>
      <protection locked="0"/>
    </xf>
    <xf numFmtId="0" fontId="278" fillId="6" borderId="32" xfId="10" applyFont="1" applyFill="1" applyBorder="1" applyAlignment="1">
      <alignment horizontal="left" vertical="center"/>
    </xf>
    <xf numFmtId="0" fontId="278" fillId="6" borderId="32" xfId="10" applyFont="1" applyFill="1" applyBorder="1" applyAlignment="1">
      <alignment vertical="center" wrapText="1"/>
    </xf>
    <xf numFmtId="0" fontId="274" fillId="6" borderId="47" xfId="10" applyFont="1" applyFill="1" applyBorder="1">
      <alignment vertical="center"/>
    </xf>
    <xf numFmtId="0" fontId="276" fillId="6" borderId="47" xfId="10" applyFont="1" applyFill="1" applyBorder="1" applyAlignment="1">
      <alignment vertical="center" wrapText="1"/>
    </xf>
    <xf numFmtId="0" fontId="276" fillId="6" borderId="43" xfId="10" applyFont="1" applyFill="1" applyBorder="1" applyAlignment="1">
      <alignment vertical="center" wrapText="1"/>
    </xf>
    <xf numFmtId="0" fontId="274" fillId="6" borderId="14" xfId="10" applyFont="1" applyFill="1" applyBorder="1" applyAlignment="1">
      <alignment horizontal="center" vertical="center" wrapText="1"/>
    </xf>
    <xf numFmtId="0" fontId="274" fillId="6" borderId="15" xfId="10" applyFont="1" applyFill="1" applyBorder="1" applyAlignment="1">
      <alignment horizontal="left" vertical="center" wrapText="1"/>
    </xf>
    <xf numFmtId="186" fontId="57" fillId="6" borderId="58" xfId="10" applyNumberFormat="1" applyFont="1" applyFill="1" applyBorder="1" applyAlignment="1">
      <alignment horizontal="center" vertical="center" wrapText="1"/>
    </xf>
    <xf numFmtId="0" fontId="276" fillId="6" borderId="176" xfId="10" applyFont="1" applyFill="1" applyBorder="1" applyAlignment="1">
      <alignment horizontal="center" vertical="center" wrapText="1"/>
    </xf>
    <xf numFmtId="14" fontId="58" fillId="6" borderId="29" xfId="10" applyNumberFormat="1" applyFont="1" applyFill="1" applyBorder="1" applyAlignment="1">
      <alignment horizontal="center" vertical="center" wrapText="1"/>
    </xf>
    <xf numFmtId="0" fontId="58" fillId="6" borderId="177" xfId="10" applyFont="1" applyFill="1" applyBorder="1" applyAlignment="1">
      <alignment horizontal="center" vertical="center" wrapText="1"/>
    </xf>
    <xf numFmtId="0" fontId="276" fillId="6" borderId="35" xfId="10" applyFont="1" applyFill="1" applyBorder="1" applyAlignment="1">
      <alignment horizontal="center" vertical="center" wrapText="1"/>
    </xf>
    <xf numFmtId="14" fontId="58" fillId="6" borderId="0" xfId="10" applyNumberFormat="1" applyFont="1" applyFill="1" applyAlignment="1">
      <alignment horizontal="center" vertical="center" wrapText="1"/>
    </xf>
    <xf numFmtId="0" fontId="58" fillId="6" borderId="15" xfId="10" applyFont="1" applyFill="1" applyBorder="1" applyAlignment="1">
      <alignment horizontal="center" vertical="center" wrapText="1"/>
    </xf>
    <xf numFmtId="0" fontId="276" fillId="6" borderId="56" xfId="10" applyFont="1" applyFill="1" applyBorder="1" applyAlignment="1">
      <alignment vertical="center" wrapText="1"/>
    </xf>
    <xf numFmtId="0" fontId="274" fillId="6" borderId="26" xfId="10" applyFont="1" applyFill="1" applyBorder="1" applyAlignment="1">
      <alignment horizontal="center" vertical="center" wrapText="1"/>
    </xf>
    <xf numFmtId="0" fontId="274" fillId="6" borderId="84" xfId="10" applyFont="1" applyFill="1" applyBorder="1" applyAlignment="1">
      <alignment horizontal="left" vertical="center" wrapText="1"/>
    </xf>
    <xf numFmtId="186" fontId="57" fillId="6" borderId="34" xfId="10" applyNumberFormat="1" applyFont="1" applyFill="1" applyBorder="1" applyAlignment="1">
      <alignment horizontal="center" vertical="center" wrapText="1"/>
    </xf>
    <xf numFmtId="0" fontId="276" fillId="6" borderId="178" xfId="10" applyFont="1" applyFill="1" applyBorder="1" applyAlignment="1">
      <alignment horizontal="center" vertical="center" wrapText="1"/>
    </xf>
    <xf numFmtId="181" fontId="125" fillId="0" borderId="179" xfId="10" applyNumberFormat="1" applyFont="1" applyBorder="1" applyAlignment="1" applyProtection="1">
      <alignment horizontal="center" vertical="center" wrapText="1"/>
      <protection locked="0"/>
    </xf>
    <xf numFmtId="0" fontId="275" fillId="5" borderId="70" xfId="10" applyFont="1" applyFill="1" applyBorder="1" applyAlignment="1" applyProtection="1">
      <alignment horizontal="center" vertical="center" wrapText="1"/>
      <protection locked="0"/>
    </xf>
    <xf numFmtId="0" fontId="58" fillId="6" borderId="34" xfId="10" applyFont="1" applyFill="1" applyBorder="1" applyAlignment="1">
      <alignment horizontal="center" vertical="center" wrapText="1"/>
    </xf>
    <xf numFmtId="0" fontId="276" fillId="6" borderId="34" xfId="10" applyFont="1" applyFill="1" applyBorder="1" applyAlignment="1">
      <alignment vertical="center" wrapText="1"/>
    </xf>
    <xf numFmtId="0" fontId="276" fillId="6" borderId="65" xfId="10" applyFont="1" applyFill="1" applyBorder="1" applyAlignment="1">
      <alignment vertical="center" wrapText="1"/>
    </xf>
    <xf numFmtId="0" fontId="274" fillId="6" borderId="6" xfId="10" applyFont="1" applyFill="1" applyBorder="1" applyAlignment="1">
      <alignment horizontal="center" vertical="center" wrapText="1"/>
    </xf>
    <xf numFmtId="0" fontId="274" fillId="6" borderId="19" xfId="10" applyFont="1" applyFill="1" applyBorder="1" applyAlignment="1" applyProtection="1">
      <alignment vertical="center" wrapText="1"/>
      <protection locked="0"/>
    </xf>
    <xf numFmtId="0" fontId="58" fillId="6" borderId="9" xfId="10" applyFont="1" applyFill="1" applyBorder="1" applyAlignment="1">
      <alignment horizontal="center" vertical="center" wrapText="1"/>
    </xf>
    <xf numFmtId="0" fontId="276" fillId="5" borderId="9" xfId="10" applyFont="1" applyFill="1" applyBorder="1" applyAlignment="1" applyProtection="1">
      <alignment horizontal="center" vertical="center" wrapText="1"/>
      <protection locked="0"/>
    </xf>
    <xf numFmtId="0" fontId="276" fillId="6" borderId="62" xfId="10" applyFont="1" applyFill="1" applyBorder="1" applyAlignment="1">
      <alignment vertical="center" wrapText="1"/>
    </xf>
    <xf numFmtId="0" fontId="276" fillId="6" borderId="23" xfId="10" applyFont="1" applyFill="1" applyBorder="1" applyAlignment="1">
      <alignment horizontal="center" vertical="center" wrapText="1"/>
    </xf>
    <xf numFmtId="0" fontId="276" fillId="6" borderId="1" xfId="10" applyFont="1" applyFill="1" applyBorder="1" applyAlignment="1">
      <alignment horizontal="left" vertical="center" wrapText="1"/>
    </xf>
    <xf numFmtId="0" fontId="58" fillId="6" borderId="1" xfId="10" applyFont="1" applyFill="1" applyBorder="1" applyAlignment="1">
      <alignment horizontal="center" vertical="center" wrapText="1"/>
    </xf>
    <xf numFmtId="0" fontId="58" fillId="6" borderId="5" xfId="10" applyFont="1" applyFill="1" applyBorder="1" applyAlignment="1">
      <alignment horizontal="center" vertical="center" wrapText="1"/>
    </xf>
    <xf numFmtId="179" fontId="58" fillId="6" borderId="156" xfId="10" applyNumberFormat="1" applyFont="1" applyFill="1" applyBorder="1" applyAlignment="1">
      <alignment horizontal="center" vertical="center" wrapText="1"/>
    </xf>
    <xf numFmtId="0" fontId="58" fillId="6" borderId="180" xfId="10" applyFont="1" applyFill="1" applyBorder="1" applyAlignment="1">
      <alignment horizontal="center" vertical="center" wrapText="1"/>
    </xf>
    <xf numFmtId="179" fontId="58" fillId="6" borderId="3" xfId="10" applyNumberFormat="1" applyFont="1" applyFill="1" applyBorder="1" applyAlignment="1">
      <alignment horizontal="center" vertical="center" wrapText="1"/>
    </xf>
    <xf numFmtId="0" fontId="276" fillId="6" borderId="1" xfId="10" applyFont="1" applyFill="1" applyBorder="1" applyAlignment="1">
      <alignment vertical="center" wrapText="1"/>
    </xf>
    <xf numFmtId="0" fontId="276" fillId="6" borderId="24" xfId="10" applyFont="1" applyFill="1" applyBorder="1" applyAlignment="1">
      <alignment vertical="center" wrapText="1"/>
    </xf>
    <xf numFmtId="0" fontId="276" fillId="6" borderId="1" xfId="10" applyFont="1" applyFill="1" applyBorder="1" applyAlignment="1">
      <alignment horizontal="center" vertical="center" wrapText="1"/>
    </xf>
    <xf numFmtId="0" fontId="276" fillId="6" borderId="24" xfId="10" applyFont="1" applyFill="1" applyBorder="1" applyAlignment="1">
      <alignment horizontal="center" vertical="center" wrapText="1"/>
    </xf>
    <xf numFmtId="0" fontId="276" fillId="6" borderId="12" xfId="10" applyFont="1" applyFill="1" applyBorder="1" applyAlignment="1">
      <alignment horizontal="center" vertical="center" wrapText="1"/>
    </xf>
    <xf numFmtId="0" fontId="276" fillId="6" borderId="74" xfId="10" applyFont="1" applyFill="1" applyBorder="1" applyAlignment="1">
      <alignment horizontal="left" vertical="center" wrapText="1"/>
    </xf>
    <xf numFmtId="0" fontId="58" fillId="6" borderId="74" xfId="10" applyFont="1" applyFill="1" applyBorder="1" applyAlignment="1">
      <alignment horizontal="center" vertical="center" wrapText="1"/>
    </xf>
    <xf numFmtId="0" fontId="58" fillId="6" borderId="32" xfId="10" applyFont="1" applyFill="1" applyBorder="1" applyAlignment="1">
      <alignment horizontal="center" vertical="center" wrapText="1"/>
    </xf>
    <xf numFmtId="179" fontId="58" fillId="6" borderId="73" xfId="10" applyNumberFormat="1" applyFont="1" applyFill="1" applyBorder="1" applyAlignment="1">
      <alignment horizontal="center" vertical="center" wrapText="1"/>
    </xf>
    <xf numFmtId="179" fontId="58" fillId="6" borderId="74" xfId="10" applyNumberFormat="1" applyFont="1" applyFill="1" applyBorder="1" applyAlignment="1">
      <alignment horizontal="center" vertical="center" wrapText="1"/>
    </xf>
    <xf numFmtId="0" fontId="276" fillId="6" borderId="74" xfId="10" applyFont="1" applyFill="1" applyBorder="1" applyAlignment="1">
      <alignment horizontal="center" vertical="center" wrapText="1"/>
    </xf>
    <xf numFmtId="0" fontId="276" fillId="6" borderId="76" xfId="10" applyFont="1" applyFill="1" applyBorder="1" applyAlignment="1">
      <alignment horizontal="center" vertical="center" wrapText="1"/>
    </xf>
    <xf numFmtId="0" fontId="274" fillId="6" borderId="12" xfId="10" applyFont="1" applyFill="1" applyBorder="1" applyAlignment="1">
      <alignment horizontal="center" vertical="center" wrapText="1"/>
    </xf>
    <xf numFmtId="0" fontId="274" fillId="6" borderId="74" xfId="10" applyFont="1" applyFill="1" applyBorder="1" applyAlignment="1">
      <alignment horizontal="left" vertical="center" wrapText="1"/>
    </xf>
    <xf numFmtId="186" fontId="57" fillId="6" borderId="74" xfId="10" applyNumberFormat="1" applyFont="1" applyFill="1" applyBorder="1" applyAlignment="1">
      <alignment horizontal="center" vertical="center" wrapText="1"/>
    </xf>
    <xf numFmtId="0" fontId="276" fillId="6" borderId="47" xfId="10" applyFont="1" applyFill="1" applyBorder="1">
      <alignment vertical="center"/>
    </xf>
    <xf numFmtId="0" fontId="276" fillId="6" borderId="74" xfId="10" applyFont="1" applyFill="1" applyBorder="1" applyAlignment="1">
      <alignment vertical="center" wrapText="1"/>
    </xf>
    <xf numFmtId="0" fontId="276" fillId="6" borderId="76" xfId="10" applyFont="1" applyFill="1" applyBorder="1" applyAlignment="1">
      <alignment vertical="center" wrapText="1"/>
    </xf>
    <xf numFmtId="0" fontId="57" fillId="0" borderId="84" xfId="10" applyFont="1" applyBorder="1" applyAlignment="1" applyProtection="1">
      <alignment horizontal="center" vertical="center" wrapText="1"/>
      <protection locked="0"/>
    </xf>
    <xf numFmtId="0" fontId="248" fillId="6" borderId="64" xfId="10" applyFont="1" applyFill="1" applyBorder="1" applyAlignment="1">
      <alignment vertical="center" wrapText="1"/>
    </xf>
    <xf numFmtId="0" fontId="276" fillId="6" borderId="178" xfId="10" applyFont="1" applyFill="1" applyBorder="1" applyAlignment="1">
      <alignment horizontal="left" vertical="center" wrapText="1"/>
    </xf>
    <xf numFmtId="0" fontId="276" fillId="5" borderId="179" xfId="10" applyFont="1" applyFill="1" applyBorder="1" applyAlignment="1" applyProtection="1">
      <alignment horizontal="center" vertical="center" wrapText="1"/>
      <protection locked="0"/>
    </xf>
    <xf numFmtId="0" fontId="276" fillId="6" borderId="70" xfId="10" applyFont="1" applyFill="1" applyBorder="1" applyAlignment="1">
      <alignment vertical="center" wrapText="1"/>
    </xf>
    <xf numFmtId="0" fontId="276" fillId="6" borderId="84" xfId="10" applyFont="1" applyFill="1" applyBorder="1" applyAlignment="1">
      <alignment horizontal="center" vertical="center" wrapText="1"/>
    </xf>
    <xf numFmtId="0" fontId="274" fillId="6" borderId="84" xfId="10" applyFont="1" applyFill="1" applyBorder="1" applyAlignment="1">
      <alignment vertical="center" wrapText="1"/>
    </xf>
    <xf numFmtId="0" fontId="274" fillId="6" borderId="65" xfId="10" applyFont="1" applyFill="1" applyBorder="1" applyAlignment="1">
      <alignment vertical="center" wrapText="1"/>
    </xf>
    <xf numFmtId="0" fontId="274" fillId="6" borderId="28" xfId="10" applyFont="1" applyFill="1" applyBorder="1" applyAlignment="1">
      <alignment horizontal="left" vertical="center" wrapText="1"/>
    </xf>
    <xf numFmtId="0" fontId="57" fillId="6" borderId="9" xfId="10" applyFont="1" applyFill="1" applyBorder="1" applyAlignment="1">
      <alignment horizontal="center" vertical="center" wrapText="1"/>
    </xf>
    <xf numFmtId="0" fontId="274" fillId="6" borderId="9" xfId="10" applyFont="1" applyFill="1" applyBorder="1" applyAlignment="1">
      <alignment horizontal="center" vertical="center" wrapText="1"/>
    </xf>
    <xf numFmtId="0" fontId="274" fillId="6" borderId="28" xfId="10" applyFont="1" applyFill="1" applyBorder="1" applyAlignment="1">
      <alignment horizontal="center" vertical="center" wrapText="1"/>
    </xf>
    <xf numFmtId="0" fontId="276" fillId="6" borderId="3" xfId="10" applyFont="1" applyFill="1" applyBorder="1" applyAlignment="1">
      <alignment horizontal="left" vertical="center" wrapText="1"/>
    </xf>
    <xf numFmtId="0" fontId="57" fillId="6" borderId="1" xfId="10" applyFont="1" applyFill="1" applyBorder="1" applyAlignment="1">
      <alignment horizontal="center" vertical="center" wrapText="1"/>
    </xf>
    <xf numFmtId="49" fontId="58" fillId="6" borderId="1" xfId="10" applyNumberFormat="1" applyFont="1" applyFill="1" applyBorder="1" applyAlignment="1">
      <alignment horizontal="center" vertical="center" wrapText="1"/>
    </xf>
    <xf numFmtId="0" fontId="125" fillId="6" borderId="1" xfId="10" applyFont="1" applyFill="1" applyBorder="1" applyAlignment="1">
      <alignment horizontal="center" vertical="center"/>
    </xf>
    <xf numFmtId="0" fontId="279" fillId="6" borderId="5" xfId="10" applyFont="1" applyFill="1" applyBorder="1">
      <alignment vertical="center"/>
    </xf>
    <xf numFmtId="0" fontId="147" fillId="6" borderId="54" xfId="10" applyFont="1" applyFill="1" applyBorder="1">
      <alignment vertical="center"/>
    </xf>
    <xf numFmtId="0" fontId="147" fillId="6" borderId="48" xfId="10" applyFont="1" applyFill="1" applyBorder="1">
      <alignment vertical="center"/>
    </xf>
    <xf numFmtId="0" fontId="277" fillId="7" borderId="0" xfId="10" applyFont="1" applyFill="1" applyAlignment="1" applyProtection="1">
      <alignment vertical="center" wrapText="1"/>
      <protection locked="0"/>
    </xf>
    <xf numFmtId="0" fontId="280" fillId="6" borderId="3" xfId="10" applyFont="1" applyFill="1" applyBorder="1" applyAlignment="1">
      <alignment horizontal="left" vertical="center" wrapText="1"/>
    </xf>
    <xf numFmtId="0" fontId="276" fillId="6" borderId="1" xfId="10" applyFont="1" applyFill="1" applyBorder="1">
      <alignment vertical="center"/>
    </xf>
    <xf numFmtId="0" fontId="58" fillId="6" borderId="2" xfId="10" applyFont="1" applyFill="1" applyBorder="1" applyAlignment="1">
      <alignment horizontal="center" vertical="center" wrapText="1"/>
    </xf>
    <xf numFmtId="49" fontId="58" fillId="6" borderId="2" xfId="10" applyNumberFormat="1" applyFont="1" applyFill="1" applyBorder="1" applyAlignment="1">
      <alignment horizontal="center" vertical="center" wrapText="1"/>
    </xf>
    <xf numFmtId="0" fontId="125" fillId="6" borderId="2" xfId="10" applyFont="1" applyFill="1" applyBorder="1" applyAlignment="1">
      <alignment horizontal="center" vertical="center"/>
    </xf>
    <xf numFmtId="0" fontId="279" fillId="6" borderId="4" xfId="10" applyFont="1" applyFill="1" applyBorder="1">
      <alignment vertical="center"/>
    </xf>
    <xf numFmtId="0" fontId="276" fillId="6" borderId="0" xfId="10" applyFont="1" applyFill="1" applyAlignment="1">
      <alignment vertical="center" wrapText="1"/>
    </xf>
    <xf numFmtId="0" fontId="280" fillId="6" borderId="35" xfId="10" applyFont="1" applyFill="1" applyBorder="1" applyAlignment="1">
      <alignment horizontal="left" vertical="center" wrapText="1"/>
    </xf>
    <xf numFmtId="0" fontId="58" fillId="6" borderId="13" xfId="10" applyFont="1" applyFill="1" applyBorder="1" applyAlignment="1">
      <alignment horizontal="center" vertical="center" wrapText="1"/>
    </xf>
    <xf numFmtId="49" fontId="58" fillId="6" borderId="13" xfId="10" applyNumberFormat="1" applyFont="1" applyFill="1" applyBorder="1" applyAlignment="1">
      <alignment horizontal="center" vertical="center" wrapText="1"/>
    </xf>
    <xf numFmtId="0" fontId="125" fillId="6" borderId="13" xfId="10" applyFont="1" applyFill="1" applyBorder="1" applyAlignment="1">
      <alignment horizontal="center" vertical="center"/>
    </xf>
    <xf numFmtId="0" fontId="276" fillId="6" borderId="13" xfId="10" applyFont="1" applyFill="1" applyBorder="1">
      <alignment vertical="center"/>
    </xf>
    <xf numFmtId="10" fontId="275" fillId="7" borderId="0" xfId="10" applyNumberFormat="1" applyFont="1" applyFill="1" applyAlignment="1" applyProtection="1">
      <alignment horizontal="center" vertical="center" wrapText="1"/>
      <protection locked="0"/>
    </xf>
    <xf numFmtId="10" fontId="275" fillId="0" borderId="0" xfId="10" applyNumberFormat="1" applyFont="1" applyAlignment="1">
      <alignment horizontal="center" vertical="center" wrapText="1"/>
    </xf>
    <xf numFmtId="0" fontId="274" fillId="6" borderId="38" xfId="10" applyFont="1" applyFill="1" applyBorder="1" applyAlignment="1" applyProtection="1">
      <alignment horizontal="center" vertical="center" wrapText="1"/>
      <protection locked="0"/>
    </xf>
    <xf numFmtId="0" fontId="276" fillId="6" borderId="66" xfId="10" applyFont="1" applyFill="1" applyBorder="1" applyAlignment="1" applyProtection="1">
      <alignment vertical="center" wrapText="1"/>
      <protection locked="0"/>
    </xf>
    <xf numFmtId="0" fontId="58" fillId="18" borderId="32" xfId="10" applyFont="1" applyFill="1" applyBorder="1" applyAlignment="1">
      <alignment horizontal="center" vertical="center" wrapText="1"/>
    </xf>
    <xf numFmtId="0" fontId="276" fillId="5" borderId="32" xfId="10" applyFont="1" applyFill="1" applyBorder="1" applyAlignment="1" applyProtection="1">
      <alignment horizontal="center" vertical="center" wrapText="1"/>
      <protection locked="0"/>
    </xf>
    <xf numFmtId="0" fontId="275" fillId="6" borderId="52" xfId="10" applyFont="1" applyFill="1" applyBorder="1" applyAlignment="1" applyProtection="1">
      <alignment vertical="center" wrapText="1"/>
      <protection locked="0"/>
    </xf>
    <xf numFmtId="0" fontId="275" fillId="6" borderId="68" xfId="10" applyFont="1" applyFill="1" applyBorder="1" applyAlignment="1" applyProtection="1">
      <alignment vertical="center" wrapText="1"/>
      <protection locked="0"/>
    </xf>
    <xf numFmtId="0" fontId="275" fillId="0" borderId="0" xfId="10" applyFont="1" applyAlignment="1">
      <alignment horizontal="left" vertical="center" wrapText="1"/>
    </xf>
    <xf numFmtId="0" fontId="53" fillId="0" borderId="0" xfId="10" applyFont="1" applyAlignment="1">
      <alignment vertical="center" wrapText="1"/>
    </xf>
    <xf numFmtId="0" fontId="275" fillId="6" borderId="63" xfId="10" applyFont="1" applyFill="1" applyBorder="1" applyAlignment="1">
      <alignment horizontal="center" vertical="center" wrapText="1"/>
    </xf>
    <xf numFmtId="0" fontId="99" fillId="6" borderId="67" xfId="10" applyFont="1" applyFill="1" applyBorder="1" applyAlignment="1">
      <alignment horizontal="center" vertical="center" wrapText="1"/>
    </xf>
    <xf numFmtId="0" fontId="277" fillId="6" borderId="6" xfId="10" applyFont="1" applyFill="1" applyBorder="1" applyAlignment="1">
      <alignment horizontal="center" vertical="center" wrapText="1"/>
    </xf>
    <xf numFmtId="0" fontId="51" fillId="6" borderId="30" xfId="10" applyFont="1" applyFill="1" applyBorder="1" applyAlignment="1">
      <alignment horizontal="center" vertical="center" wrapText="1"/>
    </xf>
    <xf numFmtId="0" fontId="53" fillId="5" borderId="10" xfId="10" applyFont="1" applyFill="1" applyBorder="1" applyAlignment="1" applyProtection="1">
      <alignment horizontal="center" vertical="center" wrapText="1"/>
      <protection locked="0"/>
    </xf>
    <xf numFmtId="0" fontId="277" fillId="6" borderId="23" xfId="10" applyFont="1" applyFill="1" applyBorder="1" applyAlignment="1">
      <alignment horizontal="center" vertical="center" wrapText="1"/>
    </xf>
    <xf numFmtId="0" fontId="51" fillId="6" borderId="3" xfId="10" applyFont="1" applyFill="1" applyBorder="1" applyAlignment="1">
      <alignment horizontal="center" vertical="center" wrapText="1"/>
    </xf>
    <xf numFmtId="10" fontId="53" fillId="6" borderId="24" xfId="10" applyNumberFormat="1" applyFont="1" applyFill="1" applyBorder="1" applyAlignment="1">
      <alignment horizontal="center" vertical="center" wrapText="1"/>
    </xf>
    <xf numFmtId="10" fontId="51" fillId="0" borderId="3" xfId="10" applyNumberFormat="1" applyFont="1" applyBorder="1" applyAlignment="1" applyProtection="1">
      <alignment horizontal="center" vertical="center" wrapText="1"/>
      <protection locked="0"/>
    </xf>
    <xf numFmtId="0" fontId="277" fillId="6" borderId="25" xfId="10" applyFont="1" applyFill="1" applyBorder="1" applyAlignment="1">
      <alignment horizontal="center" vertical="center" wrapText="1"/>
    </xf>
    <xf numFmtId="10" fontId="51" fillId="0" borderId="66" xfId="10" applyNumberFormat="1" applyFont="1" applyBorder="1" applyAlignment="1" applyProtection="1">
      <alignment horizontal="center" vertical="center" wrapText="1"/>
      <protection locked="0"/>
    </xf>
    <xf numFmtId="10" fontId="53" fillId="6" borderId="49" xfId="10" applyNumberFormat="1" applyFont="1" applyFill="1" applyBorder="1" applyAlignment="1">
      <alignment horizontal="center" vertical="center" wrapText="1"/>
    </xf>
    <xf numFmtId="0" fontId="275" fillId="7" borderId="0" xfId="10" applyFont="1" applyFill="1" applyAlignment="1" applyProtection="1">
      <alignment horizontal="left" vertical="center" wrapText="1"/>
      <protection locked="0"/>
    </xf>
    <xf numFmtId="0" fontId="108" fillId="6" borderId="0" xfId="10" applyFont="1" applyFill="1">
      <alignment vertical="center"/>
    </xf>
    <xf numFmtId="186" fontId="95" fillId="6" borderId="0" xfId="10" applyNumberFormat="1" applyFill="1" applyAlignment="1">
      <alignment horizontal="center" vertical="center" wrapText="1"/>
    </xf>
    <xf numFmtId="0" fontId="95" fillId="6" borderId="0" xfId="10" applyFill="1">
      <alignment vertical="center"/>
    </xf>
    <xf numFmtId="0" fontId="95" fillId="6" borderId="0" xfId="10" applyFill="1" applyAlignment="1">
      <alignment horizontal="center" vertical="center"/>
    </xf>
    <xf numFmtId="0" fontId="108" fillId="6" borderId="51" xfId="10" applyFont="1" applyFill="1" applyBorder="1">
      <alignment vertical="center"/>
    </xf>
    <xf numFmtId="186" fontId="96" fillId="6" borderId="19" xfId="10" applyNumberFormat="1" applyFont="1" applyFill="1" applyBorder="1" applyAlignment="1">
      <alignment horizontal="center" vertical="center" wrapText="1"/>
    </xf>
    <xf numFmtId="0" fontId="95" fillId="6" borderId="19" xfId="10" applyFill="1" applyBorder="1">
      <alignment vertical="center"/>
    </xf>
    <xf numFmtId="0" fontId="108" fillId="6" borderId="20" xfId="10" applyFont="1" applyFill="1" applyBorder="1">
      <alignment vertical="center"/>
    </xf>
    <xf numFmtId="0" fontId="108" fillId="6" borderId="21" xfId="10" applyFont="1" applyFill="1" applyBorder="1" applyAlignment="1">
      <alignment horizontal="center" vertical="center"/>
    </xf>
    <xf numFmtId="0" fontId="107" fillId="6" borderId="23" xfId="10" applyFont="1" applyFill="1" applyBorder="1" applyAlignment="1">
      <alignment horizontal="center" vertical="center" wrapText="1"/>
    </xf>
    <xf numFmtId="0" fontId="107" fillId="6" borderId="1" xfId="10" applyFont="1" applyFill="1" applyBorder="1" applyAlignment="1">
      <alignment horizontal="center" vertical="center" wrapText="1"/>
    </xf>
    <xf numFmtId="0" fontId="275" fillId="6" borderId="24" xfId="10" applyFont="1" applyFill="1" applyBorder="1" applyAlignment="1">
      <alignment horizontal="center" vertical="center" wrapText="1"/>
    </xf>
    <xf numFmtId="0" fontId="217" fillId="6" borderId="1" xfId="10" applyFont="1" applyFill="1" applyBorder="1" applyAlignment="1">
      <alignment horizontal="center" vertical="center" wrapText="1"/>
    </xf>
    <xf numFmtId="49" fontId="107" fillId="6" borderId="1" xfId="10" applyNumberFormat="1" applyFont="1" applyFill="1" applyBorder="1" applyAlignment="1">
      <alignment horizontal="center" vertical="center" wrapText="1"/>
    </xf>
    <xf numFmtId="0" fontId="107" fillId="5" borderId="1" xfId="10" applyFont="1" applyFill="1" applyBorder="1" applyAlignment="1" applyProtection="1">
      <alignment horizontal="center" vertical="center" wrapText="1"/>
      <protection locked="0"/>
    </xf>
    <xf numFmtId="10" fontId="99" fillId="6" borderId="1" xfId="10" applyNumberFormat="1" applyFont="1" applyFill="1" applyBorder="1" applyAlignment="1">
      <alignment horizontal="center" vertical="center" wrapText="1"/>
    </xf>
    <xf numFmtId="10" fontId="53" fillId="6" borderId="61" xfId="10" applyNumberFormat="1" applyFont="1" applyFill="1" applyBorder="1" applyAlignment="1">
      <alignment horizontal="center" vertical="center" wrapText="1"/>
    </xf>
    <xf numFmtId="182" fontId="51" fillId="6" borderId="1" xfId="10" applyNumberFormat="1" applyFont="1" applyFill="1" applyBorder="1" applyAlignment="1">
      <alignment horizontal="center" vertical="center" wrapText="1"/>
    </xf>
    <xf numFmtId="9" fontId="51" fillId="6" borderId="1" xfId="10" applyNumberFormat="1" applyFont="1" applyFill="1" applyBorder="1" applyAlignment="1">
      <alignment horizontal="center" vertical="center" wrapText="1"/>
    </xf>
    <xf numFmtId="0" fontId="275" fillId="7" borderId="0" xfId="10" applyFont="1" applyFill="1" applyAlignment="1">
      <alignment vertical="center" wrapText="1"/>
    </xf>
    <xf numFmtId="10" fontId="53" fillId="6" borderId="53" xfId="10" applyNumberFormat="1" applyFont="1" applyFill="1" applyBorder="1" applyAlignment="1">
      <alignment vertical="center" wrapText="1"/>
    </xf>
    <xf numFmtId="0" fontId="282" fillId="0" borderId="1" xfId="10" applyFont="1" applyBorder="1" applyAlignment="1" applyProtection="1">
      <alignment horizontal="center" vertical="center" wrapText="1"/>
      <protection locked="0"/>
    </xf>
    <xf numFmtId="0" fontId="282" fillId="0" borderId="13" xfId="10" applyFont="1" applyBorder="1" applyAlignment="1" applyProtection="1">
      <alignment horizontal="center" vertical="center" wrapText="1"/>
      <protection locked="0"/>
    </xf>
    <xf numFmtId="0" fontId="107" fillId="6" borderId="37" xfId="10" applyFont="1" applyFill="1" applyBorder="1" applyAlignment="1">
      <alignment horizontal="center" vertical="center" wrapText="1"/>
    </xf>
    <xf numFmtId="0" fontId="96" fillId="6" borderId="19" xfId="10" applyFont="1" applyFill="1" applyBorder="1" applyAlignment="1">
      <alignment horizontal="center" vertical="center" wrapText="1"/>
    </xf>
    <xf numFmtId="0" fontId="109" fillId="6" borderId="20" xfId="10" applyFont="1" applyFill="1" applyBorder="1">
      <alignment vertical="center"/>
    </xf>
    <xf numFmtId="0" fontId="109" fillId="6" borderId="21" xfId="10" applyFont="1" applyFill="1" applyBorder="1" applyAlignment="1">
      <alignment horizontal="center" vertical="center"/>
    </xf>
    <xf numFmtId="0" fontId="98" fillId="6" borderId="0" xfId="10" applyFont="1" applyFill="1">
      <alignment vertical="center"/>
    </xf>
    <xf numFmtId="0" fontId="99" fillId="6" borderId="1" xfId="10" applyFont="1" applyFill="1" applyBorder="1" applyAlignment="1">
      <alignment horizontal="center" vertical="center" wrapText="1"/>
    </xf>
    <xf numFmtId="0" fontId="53" fillId="6" borderId="24" xfId="10" applyFont="1" applyFill="1" applyBorder="1" applyAlignment="1">
      <alignment horizontal="center" vertical="center" wrapText="1"/>
    </xf>
    <xf numFmtId="0" fontId="44" fillId="6" borderId="1" xfId="10" applyFont="1" applyFill="1" applyBorder="1" applyAlignment="1">
      <alignment horizontal="center" vertical="center" wrapText="1"/>
    </xf>
    <xf numFmtId="0" fontId="107" fillId="6" borderId="13" xfId="10" applyFont="1" applyFill="1" applyBorder="1" applyAlignment="1">
      <alignment horizontal="center" vertical="center" wrapText="1"/>
    </xf>
    <xf numFmtId="10" fontId="53" fillId="6" borderId="53" xfId="10" applyNumberFormat="1" applyFont="1" applyFill="1" applyBorder="1" applyAlignment="1">
      <alignment horizontal="center" vertical="center" wrapText="1"/>
    </xf>
    <xf numFmtId="0" fontId="107" fillId="6" borderId="25" xfId="10" applyFont="1" applyFill="1" applyBorder="1" applyAlignment="1">
      <alignment horizontal="center" vertical="center" wrapText="1"/>
    </xf>
    <xf numFmtId="0" fontId="107" fillId="0" borderId="32" xfId="10" applyFont="1" applyBorder="1" applyAlignment="1" applyProtection="1">
      <alignment horizontal="center" vertical="center" wrapText="1"/>
      <protection locked="0"/>
    </xf>
    <xf numFmtId="10" fontId="53" fillId="6" borderId="76" xfId="10" applyNumberFormat="1" applyFont="1" applyFill="1" applyBorder="1" applyAlignment="1">
      <alignment horizontal="center" vertical="center" wrapText="1"/>
    </xf>
    <xf numFmtId="0" fontId="107" fillId="6" borderId="32" xfId="10" applyFont="1" applyFill="1" applyBorder="1" applyAlignment="1">
      <alignment horizontal="center" vertical="center" wrapText="1"/>
    </xf>
    <xf numFmtId="179" fontId="99" fillId="6" borderId="1" xfId="10" applyNumberFormat="1" applyFont="1" applyFill="1" applyBorder="1" applyAlignment="1">
      <alignment horizontal="center" vertical="center" wrapText="1"/>
    </xf>
    <xf numFmtId="0" fontId="95" fillId="0" borderId="0" xfId="10">
      <alignment vertical="center"/>
    </xf>
    <xf numFmtId="0" fontId="275" fillId="6" borderId="23" xfId="10" applyFont="1" applyFill="1" applyBorder="1" applyAlignment="1">
      <alignment horizontal="center" vertical="center" wrapText="1"/>
    </xf>
    <xf numFmtId="0" fontId="275" fillId="6" borderId="25" xfId="10" applyFont="1" applyFill="1" applyBorder="1" applyAlignment="1">
      <alignment horizontal="center" vertical="center" wrapText="1"/>
    </xf>
    <xf numFmtId="0" fontId="99" fillId="6" borderId="32" xfId="10" applyFont="1" applyFill="1" applyBorder="1" applyAlignment="1">
      <alignment horizontal="center" vertical="center" wrapText="1"/>
    </xf>
    <xf numFmtId="0" fontId="95" fillId="6" borderId="40" xfId="10" applyFill="1" applyBorder="1" applyAlignment="1">
      <alignment horizontal="right" vertical="center"/>
    </xf>
    <xf numFmtId="0" fontId="95" fillId="6" borderId="17" xfId="10" applyFill="1" applyBorder="1" applyAlignment="1">
      <alignment horizontal="center" vertical="center"/>
    </xf>
    <xf numFmtId="0" fontId="95" fillId="6" borderId="6" xfId="10" applyFill="1" applyBorder="1" applyAlignment="1">
      <alignment horizontal="center" vertical="center"/>
    </xf>
    <xf numFmtId="178" fontId="95" fillId="6" borderId="9" xfId="10" applyNumberFormat="1" applyFill="1" applyBorder="1" applyAlignment="1">
      <alignment horizontal="center" vertical="center"/>
    </xf>
    <xf numFmtId="178" fontId="95" fillId="6" borderId="28" xfId="10" applyNumberFormat="1" applyFill="1" applyBorder="1" applyAlignment="1">
      <alignment horizontal="center" vertical="center"/>
    </xf>
    <xf numFmtId="0" fontId="95" fillId="6" borderId="23" xfId="10" applyFill="1" applyBorder="1" applyAlignment="1">
      <alignment horizontal="center" vertical="center"/>
    </xf>
    <xf numFmtId="178" fontId="95" fillId="6" borderId="1" xfId="10" applyNumberFormat="1" applyFill="1" applyBorder="1" applyAlignment="1">
      <alignment horizontal="center" vertical="center"/>
    </xf>
    <xf numFmtId="178" fontId="95" fillId="6" borderId="5" xfId="10" applyNumberFormat="1" applyFill="1" applyBorder="1" applyAlignment="1">
      <alignment horizontal="center" vertical="center"/>
    </xf>
    <xf numFmtId="0" fontId="95" fillId="6" borderId="25" xfId="10" applyFill="1" applyBorder="1" applyAlignment="1">
      <alignment horizontal="center" vertical="center"/>
    </xf>
    <xf numFmtId="178" fontId="95" fillId="6" borderId="33" xfId="10" applyNumberForma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4" fillId="6" borderId="11" xfId="10" applyFont="1" applyFill="1" applyBorder="1" applyAlignment="1">
      <alignment horizontal="center" vertical="center" wrapText="1"/>
    </xf>
    <xf numFmtId="0" fontId="274" fillId="6" borderId="41" xfId="10" applyFont="1" applyFill="1" applyBorder="1" applyAlignment="1">
      <alignment horizontal="center" vertical="center" wrapText="1"/>
    </xf>
    <xf numFmtId="0" fontId="274" fillId="6" borderId="14" xfId="1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83" fillId="6" borderId="103" xfId="1" applyFont="1" applyFill="1" applyBorder="1" applyAlignment="1">
      <alignment horizontal="left" vertical="center" wrapText="1"/>
    </xf>
    <xf numFmtId="0" fontId="193" fillId="6" borderId="87" xfId="1" applyFont="1" applyFill="1" applyBorder="1" applyAlignment="1">
      <alignment horizontal="center" vertical="center" wrapText="1"/>
    </xf>
    <xf numFmtId="0" fontId="193" fillId="6" borderId="87" xfId="1" applyFont="1" applyFill="1" applyBorder="1" applyAlignment="1">
      <alignment vertical="center" wrapText="1"/>
    </xf>
    <xf numFmtId="14" fontId="112" fillId="6" borderId="87" xfId="1" applyNumberFormat="1" applyFont="1" applyFill="1" applyBorder="1" applyAlignment="1">
      <alignment vertical="center" wrapText="1"/>
    </xf>
    <xf numFmtId="0" fontId="107" fillId="6" borderId="87" xfId="1" applyFont="1" applyFill="1" applyBorder="1" applyAlignment="1">
      <alignment horizontal="center" vertical="center" wrapText="1"/>
    </xf>
    <xf numFmtId="0" fontId="107" fillId="6" borderId="0" xfId="1" applyFont="1" applyFill="1" applyAlignment="1">
      <alignment horizontal="center" vertical="center" wrapText="1"/>
    </xf>
    <xf numFmtId="0" fontId="107" fillId="0" borderId="0" xfId="1" applyFont="1" applyAlignment="1">
      <alignment horizontal="center" vertical="center" wrapText="1"/>
    </xf>
    <xf numFmtId="0" fontId="116" fillId="6" borderId="58" xfId="1" applyFont="1" applyFill="1" applyBorder="1" applyAlignment="1">
      <alignment horizontal="left" vertical="center" wrapText="1"/>
    </xf>
    <xf numFmtId="0" fontId="193" fillId="6" borderId="0" xfId="1" applyFont="1" applyFill="1" applyAlignment="1">
      <alignment horizontal="center" vertical="center" wrapText="1"/>
    </xf>
    <xf numFmtId="0" fontId="193" fillId="6" borderId="0" xfId="1" applyFont="1" applyFill="1" applyAlignment="1">
      <alignment vertical="center" wrapText="1"/>
    </xf>
    <xf numFmtId="0" fontId="112" fillId="6" borderId="42" xfId="1" applyFont="1" applyFill="1" applyBorder="1" applyAlignment="1">
      <alignment horizontal="center" vertical="center" wrapText="1"/>
    </xf>
    <xf numFmtId="0" fontId="112" fillId="6" borderId="47" xfId="1" applyFont="1" applyFill="1" applyBorder="1" applyAlignment="1">
      <alignment horizontal="center" vertical="center" wrapText="1"/>
    </xf>
    <xf numFmtId="0" fontId="112" fillId="6" borderId="43" xfId="1" applyFont="1" applyFill="1" applyBorder="1" applyAlignment="1">
      <alignment horizontal="center" vertical="center" wrapText="1"/>
    </xf>
    <xf numFmtId="0" fontId="107" fillId="6" borderId="0" xfId="1" applyFont="1" applyFill="1" applyAlignment="1">
      <alignment vertical="center" wrapText="1"/>
    </xf>
    <xf numFmtId="0" fontId="284" fillId="6" borderId="23" xfId="10" applyFont="1" applyFill="1" applyBorder="1" applyAlignment="1">
      <alignment horizontal="left" vertical="center"/>
    </xf>
    <xf numFmtId="0" fontId="125" fillId="6" borderId="24" xfId="10" applyFont="1" applyFill="1" applyBorder="1" applyAlignment="1">
      <alignment horizontal="center"/>
    </xf>
    <xf numFmtId="0" fontId="107" fillId="6" borderId="1" xfId="1" applyFont="1" applyFill="1" applyBorder="1" applyAlignment="1">
      <alignment horizontal="left" vertical="center" wrapText="1"/>
    </xf>
    <xf numFmtId="14" fontId="107" fillId="0" borderId="1" xfId="1" applyNumberFormat="1" applyFont="1" applyBorder="1" applyAlignment="1" applyProtection="1">
      <alignment horizontal="center" vertical="center" wrapText="1"/>
      <protection locked="0"/>
    </xf>
    <xf numFmtId="49" fontId="275" fillId="6" borderId="6" xfId="1" applyNumberFormat="1" applyFont="1" applyFill="1" applyBorder="1" applyAlignment="1">
      <alignment horizontal="center" vertical="center" wrapText="1"/>
    </xf>
    <xf numFmtId="49" fontId="275" fillId="6" borderId="9" xfId="1" applyNumberFormat="1" applyFont="1" applyFill="1" applyBorder="1" applyAlignment="1">
      <alignment horizontal="center" vertical="center" wrapText="1"/>
    </xf>
    <xf numFmtId="49" fontId="275" fillId="6" borderId="21" xfId="1" applyNumberFormat="1" applyFont="1" applyFill="1" applyBorder="1" applyAlignment="1">
      <alignment vertical="center" wrapText="1"/>
    </xf>
    <xf numFmtId="49" fontId="275" fillId="6" borderId="0" xfId="1" applyNumberFormat="1" applyFont="1" applyFill="1" applyAlignment="1">
      <alignment horizontal="center" vertical="center" wrapText="1"/>
    </xf>
    <xf numFmtId="49" fontId="275" fillId="6" borderId="0" xfId="1" applyNumberFormat="1" applyFont="1" applyFill="1" applyAlignment="1">
      <alignment vertical="center" wrapText="1"/>
    </xf>
    <xf numFmtId="49" fontId="284" fillId="6" borderId="23" xfId="10" applyNumberFormat="1" applyFont="1" applyFill="1" applyBorder="1" applyAlignment="1">
      <alignment horizontal="left" vertical="center"/>
    </xf>
    <xf numFmtId="0" fontId="58" fillId="6" borderId="24" xfId="10" applyFont="1" applyFill="1" applyBorder="1" applyAlignment="1">
      <alignment horizontal="center" vertical="center"/>
    </xf>
    <xf numFmtId="0" fontId="107" fillId="6" borderId="2" xfId="1" applyFont="1" applyFill="1" applyBorder="1" applyAlignment="1">
      <alignment horizontal="left" vertical="center" wrapText="1"/>
    </xf>
    <xf numFmtId="0" fontId="112" fillId="6" borderId="23" xfId="1" applyFont="1" applyFill="1" applyBorder="1" applyAlignment="1">
      <alignment horizontal="center" vertical="center" wrapText="1"/>
    </xf>
    <xf numFmtId="0" fontId="112" fillId="6" borderId="1" xfId="1" applyFont="1" applyFill="1" applyBorder="1" applyAlignment="1">
      <alignment horizontal="center" vertical="center" wrapText="1"/>
    </xf>
    <xf numFmtId="0" fontId="102" fillId="6" borderId="2" xfId="1" applyFont="1" applyFill="1" applyBorder="1" applyAlignment="1">
      <alignment horizontal="center" vertical="center" wrapText="1"/>
    </xf>
    <xf numFmtId="49" fontId="102" fillId="6" borderId="54" xfId="1" applyNumberFormat="1" applyFont="1" applyFill="1" applyBorder="1" applyAlignment="1">
      <alignment vertical="center" wrapText="1"/>
    </xf>
    <xf numFmtId="49" fontId="112" fillId="6" borderId="24" xfId="1" applyNumberFormat="1" applyFont="1" applyFill="1" applyBorder="1" applyAlignment="1">
      <alignment horizontal="center" vertical="center"/>
    </xf>
    <xf numFmtId="0" fontId="107" fillId="6" borderId="0" xfId="1" applyFont="1" applyFill="1" applyAlignment="1">
      <alignment horizontal="left" vertical="center" wrapText="1"/>
    </xf>
    <xf numFmtId="9" fontId="58" fillId="6" borderId="0" xfId="10" applyNumberFormat="1" applyFont="1" applyFill="1" applyAlignment="1">
      <alignment horizontal="center" vertical="center"/>
    </xf>
    <xf numFmtId="0" fontId="58" fillId="7" borderId="0" xfId="10" applyFont="1" applyFill="1">
      <alignment vertical="center"/>
    </xf>
    <xf numFmtId="0" fontId="193" fillId="6" borderId="58" xfId="1" applyFont="1" applyFill="1" applyBorder="1" applyAlignment="1">
      <alignment horizontal="left" vertical="center" wrapText="1"/>
    </xf>
    <xf numFmtId="0" fontId="107" fillId="6" borderId="23" xfId="1" applyFont="1" applyFill="1" applyBorder="1" applyAlignment="1">
      <alignment horizontal="center" vertical="center" wrapText="1"/>
    </xf>
    <xf numFmtId="0" fontId="99" fillId="6" borderId="1" xfId="1" applyFont="1" applyFill="1" applyBorder="1" applyAlignment="1">
      <alignment horizontal="center" vertical="center" wrapText="1"/>
    </xf>
    <xf numFmtId="49" fontId="99" fillId="6" borderId="54" xfId="1" applyNumberFormat="1" applyFont="1" applyFill="1" applyBorder="1" applyAlignment="1">
      <alignment vertical="center" wrapText="1"/>
    </xf>
    <xf numFmtId="49" fontId="107" fillId="6" borderId="24" xfId="1" applyNumberFormat="1" applyFont="1" applyFill="1" applyBorder="1" applyAlignment="1">
      <alignment horizontal="center" vertical="center"/>
    </xf>
    <xf numFmtId="0" fontId="284" fillId="6" borderId="1" xfId="10" applyFont="1" applyFill="1" applyBorder="1" applyAlignment="1">
      <alignment horizontal="left" vertical="center"/>
    </xf>
    <xf numFmtId="0" fontId="284" fillId="6" borderId="1" xfId="10" applyFont="1" applyFill="1" applyBorder="1" applyAlignment="1">
      <alignment horizontal="center" vertical="center"/>
    </xf>
    <xf numFmtId="0" fontId="285" fillId="0" borderId="1" xfId="1" applyFont="1" applyBorder="1" applyAlignment="1" applyProtection="1">
      <alignment horizontal="center" vertical="center" wrapText="1"/>
      <protection locked="0"/>
    </xf>
    <xf numFmtId="49" fontId="107" fillId="6" borderId="23" xfId="1" applyNumberFormat="1" applyFont="1" applyFill="1" applyBorder="1" applyAlignment="1">
      <alignment horizontal="center" vertical="center" wrapText="1"/>
    </xf>
    <xf numFmtId="0" fontId="107" fillId="6" borderId="24" xfId="1" applyFont="1" applyFill="1" applyBorder="1" applyAlignment="1">
      <alignment horizontal="center" vertical="center" wrapText="1"/>
    </xf>
    <xf numFmtId="0" fontId="286" fillId="6" borderId="0" xfId="1" applyFont="1" applyFill="1" applyAlignment="1">
      <alignment horizontal="left" vertical="center"/>
    </xf>
    <xf numFmtId="0" fontId="58" fillId="6" borderId="1" xfId="10" applyFont="1" applyFill="1" applyBorder="1" applyAlignment="1">
      <alignment horizontal="center" vertical="center"/>
    </xf>
    <xf numFmtId="9" fontId="125" fillId="6" borderId="1" xfId="1" applyNumberFormat="1" applyFont="1" applyFill="1" applyBorder="1" applyAlignment="1">
      <alignment horizontal="center" vertical="center" wrapText="1"/>
    </xf>
    <xf numFmtId="49" fontId="99" fillId="6" borderId="1" xfId="1" applyNumberFormat="1" applyFont="1" applyFill="1" applyBorder="1" applyAlignment="1">
      <alignment vertical="center" wrapText="1"/>
    </xf>
    <xf numFmtId="49" fontId="107" fillId="5" borderId="48" xfId="1" applyNumberFormat="1" applyFont="1" applyFill="1" applyBorder="1" applyAlignment="1" applyProtection="1">
      <alignment horizontal="center" vertical="center" wrapText="1"/>
      <protection locked="0"/>
    </xf>
    <xf numFmtId="49" fontId="107" fillId="6" borderId="0" xfId="1" applyNumberFormat="1" applyFont="1" applyFill="1" applyAlignment="1">
      <alignment horizontal="left" vertical="center"/>
    </xf>
    <xf numFmtId="0" fontId="285" fillId="6" borderId="1" xfId="1" applyFont="1" applyFill="1" applyBorder="1" applyAlignment="1">
      <alignment horizontal="center" vertical="center" wrapText="1"/>
    </xf>
    <xf numFmtId="0" fontId="107" fillId="6" borderId="41" xfId="1" applyFont="1" applyFill="1" applyBorder="1" applyAlignment="1">
      <alignment horizontal="center" vertical="center" wrapText="1"/>
    </xf>
    <xf numFmtId="0" fontId="99" fillId="6" borderId="2" xfId="1" applyFont="1" applyFill="1" applyBorder="1" applyAlignment="1">
      <alignment horizontal="center" vertical="center" wrapText="1"/>
    </xf>
    <xf numFmtId="181" fontId="53" fillId="0" borderId="1" xfId="1" applyNumberFormat="1" applyFont="1" applyBorder="1" applyAlignment="1" applyProtection="1">
      <alignment horizontal="center" vertical="center" wrapText="1"/>
      <protection locked="0"/>
    </xf>
    <xf numFmtId="49" fontId="275" fillId="6" borderId="24" xfId="1" applyNumberFormat="1" applyFont="1" applyFill="1" applyBorder="1" applyAlignment="1">
      <alignment horizontal="center" vertical="center" wrapText="1"/>
    </xf>
    <xf numFmtId="10" fontId="53" fillId="6" borderId="1" xfId="1" applyNumberFormat="1" applyFont="1" applyFill="1" applyBorder="1" applyAlignment="1">
      <alignment horizontal="center" vertical="center" wrapText="1"/>
    </xf>
    <xf numFmtId="0" fontId="107" fillId="6" borderId="56" xfId="1" applyFont="1" applyFill="1" applyBorder="1" applyAlignment="1">
      <alignment horizontal="center" vertical="center"/>
    </xf>
    <xf numFmtId="49" fontId="275" fillId="6" borderId="0" xfId="1" applyNumberFormat="1" applyFont="1" applyFill="1" applyAlignment="1">
      <alignment horizontal="left" vertical="center" wrapText="1"/>
    </xf>
    <xf numFmtId="0" fontId="285" fillId="6" borderId="0" xfId="1" applyFont="1" applyFill="1" applyAlignment="1">
      <alignment horizontal="center" vertical="center" wrapText="1"/>
    </xf>
    <xf numFmtId="0" fontId="275" fillId="5" borderId="1" xfId="1" applyFont="1" applyFill="1" applyBorder="1" applyAlignment="1" applyProtection="1">
      <alignment horizontal="center" vertical="center" wrapText="1"/>
      <protection locked="0"/>
    </xf>
    <xf numFmtId="0" fontId="107" fillId="6" borderId="91" xfId="1" applyFont="1" applyFill="1" applyBorder="1" applyAlignment="1">
      <alignment horizontal="center" vertical="center" wrapText="1"/>
    </xf>
    <xf numFmtId="0" fontId="107" fillId="6" borderId="78" xfId="1" applyFont="1" applyFill="1" applyBorder="1" applyAlignment="1">
      <alignment horizontal="left" vertical="center" wrapText="1"/>
    </xf>
    <xf numFmtId="0" fontId="99" fillId="6" borderId="78" xfId="1" applyFont="1" applyFill="1" applyBorder="1" applyAlignment="1">
      <alignment horizontal="center" vertical="center" wrapText="1"/>
    </xf>
    <xf numFmtId="10" fontId="53" fillId="0" borderId="78" xfId="1" applyNumberFormat="1" applyFont="1" applyBorder="1" applyAlignment="1" applyProtection="1">
      <alignment horizontal="center" vertical="center" wrapText="1"/>
      <protection locked="0"/>
    </xf>
    <xf numFmtId="0" fontId="275" fillId="6" borderId="79" xfId="1" applyFont="1" applyFill="1" applyBorder="1" applyAlignment="1">
      <alignment horizontal="center" vertical="center" wrapText="1"/>
    </xf>
    <xf numFmtId="49" fontId="275" fillId="6" borderId="0" xfId="1" applyNumberFormat="1" applyFont="1" applyFill="1" applyAlignment="1">
      <alignment horizontal="left" vertical="center"/>
    </xf>
    <xf numFmtId="0" fontId="275" fillId="6" borderId="0" xfId="1" applyFont="1" applyFill="1" applyAlignment="1">
      <alignment vertical="center" wrapText="1"/>
    </xf>
    <xf numFmtId="49" fontId="281" fillId="5" borderId="13" xfId="10" applyNumberFormat="1" applyFont="1" applyFill="1" applyBorder="1" applyAlignment="1" applyProtection="1">
      <alignment horizontal="center" vertical="center" wrapText="1"/>
      <protection locked="0"/>
    </xf>
    <xf numFmtId="0" fontId="112" fillId="6" borderId="41" xfId="1" applyFont="1" applyFill="1" applyBorder="1" applyAlignment="1">
      <alignment horizontal="center" vertical="center" wrapText="1"/>
    </xf>
    <xf numFmtId="0" fontId="112" fillId="6" borderId="2" xfId="1" applyFont="1" applyFill="1" applyBorder="1" applyAlignment="1">
      <alignment horizontal="left" vertical="center" wrapText="1"/>
    </xf>
    <xf numFmtId="49" fontId="102" fillId="6" borderId="60" xfId="1" applyNumberFormat="1" applyFont="1" applyFill="1" applyBorder="1" applyAlignment="1">
      <alignment horizontal="center" vertical="center" wrapText="1"/>
    </xf>
    <xf numFmtId="49" fontId="112" fillId="6" borderId="8" xfId="1" applyNumberFormat="1" applyFont="1" applyFill="1" applyBorder="1" applyAlignment="1">
      <alignment horizontal="center" vertical="center" wrapText="1"/>
    </xf>
    <xf numFmtId="177" fontId="217" fillId="2" borderId="1" xfId="1" applyNumberFormat="1" applyFont="1" applyFill="1" applyBorder="1" applyAlignment="1" applyProtection="1">
      <alignment horizontal="center" vertical="center"/>
      <protection locked="0"/>
    </xf>
    <xf numFmtId="49" fontId="99" fillId="6" borderId="54" xfId="1" applyNumberFormat="1" applyFont="1" applyFill="1" applyBorder="1" applyAlignment="1">
      <alignment horizontal="center" vertical="center" wrapText="1"/>
    </xf>
    <xf numFmtId="49" fontId="107" fillId="6" borderId="24" xfId="1" applyNumberFormat="1" applyFont="1" applyFill="1" applyBorder="1" applyAlignment="1">
      <alignment horizontal="center" vertical="center" wrapText="1"/>
    </xf>
    <xf numFmtId="177" fontId="281" fillId="5" borderId="1" xfId="1" applyNumberFormat="1" applyFont="1" applyFill="1" applyBorder="1" applyAlignment="1" applyProtection="1">
      <alignment horizontal="center" vertical="center"/>
      <protection locked="0"/>
    </xf>
    <xf numFmtId="183" fontId="281" fillId="0" borderId="1" xfId="10" applyNumberFormat="1" applyFont="1" applyBorder="1" applyAlignment="1" applyProtection="1">
      <alignment horizontal="center" vertical="center"/>
      <protection locked="0"/>
    </xf>
    <xf numFmtId="0" fontId="99" fillId="0" borderId="2" xfId="1" applyFont="1" applyBorder="1" applyAlignment="1" applyProtection="1">
      <alignment horizontal="center" vertical="center" wrapText="1"/>
      <protection locked="0"/>
    </xf>
    <xf numFmtId="0" fontId="53" fillId="6" borderId="1" xfId="1" applyFont="1" applyFill="1" applyBorder="1" applyAlignment="1">
      <alignment horizontal="center" vertical="center" wrapText="1"/>
    </xf>
    <xf numFmtId="179" fontId="277" fillId="6" borderId="1" xfId="1" applyNumberFormat="1" applyFont="1" applyFill="1" applyBorder="1" applyAlignment="1">
      <alignment horizontal="center" vertical="center"/>
    </xf>
    <xf numFmtId="10" fontId="53" fillId="0" borderId="1" xfId="1" applyNumberFormat="1" applyFont="1" applyBorder="1" applyAlignment="1" applyProtection="1">
      <alignment horizontal="center" vertical="center" wrapText="1"/>
      <protection locked="0"/>
    </xf>
    <xf numFmtId="0" fontId="275" fillId="6" borderId="24" xfId="1" applyFont="1" applyFill="1" applyBorder="1" applyAlignment="1">
      <alignment horizontal="center" vertical="center" wrapText="1"/>
    </xf>
    <xf numFmtId="10" fontId="277" fillId="6" borderId="1" xfId="1" applyNumberFormat="1" applyFont="1" applyFill="1" applyBorder="1" applyAlignment="1">
      <alignment horizontal="center" vertical="center" wrapText="1"/>
    </xf>
    <xf numFmtId="180" fontId="277" fillId="6" borderId="1" xfId="1" applyNumberFormat="1" applyFont="1" applyFill="1" applyBorder="1" applyAlignment="1">
      <alignment horizontal="center" vertical="center"/>
    </xf>
    <xf numFmtId="0" fontId="276" fillId="5" borderId="1" xfId="10" applyFont="1" applyFill="1" applyBorder="1" applyAlignment="1" applyProtection="1">
      <alignment horizontal="center" vertical="center"/>
      <protection locked="0"/>
    </xf>
    <xf numFmtId="0" fontId="147" fillId="5" borderId="1" xfId="10" applyFont="1" applyFill="1" applyBorder="1" applyAlignment="1" applyProtection="1">
      <alignment horizontal="center"/>
      <protection locked="0"/>
    </xf>
    <xf numFmtId="0" fontId="107" fillId="6" borderId="14" xfId="1" applyFont="1" applyFill="1" applyBorder="1" applyAlignment="1">
      <alignment horizontal="center" vertical="center" wrapText="1"/>
    </xf>
    <xf numFmtId="0" fontId="107" fillId="6" borderId="15" xfId="1" applyFont="1" applyFill="1" applyBorder="1" applyAlignment="1">
      <alignment horizontal="left" vertical="center" wrapText="1"/>
    </xf>
    <xf numFmtId="0" fontId="99" fillId="6" borderId="15" xfId="1" applyFont="1" applyFill="1" applyBorder="1" applyAlignment="1">
      <alignment horizontal="center" vertical="center" wrapText="1"/>
    </xf>
    <xf numFmtId="10" fontId="53" fillId="6" borderId="13" xfId="1" applyNumberFormat="1" applyFont="1" applyFill="1" applyBorder="1" applyAlignment="1">
      <alignment horizontal="center" vertical="center" wrapText="1"/>
    </xf>
    <xf numFmtId="0" fontId="107" fillId="6" borderId="0" xfId="1" applyFont="1" applyFill="1" applyAlignment="1">
      <alignment horizontal="left" vertical="center"/>
    </xf>
    <xf numFmtId="0" fontId="276" fillId="0" borderId="1" xfId="10" applyFont="1" applyBorder="1" applyAlignment="1" applyProtection="1">
      <alignment horizontal="center" vertical="center"/>
      <protection locked="0"/>
    </xf>
    <xf numFmtId="0" fontId="147" fillId="0" borderId="1" xfId="1" applyFont="1" applyBorder="1" applyAlignment="1" applyProtection="1">
      <alignment horizontal="center" vertical="center" wrapText="1"/>
      <protection locked="0"/>
    </xf>
    <xf numFmtId="49" fontId="54" fillId="6" borderId="2" xfId="1" applyNumberFormat="1" applyFont="1" applyFill="1" applyBorder="1" applyAlignment="1">
      <alignment horizontal="center" vertical="center" wrapText="1"/>
    </xf>
    <xf numFmtId="49" fontId="285" fillId="6" borderId="8" xfId="1" applyNumberFormat="1" applyFont="1" applyFill="1" applyBorder="1" applyAlignment="1">
      <alignment horizontal="center" vertical="center" wrapText="1"/>
    </xf>
    <xf numFmtId="0" fontId="275" fillId="6" borderId="0" xfId="1" applyFont="1" applyFill="1" applyAlignment="1">
      <alignment horizontal="left" vertical="center" wrapText="1"/>
    </xf>
    <xf numFmtId="49" fontId="53" fillId="6" borderId="1" xfId="1" applyNumberFormat="1" applyFont="1" applyFill="1" applyBorder="1" applyAlignment="1">
      <alignment horizontal="center" vertical="center" wrapText="1"/>
    </xf>
    <xf numFmtId="0" fontId="287" fillId="6" borderId="0" xfId="1" applyFont="1" applyFill="1" applyAlignment="1">
      <alignment horizontal="left" vertical="center" wrapText="1"/>
    </xf>
    <xf numFmtId="0" fontId="107" fillId="6" borderId="25" xfId="1" applyFont="1" applyFill="1" applyBorder="1" applyAlignment="1">
      <alignment horizontal="center" vertical="center" wrapText="1"/>
    </xf>
    <xf numFmtId="0" fontId="107" fillId="6" borderId="32" xfId="1" applyFont="1" applyFill="1" applyBorder="1" applyAlignment="1">
      <alignment horizontal="left" vertical="center" wrapText="1"/>
    </xf>
    <xf numFmtId="186" fontId="99" fillId="6" borderId="32" xfId="1" applyNumberFormat="1" applyFont="1" applyFill="1" applyBorder="1" applyAlignment="1">
      <alignment horizontal="center" vertical="center" wrapText="1"/>
    </xf>
    <xf numFmtId="49" fontId="53" fillId="6" borderId="32" xfId="1" applyNumberFormat="1" applyFont="1" applyFill="1" applyBorder="1" applyAlignment="1">
      <alignment horizontal="center" vertical="center" wrapText="1"/>
    </xf>
    <xf numFmtId="49" fontId="275" fillId="6" borderId="49" xfId="1" applyNumberFormat="1" applyFont="1" applyFill="1" applyBorder="1" applyAlignment="1">
      <alignment horizontal="center" vertical="center" wrapText="1"/>
    </xf>
    <xf numFmtId="0" fontId="112" fillId="6" borderId="63" xfId="1" applyFont="1" applyFill="1" applyBorder="1" applyAlignment="1">
      <alignment horizontal="center" vertical="center" wrapText="1"/>
    </xf>
    <xf numFmtId="0" fontId="112" fillId="6" borderId="64" xfId="1" applyFont="1" applyFill="1" applyBorder="1" applyAlignment="1">
      <alignment horizontal="center" vertical="center" wrapText="1"/>
    </xf>
    <xf numFmtId="0" fontId="112" fillId="6" borderId="65" xfId="1" applyFont="1" applyFill="1" applyBorder="1" applyAlignment="1">
      <alignment horizontal="center" vertical="center" wrapText="1"/>
    </xf>
    <xf numFmtId="0" fontId="275" fillId="6" borderId="6" xfId="1" applyFont="1" applyFill="1" applyBorder="1" applyAlignment="1">
      <alignment horizontal="center" vertical="center" wrapText="1"/>
    </xf>
    <xf numFmtId="0" fontId="275" fillId="6" borderId="9" xfId="1" applyFont="1" applyFill="1" applyBorder="1" applyAlignment="1">
      <alignment horizontal="center" vertical="center" wrapText="1"/>
    </xf>
    <xf numFmtId="49" fontId="275" fillId="6" borderId="10" xfId="1" applyNumberFormat="1" applyFont="1" applyFill="1" applyBorder="1" applyAlignment="1">
      <alignment horizontal="center" vertical="center" wrapText="1"/>
    </xf>
    <xf numFmtId="49" fontId="107" fillId="6" borderId="0" xfId="1" applyNumberFormat="1" applyFont="1" applyFill="1" applyAlignment="1">
      <alignment horizontal="left" vertical="center" wrapText="1"/>
    </xf>
    <xf numFmtId="9" fontId="99" fillId="6" borderId="1" xfId="1" applyNumberFormat="1" applyFont="1" applyFill="1" applyBorder="1" applyAlignment="1">
      <alignment horizontal="center" vertical="center" wrapText="1"/>
    </xf>
    <xf numFmtId="9" fontId="99" fillId="0" borderId="1" xfId="1" applyNumberFormat="1" applyFont="1" applyBorder="1" applyAlignment="1" applyProtection="1">
      <alignment horizontal="center" vertical="center" wrapText="1"/>
      <protection locked="0"/>
    </xf>
    <xf numFmtId="0" fontId="107" fillId="6" borderId="56" xfId="1" applyFont="1" applyFill="1" applyBorder="1" applyAlignment="1">
      <alignment horizontal="center" vertical="center" wrapText="1"/>
    </xf>
    <xf numFmtId="0" fontId="107" fillId="6" borderId="16" xfId="1" applyFont="1" applyFill="1" applyBorder="1" applyAlignment="1" applyProtection="1">
      <alignment horizontal="center" vertical="center" wrapText="1"/>
      <protection locked="0"/>
    </xf>
    <xf numFmtId="0" fontId="107" fillId="6" borderId="19" xfId="1" applyFont="1" applyFill="1" applyBorder="1" applyAlignment="1" applyProtection="1">
      <alignment horizontal="center" vertical="center" wrapText="1"/>
      <protection locked="0"/>
    </xf>
    <xf numFmtId="0" fontId="107" fillId="6" borderId="31" xfId="1" applyFont="1" applyFill="1" applyBorder="1" applyAlignment="1" applyProtection="1">
      <alignment horizontal="center" vertical="center" wrapText="1"/>
      <protection locked="0"/>
    </xf>
    <xf numFmtId="0" fontId="275" fillId="6" borderId="1" xfId="1" applyFont="1" applyFill="1" applyBorder="1" applyAlignment="1">
      <alignment horizontal="left" vertical="center" wrapText="1" shrinkToFit="1"/>
    </xf>
    <xf numFmtId="0" fontId="99" fillId="0" borderId="1" xfId="1" applyFont="1" applyBorder="1" applyAlignment="1" applyProtection="1">
      <alignment horizontal="center" vertical="center" wrapText="1"/>
      <protection locked="0"/>
    </xf>
    <xf numFmtId="0" fontId="248" fillId="6" borderId="18" xfId="1" applyFont="1" applyFill="1" applyBorder="1" applyAlignment="1">
      <alignment horizontal="left" vertical="center" wrapText="1"/>
    </xf>
    <xf numFmtId="0" fontId="107" fillId="6" borderId="0" xfId="1" applyFont="1" applyFill="1" applyAlignment="1">
      <alignment horizontal="center" vertical="center"/>
    </xf>
    <xf numFmtId="0" fontId="107" fillId="6" borderId="18" xfId="1" applyFont="1" applyFill="1" applyBorder="1" applyAlignment="1" applyProtection="1">
      <alignment horizontal="center" vertical="center" wrapText="1"/>
      <protection locked="0"/>
    </xf>
    <xf numFmtId="9" fontId="107" fillId="0" borderId="0" xfId="1" applyNumberFormat="1" applyFont="1" applyAlignment="1" applyProtection="1">
      <alignment horizontal="center" vertical="center" wrapText="1"/>
      <protection locked="0"/>
    </xf>
    <xf numFmtId="9" fontId="107" fillId="0" borderId="56" xfId="1" applyNumberFormat="1" applyFont="1" applyBorder="1" applyAlignment="1" applyProtection="1">
      <alignment horizontal="center" vertical="center" wrapText="1"/>
      <protection locked="0"/>
    </xf>
    <xf numFmtId="0" fontId="107" fillId="6" borderId="12" xfId="1" applyFont="1" applyFill="1" applyBorder="1" applyAlignment="1">
      <alignment horizontal="center" vertical="center" wrapText="1"/>
    </xf>
    <xf numFmtId="9" fontId="99" fillId="6" borderId="74" xfId="1" applyNumberFormat="1" applyFont="1" applyFill="1" applyBorder="1" applyAlignment="1">
      <alignment horizontal="center" vertical="center" wrapText="1"/>
    </xf>
    <xf numFmtId="0" fontId="107" fillId="6" borderId="42" xfId="1" applyFont="1" applyFill="1" applyBorder="1" applyAlignment="1" applyProtection="1">
      <alignment horizontal="center" vertical="center" wrapText="1"/>
      <protection locked="0"/>
    </xf>
    <xf numFmtId="9" fontId="107" fillId="6" borderId="47" xfId="1" applyNumberFormat="1" applyFont="1" applyFill="1" applyBorder="1" applyAlignment="1">
      <alignment horizontal="center" vertical="center" wrapText="1"/>
    </xf>
    <xf numFmtId="9" fontId="107" fillId="6" borderId="43" xfId="1" applyNumberFormat="1" applyFont="1" applyFill="1" applyBorder="1" applyAlignment="1">
      <alignment horizontal="center" vertical="center" wrapText="1"/>
    </xf>
    <xf numFmtId="0" fontId="107" fillId="6" borderId="9" xfId="1" applyFont="1" applyFill="1" applyBorder="1" applyAlignment="1">
      <alignment horizontal="left" vertical="center" wrapText="1"/>
    </xf>
    <xf numFmtId="0" fontId="99" fillId="6" borderId="9" xfId="1" applyFont="1" applyFill="1" applyBorder="1" applyAlignment="1">
      <alignment horizontal="center" vertical="center" wrapText="1"/>
    </xf>
    <xf numFmtId="49" fontId="275" fillId="6" borderId="28" xfId="1" applyNumberFormat="1" applyFont="1" applyFill="1" applyBorder="1" applyAlignment="1">
      <alignment horizontal="center" vertical="center" wrapText="1"/>
    </xf>
    <xf numFmtId="49" fontId="275" fillId="6" borderId="21" xfId="1" applyNumberFormat="1" applyFont="1" applyFill="1" applyBorder="1" applyAlignment="1">
      <alignment horizontal="center" vertical="center" wrapText="1"/>
    </xf>
    <xf numFmtId="0" fontId="99" fillId="6" borderId="32" xfId="1" applyFont="1" applyFill="1" applyBorder="1" applyAlignment="1">
      <alignment horizontal="center" vertical="center" wrapText="1"/>
    </xf>
    <xf numFmtId="49" fontId="275" fillId="6" borderId="33" xfId="1" applyNumberFormat="1" applyFont="1" applyFill="1" applyBorder="1" applyAlignment="1">
      <alignment horizontal="center" vertical="center" wrapText="1"/>
    </xf>
    <xf numFmtId="49" fontId="275" fillId="6" borderId="68" xfId="1" applyNumberFormat="1" applyFont="1" applyFill="1" applyBorder="1" applyAlignment="1">
      <alignment horizontal="center" vertical="center" wrapText="1"/>
    </xf>
    <xf numFmtId="0" fontId="287" fillId="0" borderId="0" xfId="1" applyFont="1" applyAlignment="1">
      <alignment horizontal="left" vertical="center" wrapText="1"/>
    </xf>
    <xf numFmtId="0" fontId="289" fillId="0" borderId="0" xfId="1" applyFont="1" applyAlignment="1">
      <alignment horizontal="left" vertical="center" wrapText="1"/>
    </xf>
    <xf numFmtId="0" fontId="289" fillId="0" borderId="0" xfId="1" applyFont="1" applyAlignment="1">
      <alignment horizontal="left" vertical="center"/>
    </xf>
    <xf numFmtId="0" fontId="80" fillId="0" borderId="1" xfId="1" applyFont="1" applyBorder="1" applyAlignment="1">
      <alignment horizontal="center" vertical="center"/>
    </xf>
    <xf numFmtId="0" fontId="289" fillId="0" borderId="58" xfId="1" applyFont="1" applyBorder="1" applyAlignment="1">
      <alignment horizontal="left" vertical="center"/>
    </xf>
    <xf numFmtId="0" fontId="12" fillId="0" borderId="1" xfId="1" applyFont="1" applyBorder="1" applyAlignment="1">
      <alignment horizontal="left" vertical="center"/>
    </xf>
    <xf numFmtId="0" fontId="19" fillId="0" borderId="1" xfId="1" applyFont="1" applyBorder="1" applyAlignment="1">
      <alignment horizontal="center" vertical="center"/>
    </xf>
    <xf numFmtId="0" fontId="13" fillId="0" borderId="1" xfId="1" applyFont="1" applyBorder="1" applyAlignment="1">
      <alignment horizontal="left" vertical="center"/>
    </xf>
    <xf numFmtId="0" fontId="13" fillId="0" borderId="0" xfId="1" applyFont="1" applyAlignment="1">
      <alignment horizontal="left" vertical="center"/>
    </xf>
    <xf numFmtId="0" fontId="19" fillId="0" borderId="0" xfId="1" applyFont="1" applyAlignment="1">
      <alignment horizontal="center" vertical="center"/>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0" fontId="19" fillId="23" borderId="1" xfId="0" applyFont="1" applyFill="1" applyBorder="1" applyAlignment="1"/>
    <xf numFmtId="49" fontId="19" fillId="23" borderId="1" xfId="0" applyNumberFormat="1" applyFont="1" applyFill="1" applyBorder="1" applyAlignment="1">
      <alignment horizontal="left"/>
    </xf>
    <xf numFmtId="0" fontId="19" fillId="23" borderId="1" xfId="0" applyFont="1" applyFill="1" applyBorder="1" applyAlignment="1">
      <alignment horizontal="left"/>
    </xf>
    <xf numFmtId="9" fontId="19" fillId="23" borderId="1" xfId="0" applyNumberFormat="1" applyFont="1" applyFill="1" applyBorder="1" applyAlignment="1">
      <alignment horizontal="left"/>
    </xf>
    <xf numFmtId="49" fontId="77" fillId="23" borderId="1" xfId="0" applyNumberFormat="1" applyFont="1" applyFill="1" applyBorder="1" applyAlignment="1"/>
    <xf numFmtId="0" fontId="77" fillId="23" borderId="1" xfId="0" applyFont="1" applyFill="1" applyBorder="1" applyAlignment="1"/>
    <xf numFmtId="0" fontId="77" fillId="23" borderId="1" xfId="0" applyFont="1" applyFill="1" applyBorder="1" applyAlignment="1">
      <alignment horizontal="left"/>
    </xf>
    <xf numFmtId="49" fontId="19" fillId="23" borderId="1" xfId="0" applyNumberFormat="1" applyFont="1" applyFill="1" applyBorder="1" applyAlignment="1"/>
    <xf numFmtId="0" fontId="80" fillId="22" borderId="1" xfId="0" applyFont="1" applyFill="1" applyBorder="1" applyAlignment="1" applyProtection="1">
      <protection locked="0"/>
    </xf>
    <xf numFmtId="0" fontId="80" fillId="22" borderId="5" xfId="0" applyFont="1" applyFill="1" applyBorder="1" applyAlignment="1" applyProtection="1">
      <alignment horizontal="center"/>
      <protection locked="0"/>
    </xf>
    <xf numFmtId="0" fontId="80" fillId="22" borderId="54" xfId="0" applyFont="1" applyFill="1" applyBorder="1" applyAlignment="1" applyProtection="1">
      <alignment horizontal="center"/>
      <protection locked="0"/>
    </xf>
    <xf numFmtId="0" fontId="80" fillId="22" borderId="3" xfId="0" applyFont="1" applyFill="1" applyBorder="1" applyAlignment="1" applyProtection="1">
      <alignment horizontal="center"/>
      <protection locked="0"/>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0" fontId="80" fillId="22" borderId="13" xfId="0" applyFont="1" applyFill="1" applyBorder="1" applyAlignment="1"/>
    <xf numFmtId="183" fontId="44" fillId="0" borderId="70" xfId="0" applyNumberFormat="1" applyFont="1" applyFill="1" applyBorder="1" applyAlignment="1" applyProtection="1">
      <alignment horizontal="center" vertical="center" wrapText="1"/>
      <protection locked="0"/>
    </xf>
    <xf numFmtId="49" fontId="208" fillId="0" borderId="3" xfId="0" applyNumberFormat="1"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185" fontId="44" fillId="6" borderId="24" xfId="0" applyNumberFormat="1" applyFont="1" applyFill="1" applyBorder="1" applyAlignment="1">
      <alignment horizontal="center" vertical="center" wrapText="1"/>
    </xf>
    <xf numFmtId="185" fontId="44" fillId="6" borderId="5" xfId="0" applyNumberFormat="1" applyFont="1" applyFill="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21</xdr:row>
      <xdr:rowOff>133350</xdr:rowOff>
    </xdr:from>
    <xdr:to>
      <xdr:col>6</xdr:col>
      <xdr:colOff>419100</xdr:colOff>
      <xdr:row>31</xdr:row>
      <xdr:rowOff>180975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4575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 Id="rId1" Type="http://schemas.openxmlformats.org/officeDocument/2006/relationships/externalLinkPath" Target="&#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row r="1">
          <cell r="X1" t="str">
            <v>结构</v>
          </cell>
        </row>
        <row r="2">
          <cell r="X2" t="str">
            <v>钢</v>
          </cell>
        </row>
        <row r="3">
          <cell r="X3" t="str">
            <v>钢混</v>
          </cell>
        </row>
        <row r="4">
          <cell r="X4" t="str">
            <v>砖混</v>
          </cell>
        </row>
        <row r="5">
          <cell r="X5" t="str">
            <v>砖木（一等）</v>
          </cell>
        </row>
        <row r="6">
          <cell r="X6" t="str">
            <v>砖木（二等）</v>
          </cell>
        </row>
        <row r="7">
          <cell r="X7" t="str">
            <v>砖木（三等）</v>
          </cell>
        </row>
        <row r="8">
          <cell r="X8" t="str">
            <v>简易</v>
          </cell>
        </row>
      </sheetData>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xml:space="preserve"> 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 xml:space="preserve"> 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5.8499999999999996E-2</v>
          </cell>
        </row>
        <row r="2">
          <cell r="G2">
            <v>0.03</v>
          </cell>
        </row>
      </sheetData>
      <sheetData sheetId="18">
        <row r="3">
          <cell r="B3" t="str">
            <v>综合</v>
          </cell>
          <cell r="C3" t="str">
            <v>商业</v>
          </cell>
          <cell r="D3" t="str">
            <v>办公/综合</v>
          </cell>
          <cell r="E3" t="str">
            <v>住宅/居住</v>
          </cell>
          <cell r="F3" t="str">
            <v>工业</v>
          </cell>
        </row>
        <row r="4">
          <cell r="A4" t="str">
            <v>本行不参与计算</v>
          </cell>
        </row>
        <row r="6">
          <cell r="A6" t="str">
            <v>2022-1</v>
          </cell>
        </row>
        <row r="7">
          <cell r="A7" t="str">
            <v>2021-4</v>
          </cell>
        </row>
        <row r="8">
          <cell r="A8" t="str">
            <v>2021-3</v>
          </cell>
        </row>
        <row r="9">
          <cell r="A9" t="str">
            <v>2021-2</v>
          </cell>
        </row>
        <row r="10">
          <cell r="A10" t="str">
            <v>2021-1</v>
          </cell>
        </row>
        <row r="11">
          <cell r="A11" t="str">
            <v>2020-4</v>
          </cell>
        </row>
        <row r="12">
          <cell r="A12" t="str">
            <v>2020-3</v>
          </cell>
        </row>
        <row r="13">
          <cell r="A13" t="str">
            <v>2020-2</v>
          </cell>
        </row>
        <row r="14">
          <cell r="A14" t="str">
            <v>2020-1</v>
          </cell>
        </row>
        <row r="15">
          <cell r="A15" t="str">
            <v>2019-4</v>
          </cell>
        </row>
        <row r="16">
          <cell r="A16" t="str">
            <v>2019-3</v>
          </cell>
        </row>
        <row r="17">
          <cell r="A17" t="str">
            <v>2019-2</v>
          </cell>
        </row>
        <row r="18">
          <cell r="A18" t="str">
            <v>2019-1</v>
          </cell>
        </row>
        <row r="19">
          <cell r="A19" t="str">
            <v>2018-4</v>
          </cell>
        </row>
        <row r="20">
          <cell r="A20" t="str">
            <v>2018-3</v>
          </cell>
        </row>
        <row r="21">
          <cell r="A21" t="str">
            <v>2018-2</v>
          </cell>
        </row>
        <row r="22">
          <cell r="A22" t="str">
            <v>2018-1</v>
          </cell>
        </row>
        <row r="23">
          <cell r="A23" t="str">
            <v>2017-4</v>
          </cell>
        </row>
        <row r="24">
          <cell r="A24" t="str">
            <v>2017-3</v>
          </cell>
        </row>
        <row r="25">
          <cell r="A25" t="str">
            <v>2017-2</v>
          </cell>
        </row>
        <row r="26">
          <cell r="A26" t="str">
            <v>2017-1</v>
          </cell>
        </row>
        <row r="27">
          <cell r="A27" t="str">
            <v>2016-4</v>
          </cell>
        </row>
        <row r="28">
          <cell r="A28" t="str">
            <v>2016-3</v>
          </cell>
        </row>
        <row r="29">
          <cell r="A29" t="str">
            <v>2016-2</v>
          </cell>
        </row>
        <row r="30">
          <cell r="A30" t="str">
            <v>2016-1</v>
          </cell>
        </row>
        <row r="31">
          <cell r="A31" t="str">
            <v>2015-4</v>
          </cell>
        </row>
        <row r="32">
          <cell r="A32" t="str">
            <v>2015-3</v>
          </cell>
        </row>
        <row r="33">
          <cell r="A33" t="str">
            <v>2015-2</v>
          </cell>
        </row>
        <row r="34">
          <cell r="A34" t="str">
            <v>2015-1</v>
          </cell>
        </row>
        <row r="35">
          <cell r="A35" t="str">
            <v>2014-4</v>
          </cell>
        </row>
        <row r="36">
          <cell r="A36" t="str">
            <v>2014-3</v>
          </cell>
          <cell r="B36">
            <v>317.33359944117353</v>
          </cell>
          <cell r="C36">
            <v>266.90568668459315</v>
          </cell>
          <cell r="D36">
            <v>266.90568668459315</v>
          </cell>
          <cell r="E36">
            <v>436.47622852576905</v>
          </cell>
          <cell r="F36">
            <v>234.90930716622066</v>
          </cell>
        </row>
        <row r="37">
          <cell r="A37" t="str">
            <v>2014-2</v>
          </cell>
          <cell r="B37">
            <v>314.72141172386546</v>
          </cell>
          <cell r="C37">
            <v>263.03901319069001</v>
          </cell>
          <cell r="D37">
            <v>263.03901319069001</v>
          </cell>
          <cell r="E37">
            <v>433.65745506782821</v>
          </cell>
          <cell r="F37">
            <v>233.23005080045735</v>
          </cell>
        </row>
        <row r="38">
          <cell r="A38" t="str">
            <v>2014-1</v>
          </cell>
          <cell r="B38">
            <v>307.34512863658733</v>
          </cell>
          <cell r="C38">
            <v>257.80556031626975</v>
          </cell>
          <cell r="D38">
            <v>257.80556031626975</v>
          </cell>
          <cell r="E38">
            <v>422.70928459677179</v>
          </cell>
          <cell r="F38">
            <v>229.73803270336617</v>
          </cell>
        </row>
        <row r="39">
          <cell r="A39" t="str">
            <v>2013-4</v>
          </cell>
          <cell r="B39">
            <v>299</v>
          </cell>
          <cell r="C39">
            <v>252</v>
          </cell>
          <cell r="D39">
            <v>252</v>
          </cell>
          <cell r="E39">
            <v>409</v>
          </cell>
          <cell r="F39">
            <v>227</v>
          </cell>
        </row>
        <row r="40">
          <cell r="A40" t="str">
            <v>2013-3</v>
          </cell>
          <cell r="B40">
            <v>293.62663262299913</v>
          </cell>
          <cell r="C40">
            <v>247.83634933123525</v>
          </cell>
          <cell r="D40">
            <v>247.83634933123525</v>
          </cell>
          <cell r="E40">
            <v>401.09836226341076</v>
          </cell>
          <cell r="F40">
            <v>225.04213343908003</v>
          </cell>
        </row>
        <row r="41">
          <cell r="A41" t="str">
            <v>2013-2</v>
          </cell>
          <cell r="B41">
            <v>288.2649053828776</v>
          </cell>
          <cell r="C41">
            <v>243.64564425013293</v>
          </cell>
          <cell r="D41">
            <v>243.64564425013293</v>
          </cell>
          <cell r="E41">
            <v>393.31080825986544</v>
          </cell>
          <cell r="F41">
            <v>223.07903790551154</v>
          </cell>
        </row>
        <row r="42">
          <cell r="A42" t="str">
            <v>2013-1</v>
          </cell>
          <cell r="B42">
            <v>282.50186729015837</v>
          </cell>
          <cell r="C42">
            <v>238.09796174155468</v>
          </cell>
          <cell r="D42">
            <v>238.09796174155468</v>
          </cell>
          <cell r="E42">
            <v>385.33438646014054</v>
          </cell>
          <cell r="F42">
            <v>221.55034055567739</v>
          </cell>
        </row>
        <row r="43">
          <cell r="A43" t="str">
            <v>2012-4</v>
          </cell>
          <cell r="B43">
            <v>278</v>
          </cell>
          <cell r="C43">
            <v>234</v>
          </cell>
          <cell r="D43">
            <v>234</v>
          </cell>
          <cell r="E43">
            <v>379</v>
          </cell>
          <cell r="F43">
            <v>220</v>
          </cell>
        </row>
        <row r="44">
          <cell r="A44" t="str">
            <v>2012-3</v>
          </cell>
          <cell r="B44">
            <v>275.49301357645425</v>
          </cell>
          <cell r="C44">
            <v>232.41954707985698</v>
          </cell>
          <cell r="D44">
            <v>232.41954707985698</v>
          </cell>
          <cell r="E44">
            <v>375.32184591008121</v>
          </cell>
          <cell r="F44">
            <v>218.03766105054513</v>
          </cell>
        </row>
        <row r="45">
          <cell r="A45" t="str">
            <v>2012-2</v>
          </cell>
          <cell r="B45">
            <v>275.24529281292263</v>
          </cell>
          <cell r="C45">
            <v>231.74747938962707</v>
          </cell>
          <cell r="D45">
            <v>231.74747938962707</v>
          </cell>
          <cell r="E45">
            <v>375.35938184826603</v>
          </cell>
          <cell r="F45">
            <v>216.78033510692495</v>
          </cell>
        </row>
        <row r="46">
          <cell r="A46" t="str">
            <v>2012-1</v>
          </cell>
          <cell r="B46">
            <v>275.19025476197027</v>
          </cell>
          <cell r="C46">
            <v>232</v>
          </cell>
          <cell r="D46">
            <v>232</v>
          </cell>
          <cell r="E46">
            <v>375.65990977608692</v>
          </cell>
          <cell r="F46">
            <v>214.12518283971252</v>
          </cell>
        </row>
        <row r="47">
          <cell r="A47" t="str">
            <v>2011-4</v>
          </cell>
          <cell r="B47">
            <v>275</v>
          </cell>
          <cell r="C47">
            <v>232</v>
          </cell>
          <cell r="D47">
            <v>232</v>
          </cell>
          <cell r="E47">
            <v>376</v>
          </cell>
          <cell r="F47">
            <v>213</v>
          </cell>
        </row>
        <row r="48">
          <cell r="A48" t="str">
            <v>2011-3</v>
          </cell>
          <cell r="B48">
            <v>275.55110220440883</v>
          </cell>
          <cell r="C48">
            <v>231.90723710515795</v>
          </cell>
          <cell r="D48">
            <v>231.90723710515795</v>
          </cell>
          <cell r="E48">
            <v>377.28276138872161</v>
          </cell>
          <cell r="F48">
            <v>212.02468644236512</v>
          </cell>
        </row>
        <row r="49">
          <cell r="A49" t="str">
            <v>2011-2</v>
          </cell>
          <cell r="B49">
            <v>275.19335084830601</v>
          </cell>
          <cell r="C49">
            <v>230.18088050139744</v>
          </cell>
          <cell r="D49">
            <v>230.18088050139744</v>
          </cell>
          <cell r="E49">
            <v>377.58482925212331</v>
          </cell>
          <cell r="F49">
            <v>210.90687997847917</v>
          </cell>
        </row>
        <row r="50">
          <cell r="A50" t="str">
            <v>2011-1</v>
          </cell>
          <cell r="B50">
            <v>276.29854502841971</v>
          </cell>
          <cell r="C50">
            <v>229.79023709833027</v>
          </cell>
          <cell r="D50">
            <v>229.79023709833027</v>
          </cell>
          <cell r="E50">
            <v>379.78759731655936</v>
          </cell>
          <cell r="F50">
            <v>211.32953905659235</v>
          </cell>
        </row>
        <row r="51">
          <cell r="A51" t="str">
            <v>2010-4</v>
          </cell>
          <cell r="B51">
            <v>269</v>
          </cell>
          <cell r="C51">
            <v>221</v>
          </cell>
          <cell r="D51">
            <v>221</v>
          </cell>
          <cell r="E51">
            <v>373</v>
          </cell>
          <cell r="F51">
            <v>196</v>
          </cell>
        </row>
        <row r="52">
          <cell r="A52" t="str">
            <v>2010-3</v>
          </cell>
          <cell r="B52">
            <v>254.44570563753314</v>
          </cell>
          <cell r="C52">
            <v>207.37543398705074</v>
          </cell>
          <cell r="D52">
            <v>207.37543398705074</v>
          </cell>
          <cell r="E52">
            <v>352.81876655315932</v>
          </cell>
          <cell r="F52">
            <v>190.809968847352</v>
          </cell>
        </row>
        <row r="53">
          <cell r="A53" t="str">
            <v>2010-2</v>
          </cell>
          <cell r="B53">
            <v>242.95398227588385</v>
          </cell>
          <cell r="C53">
            <v>199.59137053614126</v>
          </cell>
          <cell r="D53">
            <v>199.59137053614126</v>
          </cell>
          <cell r="E53">
            <v>335.92189522342125</v>
          </cell>
          <cell r="F53">
            <v>183.10139991109489</v>
          </cell>
        </row>
        <row r="54">
          <cell r="A54" t="str">
            <v>2010-1</v>
          </cell>
          <cell r="B54">
            <v>232.06990378821649</v>
          </cell>
          <cell r="C54">
            <v>192.74878854286936</v>
          </cell>
          <cell r="D54">
            <v>192.74878854286936</v>
          </cell>
          <cell r="E54">
            <v>319.71247284992984</v>
          </cell>
          <cell r="F54">
            <v>175.67053622862409</v>
          </cell>
        </row>
        <row r="55">
          <cell r="A55" t="str">
            <v>2009-4</v>
          </cell>
          <cell r="B55">
            <v>220</v>
          </cell>
          <cell r="C55">
            <v>187</v>
          </cell>
          <cell r="D55">
            <v>187</v>
          </cell>
          <cell r="E55">
            <v>301</v>
          </cell>
          <cell r="F55">
            <v>168</v>
          </cell>
        </row>
        <row r="56">
          <cell r="A56" t="str">
            <v>2009-3</v>
          </cell>
          <cell r="B56">
            <v>215.05376344086022</v>
          </cell>
          <cell r="C56">
            <v>185.0752177355503</v>
          </cell>
          <cell r="D56">
            <v>185.0752177355503</v>
          </cell>
          <cell r="E56">
            <v>292.68767016725008</v>
          </cell>
          <cell r="F56">
            <v>166.88189132810174</v>
          </cell>
        </row>
        <row r="57">
          <cell r="A57" t="str">
            <v>2009-2</v>
          </cell>
          <cell r="B57">
            <v>210.630522469011</v>
          </cell>
          <cell r="C57">
            <v>181.69567812247232</v>
          </cell>
          <cell r="D57">
            <v>181.69567812247232</v>
          </cell>
          <cell r="E57">
            <v>286.13517466736738</v>
          </cell>
          <cell r="F57">
            <v>165.47535084591149</v>
          </cell>
        </row>
        <row r="58">
          <cell r="A58" t="str">
            <v>2009-1</v>
          </cell>
          <cell r="B58">
            <v>208.83454537875372</v>
          </cell>
          <cell r="C58">
            <v>183.77230517090351</v>
          </cell>
          <cell r="D58">
            <v>183.77230517090351</v>
          </cell>
          <cell r="E58">
            <v>281.10342338870947</v>
          </cell>
          <cell r="F58">
            <v>168.97309388942256</v>
          </cell>
        </row>
        <row r="59">
          <cell r="A59" t="str">
            <v>2008-4</v>
          </cell>
          <cell r="B59">
            <v>214</v>
          </cell>
          <cell r="C59">
            <v>188</v>
          </cell>
          <cell r="D59">
            <v>188</v>
          </cell>
          <cell r="E59">
            <v>289</v>
          </cell>
          <cell r="F59">
            <v>166</v>
          </cell>
        </row>
        <row r="60">
          <cell r="A60" t="str">
            <v>2008-3</v>
          </cell>
          <cell r="B60">
            <v>210.36075887152265</v>
          </cell>
          <cell r="C60">
            <v>187.94361691492554</v>
          </cell>
          <cell r="D60">
            <v>187.94361691492554</v>
          </cell>
          <cell r="E60">
            <v>281.70386977288234</v>
          </cell>
          <cell r="F60">
            <v>168.80211511083994</v>
          </cell>
        </row>
        <row r="61">
          <cell r="A61" t="str">
            <v>2008-2</v>
          </cell>
          <cell r="B61">
            <v>206.31694671589116</v>
          </cell>
          <cell r="C61">
            <v>183.61041121036101</v>
          </cell>
          <cell r="D61">
            <v>183.61041121036101</v>
          </cell>
          <cell r="E61">
            <v>276.66850301795557</v>
          </cell>
          <cell r="F61">
            <v>165.1360938278614</v>
          </cell>
        </row>
        <row r="62">
          <cell r="A62" t="str">
            <v>2008-1</v>
          </cell>
          <cell r="B62">
            <v>196.62341248059772</v>
          </cell>
          <cell r="C62">
            <v>170.99125648199012</v>
          </cell>
          <cell r="D62">
            <v>170.99125648199012</v>
          </cell>
          <cell r="E62">
            <v>266.07857570490052</v>
          </cell>
          <cell r="F62">
            <v>154.53499328828505</v>
          </cell>
        </row>
        <row r="63">
          <cell r="A63" t="str">
            <v>2007-4</v>
          </cell>
          <cell r="B63">
            <v>188</v>
          </cell>
          <cell r="C63">
            <v>165</v>
          </cell>
          <cell r="D63">
            <v>165</v>
          </cell>
          <cell r="E63">
            <v>254</v>
          </cell>
          <cell r="F63">
            <v>148</v>
          </cell>
        </row>
        <row r="64">
          <cell r="A64" t="str">
            <v>2007-3</v>
          </cell>
          <cell r="B64">
            <v>180.5366651097618</v>
          </cell>
          <cell r="C64">
            <v>158.60435967302453</v>
          </cell>
          <cell r="D64">
            <v>158.60435967302453</v>
          </cell>
          <cell r="E64">
            <v>239.25573260785075</v>
          </cell>
          <cell r="F64">
            <v>141.38899430740037</v>
          </cell>
        </row>
        <row r="65">
          <cell r="A65" t="str">
            <v>2007-2</v>
          </cell>
          <cell r="B65">
            <v>168.82017748715555</v>
          </cell>
          <cell r="C65">
            <v>148.06267029972753</v>
          </cell>
          <cell r="D65">
            <v>148.06267029972753</v>
          </cell>
          <cell r="E65">
            <v>216.46288379323747</v>
          </cell>
          <cell r="F65">
            <v>134.23529411764704</v>
          </cell>
        </row>
        <row r="66">
          <cell r="A66" t="str">
            <v>2007-1</v>
          </cell>
          <cell r="B66">
            <v>163.84913591779542</v>
          </cell>
          <cell r="C66">
            <v>145.0283378746594</v>
          </cell>
          <cell r="D66">
            <v>145.0283378746594</v>
          </cell>
          <cell r="E66">
            <v>204.95180722891567</v>
          </cell>
          <cell r="F66">
            <v>125.95920303605313</v>
          </cell>
        </row>
        <row r="67">
          <cell r="A67" t="str">
            <v>2006-4</v>
          </cell>
          <cell r="B67">
            <v>159</v>
          </cell>
          <cell r="C67">
            <v>141</v>
          </cell>
          <cell r="D67">
            <v>141</v>
          </cell>
          <cell r="E67">
            <v>195</v>
          </cell>
          <cell r="F67">
            <v>122</v>
          </cell>
        </row>
        <row r="68">
          <cell r="A68" t="str">
            <v>2006-3</v>
          </cell>
          <cell r="B68">
            <v>149.00125628140702</v>
          </cell>
          <cell r="C68">
            <v>137.95592286501378</v>
          </cell>
          <cell r="D68">
            <v>137.95592286501378</v>
          </cell>
          <cell r="E68">
            <v>169.97231450719823</v>
          </cell>
          <cell r="F68">
            <v>116.21390374331551</v>
          </cell>
        </row>
        <row r="69">
          <cell r="A69" t="str">
            <v>2006-2</v>
          </cell>
          <cell r="B69">
            <v>146.57412060301507</v>
          </cell>
          <cell r="C69">
            <v>136.46831955922866</v>
          </cell>
          <cell r="D69">
            <v>136.46831955922866</v>
          </cell>
          <cell r="E69">
            <v>166.73864894795128</v>
          </cell>
          <cell r="F69">
            <v>115.05882352941177</v>
          </cell>
        </row>
        <row r="70">
          <cell r="A70" t="str">
            <v>2006-1</v>
          </cell>
          <cell r="B70">
            <v>144.04145728643215</v>
          </cell>
          <cell r="C70">
            <v>136.12396694214877</v>
          </cell>
          <cell r="D70">
            <v>136.12396694214877</v>
          </cell>
          <cell r="E70">
            <v>158.32225913621264</v>
          </cell>
          <cell r="F70">
            <v>114.04278074866311</v>
          </cell>
        </row>
        <row r="71">
          <cell r="A71" t="str">
            <v>2005-4</v>
          </cell>
          <cell r="B71">
            <v>138</v>
          </cell>
          <cell r="C71">
            <v>131</v>
          </cell>
          <cell r="D71">
            <v>131</v>
          </cell>
          <cell r="E71">
            <v>155</v>
          </cell>
          <cell r="F71">
            <v>114</v>
          </cell>
        </row>
        <row r="72">
          <cell r="A72" t="str">
            <v>2005-3</v>
          </cell>
          <cell r="B72">
            <v>125.9720430107527</v>
          </cell>
          <cell r="C72">
            <v>125.1883408071749</v>
          </cell>
          <cell r="D72">
            <v>125.1883408071749</v>
          </cell>
          <cell r="E72">
            <v>144.61421319796952</v>
          </cell>
          <cell r="F72">
            <v>108.42008196721311</v>
          </cell>
        </row>
        <row r="73">
          <cell r="A73" t="str">
            <v>2005-2</v>
          </cell>
          <cell r="B73">
            <v>124.29032258064517</v>
          </cell>
          <cell r="C73">
            <v>123.8968609865471</v>
          </cell>
          <cell r="D73">
            <v>123.8968609865471</v>
          </cell>
          <cell r="E73">
            <v>138.00507614213197</v>
          </cell>
          <cell r="F73">
            <v>107.96106557377048</v>
          </cell>
        </row>
        <row r="74">
          <cell r="A74" t="str">
            <v>2005-1</v>
          </cell>
          <cell r="B74">
            <v>122.57204301075269</v>
          </cell>
          <cell r="C74">
            <v>123.4932735426009</v>
          </cell>
          <cell r="D74">
            <v>123.4932735426009</v>
          </cell>
          <cell r="E74">
            <v>129.82233502538071</v>
          </cell>
          <cell r="F74">
            <v>107.39446721311475</v>
          </cell>
        </row>
        <row r="75">
          <cell r="A75" t="str">
            <v>2004-4</v>
          </cell>
          <cell r="B75">
            <v>121</v>
          </cell>
          <cell r="C75">
            <v>122</v>
          </cell>
          <cell r="D75">
            <v>122</v>
          </cell>
          <cell r="E75">
            <v>124</v>
          </cell>
          <cell r="F75">
            <v>107</v>
          </cell>
        </row>
        <row r="76">
          <cell r="A76" t="str">
            <v>2004-3</v>
          </cell>
          <cell r="B76">
            <v>119.51351351351352</v>
          </cell>
          <cell r="C76">
            <v>120.7878787878788</v>
          </cell>
          <cell r="D76">
            <v>120.7878787878788</v>
          </cell>
          <cell r="E76">
            <v>121.5975975975976</v>
          </cell>
          <cell r="F76">
            <v>107</v>
          </cell>
        </row>
        <row r="77">
          <cell r="A77" t="str">
            <v>2004-2</v>
          </cell>
          <cell r="B77">
            <v>116.99099099099099</v>
          </cell>
          <cell r="C77">
            <v>118.84848484848486</v>
          </cell>
          <cell r="D77">
            <v>118.84848484848486</v>
          </cell>
          <cell r="E77">
            <v>117.60960960960961</v>
          </cell>
          <cell r="F77">
            <v>104</v>
          </cell>
        </row>
        <row r="78">
          <cell r="A78" t="str">
            <v>2004-1</v>
          </cell>
          <cell r="B78">
            <v>112.48648648648648</v>
          </cell>
          <cell r="C78">
            <v>115.21212121212122</v>
          </cell>
          <cell r="D78">
            <v>115.21212121212122</v>
          </cell>
          <cell r="E78">
            <v>110.4024024024024</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row r="17">
          <cell r="A17" t="str">
            <v>2014-3</v>
          </cell>
        </row>
        <row r="18">
          <cell r="A18" t="str">
            <v>2014-2</v>
          </cell>
        </row>
        <row r="19">
          <cell r="A19" t="str">
            <v>2014-1</v>
          </cell>
        </row>
        <row r="20">
          <cell r="A20" t="str">
            <v>2013-4</v>
          </cell>
        </row>
        <row r="21">
          <cell r="A21" t="str">
            <v>2013-3</v>
          </cell>
        </row>
        <row r="22">
          <cell r="A22" t="str">
            <v>2013-2</v>
          </cell>
        </row>
        <row r="23">
          <cell r="A23" t="str">
            <v>2013-1</v>
          </cell>
        </row>
        <row r="24">
          <cell r="A24" t="str">
            <v>2012-4</v>
          </cell>
        </row>
        <row r="25">
          <cell r="A25" t="str">
            <v>2012-3</v>
          </cell>
        </row>
        <row r="26">
          <cell r="A26" t="str">
            <v>2012-2</v>
          </cell>
        </row>
        <row r="27">
          <cell r="A27" t="str">
            <v>2012-1</v>
          </cell>
        </row>
        <row r="28">
          <cell r="A28" t="str">
            <v>2011-4</v>
          </cell>
        </row>
        <row r="29">
          <cell r="A29" t="str">
            <v>2011-3</v>
          </cell>
        </row>
        <row r="30">
          <cell r="A30" t="str">
            <v>2011-2</v>
          </cell>
        </row>
        <row r="31">
          <cell r="A31" t="str">
            <v>2011-1</v>
          </cell>
        </row>
        <row r="32">
          <cell r="A32" t="str">
            <v>2010-4</v>
          </cell>
        </row>
        <row r="33">
          <cell r="A33" t="str">
            <v>2010-3</v>
          </cell>
        </row>
        <row r="34">
          <cell r="A34" t="str">
            <v>2010-2</v>
          </cell>
        </row>
        <row r="35">
          <cell r="A35" t="str">
            <v>2010-1</v>
          </cell>
        </row>
        <row r="36">
          <cell r="A36" t="str">
            <v>2009-4</v>
          </cell>
        </row>
        <row r="37">
          <cell r="A37" t="str">
            <v>2009-3</v>
          </cell>
        </row>
        <row r="38">
          <cell r="A38" t="str">
            <v>2009-2</v>
          </cell>
        </row>
        <row r="39">
          <cell r="A39" t="str">
            <v>2009-1</v>
          </cell>
        </row>
        <row r="40">
          <cell r="A40" t="str">
            <v>2008-4</v>
          </cell>
        </row>
        <row r="41">
          <cell r="A41" t="str">
            <v>2008-3</v>
          </cell>
        </row>
        <row r="42">
          <cell r="A42" t="str">
            <v>2008-2</v>
          </cell>
        </row>
        <row r="43">
          <cell r="A43" t="str">
            <v>2008-1</v>
          </cell>
        </row>
        <row r="44">
          <cell r="A44" t="str">
            <v>2007-4</v>
          </cell>
        </row>
        <row r="45">
          <cell r="A45" t="str">
            <v>2007-3</v>
          </cell>
        </row>
        <row r="46">
          <cell r="A46" t="str">
            <v>2007-2</v>
          </cell>
        </row>
        <row r="47">
          <cell r="A47" t="str">
            <v>2007-1</v>
          </cell>
        </row>
        <row r="48">
          <cell r="A48" t="str">
            <v>2006-4</v>
          </cell>
        </row>
        <row r="49">
          <cell r="A49" t="str">
            <v>2006-3</v>
          </cell>
        </row>
        <row r="50">
          <cell r="A50" t="str">
            <v>2006-2</v>
          </cell>
        </row>
        <row r="51">
          <cell r="A51" t="str">
            <v>2006-1</v>
          </cell>
        </row>
        <row r="52">
          <cell r="A52" t="str">
            <v>2005-4</v>
          </cell>
        </row>
        <row r="53">
          <cell r="A53" t="str">
            <v>2005-3</v>
          </cell>
        </row>
        <row r="54">
          <cell r="A54" t="str">
            <v>2005-2</v>
          </cell>
        </row>
        <row r="55">
          <cell r="A55" t="str">
            <v>2005-1</v>
          </cell>
        </row>
        <row r="56">
          <cell r="A56" t="str">
            <v>2004-4</v>
          </cell>
        </row>
        <row r="57">
          <cell r="A57" t="str">
            <v>2004-3</v>
          </cell>
        </row>
        <row r="58">
          <cell r="A58" t="str">
            <v>2004-2</v>
          </cell>
        </row>
        <row r="59">
          <cell r="A59" t="str">
            <v>2004-1</v>
          </cell>
        </row>
        <row r="60">
          <cell r="A60" t="str">
            <v>2003-4</v>
          </cell>
        </row>
        <row r="61">
          <cell r="A61" t="str">
            <v>2003-3</v>
          </cell>
        </row>
        <row r="62">
          <cell r="A62" t="str">
            <v>2003-2</v>
          </cell>
        </row>
        <row r="63">
          <cell r="A63" t="str">
            <v>2003-1</v>
          </cell>
        </row>
        <row r="64">
          <cell r="A64" t="str">
            <v>2002-4</v>
          </cell>
        </row>
        <row r="65">
          <cell r="A65" t="str">
            <v>2002-3</v>
          </cell>
        </row>
        <row r="66">
          <cell r="A66" t="str">
            <v>2002-2</v>
          </cell>
        </row>
        <row r="67">
          <cell r="A67" t="str">
            <v>2002-1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估价对象为北京市房地产，为所有。根据《国有土地使用证》[]，估价对象（分摊）出让国有建设用地使用权面积为0平方米，建筑面积为204.54平方米。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估价对象为北京市房地产,属开发建设的，该项目尚在开发建设中。根据《国有土地使用证》[]，估价对象（分摊）出让国有建设用地使用权面积为0平方米，规划建筑面积为204.54平方米。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2006年5月30日</v>
      </c>
    </row>
    <row r="13" spans="1:2">
      <c r="A13" s="1118" t="s">
        <v>529</v>
      </c>
      <c r="B13" s="1119" t="str">
        <f>'预评函-1'!A18</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204.54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2575</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2576</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2288</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49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446" t="s">
        <v>385</v>
      </c>
      <c r="C54" s="1444" t="s">
        <v>583</v>
      </c>
    </row>
    <row r="55" spans="1:4">
      <c r="A55" s="3494"/>
      <c r="B55" s="1446" t="s">
        <v>386</v>
      </c>
      <c r="C55" s="1444" t="s">
        <v>584</v>
      </c>
    </row>
    <row r="56" spans="1:4">
      <c r="A56" s="3494"/>
      <c r="B56" s="1446" t="s">
        <v>387</v>
      </c>
      <c r="C56" s="1444" t="s">
        <v>588</v>
      </c>
    </row>
    <row r="57" spans="1:4">
      <c r="A57" s="349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495" t="s">
        <v>2578</v>
      </c>
      <c r="J2" s="3495"/>
      <c r="K2" s="3495"/>
      <c r="L2" s="3495"/>
      <c r="M2" s="3495"/>
      <c r="N2" s="3495"/>
      <c r="O2" s="3495"/>
      <c r="P2" s="3495"/>
      <c r="Q2" s="3495"/>
      <c r="R2" s="3495"/>
    </row>
    <row r="3" spans="1:18">
      <c r="A3" s="2758" t="s">
        <v>2499</v>
      </c>
      <c r="B3" s="2759">
        <f>项目基本情况!D3</f>
        <v>38867</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20.56</v>
      </c>
      <c r="D5" s="2763">
        <f>IF(ISERROR(ROUND(POWER(1+E5,A5-C5)*(POWER(1+E5,C5)-1)/(POWER(1+E5,A5)-1),3)),0,ROUND(POWER(1+E5,A5-C5)*(POWER(1+E5,C5)-1)/(POWER(1+E5,A5)-1),4))</f>
        <v>0.69920000000000004</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30.57</v>
      </c>
      <c r="D6" s="2763">
        <f>IF(ISERROR(ROUND(POWER(1+E6,A6-C6)*(POWER(1+E6,C6)-1)/(POWER(1+E6,A6)-1),3)),0,ROUND(POWER(1+E6,A6-C6)*(POWER(1+E6,C6)-1)/(POWER(1+E6,A6)-1),4))</f>
        <v>0.81289999999999996</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50.59</v>
      </c>
      <c r="D7" s="2763">
        <f>IF(ISERROR(ROUND(POWER(1+E7,A7-C7)*(POWER(1+E7,C7)-1)/(POWER(1+E7,A7)-1),3)),0,ROUND(POWER(1+E7,A7-C7)*(POWER(1+E7,C7)-1)/(POWER(1+E7,A7)-1),4))</f>
        <v>0.92169999999999996</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25" thickBot="1">
      <c r="A18" s="2768" t="s">
        <v>2514</v>
      </c>
      <c r="B18" s="2769">
        <f>ROUND(B17*F11/F12,2)</f>
        <v>5541.87</v>
      </c>
      <c r="C18" s="2769">
        <f>ROUND(F11/F12,4)</f>
        <v>1.1521999999999999</v>
      </c>
      <c r="D18" s="2770"/>
      <c r="E18" s="2770"/>
      <c r="F18" s="2771"/>
    </row>
    <row r="19" spans="1:13" ht="14.25" thickBot="1"/>
    <row r="20" spans="1:13" s="2804" customFormat="1" ht="14.2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M23" s="2795" t="s">
        <v>2566</v>
      </c>
    </row>
    <row r="24" spans="1:13">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M24" s="2795">
        <v>10</v>
      </c>
    </row>
    <row r="25" spans="1:13">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M25" s="2795">
        <v>8</v>
      </c>
    </row>
    <row r="26" spans="1:13">
      <c r="A26" s="2777"/>
      <c r="B26" s="2778"/>
      <c r="C26" s="2778"/>
      <c r="D26" s="2778"/>
      <c r="E26" s="2778"/>
      <c r="F26" s="2778"/>
      <c r="G26" s="2779"/>
      <c r="I26" s="2795">
        <v>30</v>
      </c>
      <c r="J26" s="2795">
        <v>90.5</v>
      </c>
      <c r="K26" s="2795">
        <f t="shared" si="2"/>
        <v>4.2000000000000028</v>
      </c>
      <c r="L26" s="2795" t="s">
        <v>2569</v>
      </c>
      <c r="M26" s="2795">
        <v>5</v>
      </c>
    </row>
    <row r="27" spans="1:13">
      <c r="A27" s="2777" t="s">
        <v>2528</v>
      </c>
      <c r="B27" s="2778"/>
      <c r="C27" s="2778"/>
      <c r="D27" s="2778"/>
      <c r="E27" s="2778"/>
      <c r="F27" s="2778"/>
      <c r="G27" s="2779"/>
      <c r="I27" s="2795">
        <v>35</v>
      </c>
      <c r="J27" s="2795">
        <v>93.8</v>
      </c>
      <c r="K27" s="2795">
        <f t="shared" si="2"/>
        <v>3.2999999999999972</v>
      </c>
      <c r="L27" s="2795" t="s">
        <v>2570</v>
      </c>
      <c r="M27" s="2795">
        <v>3</v>
      </c>
    </row>
    <row r="28" spans="1:13">
      <c r="A28" s="2777" t="s">
        <v>2529</v>
      </c>
      <c r="B28" s="2778"/>
      <c r="C28" s="2778"/>
      <c r="D28" s="2778"/>
      <c r="E28" s="2778"/>
      <c r="F28" s="2778"/>
      <c r="G28" s="2779"/>
      <c r="I28" s="2795">
        <v>40</v>
      </c>
      <c r="J28" s="2795">
        <v>96.4</v>
      </c>
      <c r="K28" s="2795">
        <f t="shared" si="2"/>
        <v>2.6000000000000085</v>
      </c>
      <c r="L28" s="2795" t="s">
        <v>2571</v>
      </c>
      <c r="M28" s="2795">
        <v>2</v>
      </c>
    </row>
    <row r="29" spans="1:13">
      <c r="A29" s="2777" t="s">
        <v>2530</v>
      </c>
      <c r="B29" s="2778"/>
      <c r="C29" s="2778"/>
      <c r="D29" s="2778"/>
      <c r="E29" s="2778"/>
      <c r="F29" s="2778"/>
      <c r="G29" s="2779"/>
      <c r="I29" s="2795">
        <v>45</v>
      </c>
      <c r="J29" s="2795">
        <v>98.4</v>
      </c>
      <c r="K29" s="2795">
        <f t="shared" si="2"/>
        <v>2</v>
      </c>
    </row>
    <row r="30" spans="1:13">
      <c r="A30" s="2777" t="s">
        <v>2531</v>
      </c>
      <c r="B30" s="2778"/>
      <c r="C30" s="2778"/>
      <c r="D30" s="2778"/>
      <c r="E30" s="2778"/>
      <c r="F30" s="2778"/>
      <c r="G30" s="2779"/>
      <c r="I30" s="2795">
        <v>50</v>
      </c>
      <c r="J30" s="2795">
        <v>100</v>
      </c>
      <c r="K30" s="2795">
        <f t="shared" si="2"/>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3">J36-J35</f>
        <v>9.2999999999999972</v>
      </c>
      <c r="L36" s="2795" t="s">
        <v>2565</v>
      </c>
      <c r="M36" s="2795" t="s">
        <v>2566</v>
      </c>
    </row>
    <row r="37" spans="1:13">
      <c r="A37" s="2777" t="s">
        <v>2538</v>
      </c>
      <c r="B37" s="2778"/>
      <c r="C37" s="2778"/>
      <c r="D37" s="2778"/>
      <c r="E37" s="2778"/>
      <c r="F37" s="2778"/>
      <c r="G37" s="2779"/>
      <c r="I37" s="2795">
        <v>20</v>
      </c>
      <c r="J37" s="2795">
        <v>83.6</v>
      </c>
      <c r="K37" s="2795">
        <f t="shared" si="3"/>
        <v>7.2999999999999972</v>
      </c>
      <c r="L37" s="2795" t="s">
        <v>2564</v>
      </c>
      <c r="M37" s="2795">
        <v>10</v>
      </c>
    </row>
    <row r="38" spans="1:13">
      <c r="A38" s="2777" t="s">
        <v>2539</v>
      </c>
      <c r="B38" s="2778"/>
      <c r="C38" s="2778"/>
      <c r="D38" s="2778"/>
      <c r="E38" s="2778"/>
      <c r="F38" s="2778"/>
      <c r="G38" s="2779"/>
      <c r="I38" s="2795">
        <v>25</v>
      </c>
      <c r="J38" s="2795">
        <v>89.3</v>
      </c>
      <c r="K38" s="2795">
        <f t="shared" si="3"/>
        <v>5.7000000000000028</v>
      </c>
      <c r="L38" s="2795" t="s">
        <v>2568</v>
      </c>
      <c r="M38" s="2795">
        <v>8</v>
      </c>
    </row>
    <row r="39" spans="1:13">
      <c r="A39" s="2777"/>
      <c r="B39" s="2778"/>
      <c r="C39" s="2778"/>
      <c r="D39" s="2778"/>
      <c r="E39" s="2778"/>
      <c r="F39" s="2778"/>
      <c r="G39" s="2779"/>
      <c r="I39" s="2795">
        <v>30</v>
      </c>
      <c r="J39" s="2795">
        <v>93.8</v>
      </c>
      <c r="K39" s="2795">
        <f t="shared" si="3"/>
        <v>4.5</v>
      </c>
      <c r="L39" s="2795" t="s">
        <v>2569</v>
      </c>
      <c r="M39" s="2795">
        <v>6</v>
      </c>
    </row>
    <row r="40" spans="1:13">
      <c r="A40" s="2780" t="s">
        <v>2540</v>
      </c>
      <c r="B40" s="2781"/>
      <c r="C40" s="2781"/>
      <c r="D40" s="2781"/>
      <c r="E40" s="2781"/>
      <c r="F40" s="2781"/>
      <c r="G40" s="2782"/>
      <c r="I40" s="2795">
        <v>35</v>
      </c>
      <c r="J40" s="2795">
        <v>97.2</v>
      </c>
      <c r="K40" s="2795">
        <f t="shared" si="3"/>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3"/>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2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2165</v>
      </c>
      <c r="B1" s="3496" t="str">
        <f>IF(B10="北京市","北京市",C10)&amp;F10&amp;IF(结果表!G1="在建","出让国有建设用地使用权及在建建筑物",IF(结果表!G1="土地","出让国有建设用地使用权",))&amp;B9&amp;"预评估"</f>
        <v>北京市预评估</v>
      </c>
      <c r="C1" s="3497"/>
      <c r="D1" s="3497"/>
      <c r="E1" s="3497"/>
      <c r="F1" s="3497"/>
      <c r="G1" s="3497"/>
      <c r="H1" s="3497"/>
      <c r="I1" s="3498"/>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2166</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2167</v>
      </c>
      <c r="B3" s="2181">
        <v>45250</v>
      </c>
      <c r="C3" s="2182" t="s">
        <v>2168</v>
      </c>
      <c r="D3" s="2181">
        <v>38867</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2170</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6"/>
      <c r="F6" s="2437"/>
      <c r="G6" s="2437"/>
      <c r="H6" s="1615"/>
      <c r="I6" s="3150">
        <v>40658</v>
      </c>
      <c r="J6" s="2241"/>
      <c r="K6" s="2396" t="str">
        <f>IF(COUNTIF(B6,"*上海银行*"),"上海银行","")</f>
        <v/>
      </c>
      <c r="L6" s="2394"/>
      <c r="M6" s="2394"/>
      <c r="N6" s="2241"/>
      <c r="O6" s="1669"/>
      <c r="P6" s="2241"/>
      <c r="Q6" s="2241"/>
      <c r="R6" s="2241"/>
    </row>
    <row r="7" spans="1:30">
      <c r="A7" s="2190" t="s">
        <v>2172</v>
      </c>
      <c r="B7" s="2194"/>
      <c r="C7" s="2192"/>
      <c r="D7" s="2193"/>
      <c r="E7" s="2436"/>
      <c r="F7" s="2437"/>
      <c r="G7" s="2437"/>
      <c r="H7" s="1615"/>
      <c r="I7" s="3150">
        <f>I6-1.5*365+70*365</f>
        <v>65660.5</v>
      </c>
      <c r="J7" s="2241"/>
      <c r="K7" s="2397"/>
      <c r="L7" s="2394"/>
      <c r="M7" s="2394"/>
      <c r="N7" s="2241"/>
      <c r="O7" s="1669"/>
      <c r="P7" s="2241"/>
      <c r="Q7" s="2241"/>
      <c r="R7" s="2241"/>
    </row>
    <row r="8" spans="1:30">
      <c r="A8" s="2195" t="s">
        <v>2173</v>
      </c>
      <c r="B8" s="2196"/>
      <c r="C8" s="2197"/>
      <c r="D8" s="3499" t="s">
        <v>2174</v>
      </c>
      <c r="E8" s="2198"/>
      <c r="F8" s="2199"/>
      <c r="G8" s="2437"/>
      <c r="H8" s="2437"/>
      <c r="I8" s="2437">
        <f>(I7-B3)/365</f>
        <v>55.919178082191777</v>
      </c>
      <c r="J8" s="2241"/>
      <c r="K8" s="2395"/>
      <c r="L8" s="2394"/>
      <c r="M8" s="2394"/>
      <c r="N8" s="2241"/>
      <c r="O8" s="1669"/>
      <c r="P8" s="2241"/>
      <c r="Q8" s="2241"/>
      <c r="R8" s="2241"/>
    </row>
    <row r="9" spans="1:30" ht="13.5" thickBot="1">
      <c r="A9" s="2200" t="s">
        <v>2175</v>
      </c>
      <c r="B9" s="2201"/>
      <c r="C9" s="2202"/>
      <c r="D9" s="3500"/>
      <c r="E9" s="2201"/>
      <c r="F9" s="2203"/>
      <c r="G9" s="2438"/>
      <c r="H9" s="2438"/>
      <c r="I9" s="2438"/>
      <c r="J9" s="2241"/>
      <c r="K9" s="2397"/>
      <c r="L9" s="2394"/>
      <c r="M9" s="2394"/>
      <c r="N9" s="2241"/>
      <c r="O9" s="1669"/>
      <c r="P9" s="2241"/>
      <c r="Q9" s="2241"/>
      <c r="R9" s="2241"/>
    </row>
    <row r="10" spans="1:30" ht="13.5" thickTop="1">
      <c r="A10" s="2204" t="s">
        <v>2176</v>
      </c>
      <c r="B10" s="2205" t="s">
        <v>3374</v>
      </c>
      <c r="C10" s="2206"/>
      <c r="D10" s="2189"/>
      <c r="E10" s="2207" t="s">
        <v>2177</v>
      </c>
      <c r="F10" s="2439"/>
      <c r="G10" s="2440"/>
      <c r="H10" s="2441"/>
      <c r="I10" s="2442"/>
      <c r="J10" s="2241"/>
      <c r="K10" s="2397"/>
      <c r="L10" s="2394"/>
      <c r="M10" s="2394"/>
      <c r="N10" s="2241"/>
      <c r="O10" s="1669"/>
      <c r="P10" s="2241"/>
      <c r="Q10" s="2241"/>
      <c r="R10" s="2241"/>
    </row>
    <row r="11" spans="1:30">
      <c r="A11" s="2208" t="s">
        <v>2178</v>
      </c>
      <c r="B11" s="2209" t="s">
        <v>3373</v>
      </c>
      <c r="C11" s="2210"/>
      <c r="D11" s="2211"/>
      <c r="E11" s="2178"/>
      <c r="F11" s="2178"/>
      <c r="G11" s="2178"/>
      <c r="H11" s="2178"/>
      <c r="I11" s="2178"/>
      <c r="J11" s="2797"/>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2574</v>
      </c>
      <c r="J12" s="2798"/>
      <c r="K12" s="2394"/>
      <c r="L12" s="2394"/>
      <c r="M12" s="2241"/>
      <c r="N12" s="1669"/>
      <c r="O12" s="2241"/>
      <c r="P12" s="2241"/>
      <c r="Q12" s="2241"/>
      <c r="AD12" s="1617"/>
    </row>
    <row r="13" spans="1:30">
      <c r="A13" s="3117" t="s">
        <v>3332</v>
      </c>
      <c r="B13" s="2214" t="s">
        <v>2187</v>
      </c>
      <c r="C13" s="803">
        <v>65015</v>
      </c>
      <c r="D13" s="803"/>
      <c r="E13" s="803"/>
      <c r="F13" s="803"/>
      <c r="G13" s="803"/>
      <c r="H13" s="803"/>
      <c r="I13" s="803"/>
      <c r="J13" s="2798"/>
      <c r="K13" s="2394"/>
      <c r="L13" s="2394"/>
      <c r="M13" s="2241"/>
      <c r="N13" s="1669"/>
      <c r="O13" s="2241"/>
      <c r="P13" s="2241"/>
      <c r="Q13" s="2241"/>
      <c r="AD13" s="1617"/>
    </row>
    <row r="14" spans="1:30">
      <c r="A14" s="1018"/>
      <c r="B14" s="2214" t="s">
        <v>2188</v>
      </c>
      <c r="C14" s="2215">
        <v>70</v>
      </c>
      <c r="D14" s="2215"/>
      <c r="E14" s="2215"/>
      <c r="F14" s="2215"/>
      <c r="G14" s="2215"/>
      <c r="H14" s="2215"/>
      <c r="I14" s="2215"/>
      <c r="J14" s="2799"/>
      <c r="K14" s="2394"/>
      <c r="L14" s="2394"/>
      <c r="M14" s="2241"/>
      <c r="N14" s="1669"/>
      <c r="O14" s="2241"/>
      <c r="P14" s="2241"/>
      <c r="Q14" s="2241"/>
      <c r="AD14" s="1617"/>
    </row>
    <row r="15" spans="1:30">
      <c r="A15" s="312"/>
      <c r="B15" s="2216" t="s">
        <v>2189</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506"/>
      <c r="C16" s="3507"/>
      <c r="D16" s="3508"/>
      <c r="E16" s="2218" t="s">
        <v>2191</v>
      </c>
      <c r="F16" s="3509"/>
      <c r="G16" s="3510"/>
      <c r="H16" s="3510"/>
      <c r="I16" s="3511"/>
      <c r="J16" s="2241"/>
      <c r="K16" s="2398"/>
      <c r="L16" s="1669"/>
      <c r="M16" s="1669"/>
      <c r="N16" s="2241"/>
      <c r="O16" s="1669"/>
      <c r="P16" s="2241"/>
      <c r="Q16" s="2241"/>
      <c r="R16" s="2241"/>
    </row>
    <row r="17" spans="1:28">
      <c r="A17" s="305" t="s">
        <v>2192</v>
      </c>
      <c r="B17" s="294" t="s">
        <v>2193</v>
      </c>
      <c r="C17" s="8">
        <f>'数据-汇总表'!E3</f>
        <v>204.54</v>
      </c>
      <c r="D17" s="1255" t="s">
        <v>2194</v>
      </c>
      <c r="E17" s="3512" t="s">
        <v>2195</v>
      </c>
      <c r="F17" s="3513"/>
      <c r="G17" s="3513"/>
      <c r="H17" s="3513"/>
      <c r="I17" s="3514"/>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515" t="s">
        <v>2199</v>
      </c>
      <c r="F18" s="3516"/>
      <c r="G18" s="3516"/>
      <c r="H18" s="3516"/>
      <c r="I18" s="3517"/>
      <c r="J18" s="2241"/>
      <c r="K18" s="2399"/>
      <c r="L18" s="1669"/>
      <c r="M18" s="1669"/>
      <c r="N18" s="2241"/>
      <c r="O18" s="1669"/>
      <c r="P18" s="2241"/>
      <c r="Q18" s="2241"/>
      <c r="R18" s="2241"/>
      <c r="S18" s="2241"/>
      <c r="T18" s="2241"/>
      <c r="U18" s="2241"/>
      <c r="V18" s="2241"/>
    </row>
    <row r="19" spans="1:28" ht="37.5" thickTop="1" thickBot="1">
      <c r="A19" s="319" t="s">
        <v>1055</v>
      </c>
      <c r="B19" s="299" t="s">
        <v>2200</v>
      </c>
      <c r="C19" s="1454" t="s">
        <v>3376</v>
      </c>
      <c r="D19" s="1455" t="s">
        <v>2201</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2202</v>
      </c>
      <c r="B20" s="3502" t="s">
        <v>2203</v>
      </c>
      <c r="C20" s="3503"/>
      <c r="D20" s="3504" t="s">
        <v>2204</v>
      </c>
      <c r="E20" s="3505"/>
      <c r="F20" s="2425" t="s">
        <v>1056</v>
      </c>
      <c r="G20" s="2437"/>
      <c r="H20" s="2437"/>
      <c r="I20" s="2437"/>
      <c r="J20" s="2241"/>
      <c r="K20" s="3501"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5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5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519" t="s">
        <v>2211</v>
      </c>
      <c r="B27" s="312" t="s">
        <v>2212</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519"/>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519"/>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520"/>
      <c r="B30" s="294" t="s">
        <v>2215</v>
      </c>
      <c r="C30" s="3521"/>
      <c r="D30" s="3522"/>
      <c r="E30" s="2437"/>
      <c r="F30" s="2437"/>
      <c r="G30" s="2437"/>
      <c r="H30" s="2437"/>
      <c r="I30" s="2437"/>
      <c r="J30" s="2241"/>
      <c r="K30" s="2397"/>
      <c r="L30" s="2394"/>
      <c r="M30" s="2394"/>
      <c r="N30" s="2241"/>
      <c r="O30" s="1669"/>
      <c r="P30" s="2241"/>
      <c r="Q30" s="2241"/>
      <c r="R30" s="2241"/>
      <c r="S30" s="2241"/>
      <c r="T30" s="2241"/>
      <c r="U30" s="2241"/>
      <c r="V30" s="2241"/>
    </row>
    <row r="31" spans="1:28">
      <c r="A31" s="3523" t="s">
        <v>2216</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524"/>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524"/>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6"/>
      <c r="C34" s="1866"/>
      <c r="D34" s="1866"/>
      <c r="E34" s="1866"/>
      <c r="F34" s="1866"/>
      <c r="G34" s="1866"/>
      <c r="H34" s="1866"/>
      <c r="I34" s="2437"/>
      <c r="J34" s="2241"/>
      <c r="K34" s="8">
        <f>COUNTIF(B34:H34,"——")</f>
        <v>0</v>
      </c>
      <c r="L34" s="315" t="s">
        <v>2218</v>
      </c>
      <c r="M34" s="315" t="s">
        <v>2219</v>
      </c>
      <c r="N34" s="315" t="s">
        <v>2220</v>
      </c>
      <c r="O34" s="315" t="s">
        <v>2221</v>
      </c>
      <c r="P34" s="315" t="s">
        <v>2222</v>
      </c>
      <c r="Q34" s="315" t="s">
        <v>2223</v>
      </c>
      <c r="R34" s="315" t="s">
        <v>2224</v>
      </c>
      <c r="S34" s="3518" t="s">
        <v>2225</v>
      </c>
      <c r="T34" s="315" t="str">
        <f>NUMBERSTRING(7-K34,1)&amp;"通"</f>
        <v>七通</v>
      </c>
      <c r="U34" s="2241"/>
      <c r="V34" s="2241"/>
    </row>
    <row r="35" spans="1:30">
      <c r="A35" s="2232"/>
      <c r="B35" s="3518" t="s">
        <v>2226</v>
      </c>
      <c r="C35" s="3518"/>
      <c r="D35" s="3518"/>
      <c r="E35" s="3518"/>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518"/>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2577</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204.54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204.54</v>
      </c>
      <c r="H5" s="13">
        <f t="shared" ref="H5:AT5" si="0">SUM(H13:H656)</f>
        <v>204.54</v>
      </c>
      <c r="I5" s="13">
        <f t="shared" si="0"/>
        <v>204.54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204.54</v>
      </c>
      <c r="BA5" s="15">
        <f t="shared" si="1"/>
        <v>204.54</v>
      </c>
      <c r="BB5" s="15">
        <f t="shared" si="1"/>
        <v>204.54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3375</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3376</v>
      </c>
      <c r="E13" s="13">
        <f>IF($C$3="是",ROUND($A$3*G13/$B$3,2),ROUND($A$3*(G13-AT13)/$B$3,2))</f>
        <v>0</v>
      </c>
      <c r="F13" s="29"/>
      <c r="G13" s="30">
        <f>H13+AC13+AT13</f>
        <v>204.54</v>
      </c>
      <c r="H13" s="17">
        <f>SUMIF(I$12:AB$12,"总值",I13:AB13)</f>
        <v>204.54</v>
      </c>
      <c r="I13" s="1513">
        <v>204.54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204.54</v>
      </c>
      <c r="BA13" s="13">
        <f>SUM(BB13:BK13)</f>
        <v>204.54</v>
      </c>
      <c r="BB13" s="13">
        <f>IF($D13="是",I13-J13,0)</f>
        <v>204.54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534" t="s">
        <v>1131</v>
      </c>
      <c r="B2" s="3534"/>
      <c r="C2" s="3534"/>
      <c r="D2" s="748" t="s">
        <v>1107</v>
      </c>
      <c r="E2" s="1522" t="s">
        <v>1108</v>
      </c>
      <c r="F2" s="2434"/>
      <c r="G2" s="2427"/>
      <c r="H2" s="2428"/>
      <c r="I2" s="2142" t="s">
        <v>1132</v>
      </c>
      <c r="J2" s="2434"/>
      <c r="K2" s="2434"/>
      <c r="L2" s="2434"/>
      <c r="M2" s="2434"/>
      <c r="N2" s="2435"/>
      <c r="O2" s="2434"/>
      <c r="P2" s="2434"/>
    </row>
    <row r="3" spans="1:16" ht="15.75" thickBot="1">
      <c r="A3" s="3535" t="s">
        <v>1105</v>
      </c>
      <c r="B3" s="3535"/>
      <c r="C3" s="3535"/>
      <c r="D3" s="41">
        <f>'数据-基础表'!AY6</f>
        <v>0</v>
      </c>
      <c r="E3" s="41">
        <f>'数据-基础表'!AZ5</f>
        <v>204.54</v>
      </c>
      <c r="F3" s="2434"/>
      <c r="G3" s="42"/>
      <c r="H3" s="43" t="s">
        <v>1106</v>
      </c>
      <c r="I3" s="802" t="e">
        <f>ROUND('数据-基础表'!B3/'数据-基础表'!A3,2)</f>
        <v>#DIV/0!</v>
      </c>
      <c r="J3" s="2434"/>
      <c r="K3" s="2434"/>
      <c r="L3" s="2434"/>
      <c r="M3" s="2434"/>
      <c r="N3" s="2435"/>
      <c r="O3" s="2434"/>
      <c r="P3" s="2434"/>
    </row>
    <row r="4" spans="1:16" ht="15">
      <c r="A4" s="3536"/>
      <c r="B4" s="3537"/>
      <c r="C4" s="3538"/>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539" t="s">
        <v>1110</v>
      </c>
      <c r="C5" s="3539"/>
      <c r="D5" s="43">
        <f>ROUND($D$3*E5/$E$3,2)</f>
        <v>0</v>
      </c>
      <c r="E5" s="44">
        <f>SUMIF('数据-基础表'!$11:$11,"住宅",'数据-基础表'!$5:$5)</f>
        <v>204.54</v>
      </c>
      <c r="F5" s="2434"/>
      <c r="G5" s="42"/>
      <c r="H5" s="43" t="s">
        <v>1106</v>
      </c>
      <c r="I5" s="802" t="e">
        <f>ROUND(E31/D31,2)</f>
        <v>#DIV/0!</v>
      </c>
      <c r="J5" s="2434"/>
      <c r="K5" s="2434"/>
      <c r="L5" s="2434"/>
      <c r="M5" s="2434"/>
      <c r="N5" s="2434"/>
      <c r="O5" s="2434"/>
      <c r="P5" s="2434"/>
    </row>
    <row r="6" spans="1:16" ht="15" thickBot="1">
      <c r="A6" s="1526"/>
      <c r="B6" s="3539" t="s">
        <v>1111</v>
      </c>
      <c r="C6" s="3539"/>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531"/>
      <c r="B7" s="3532"/>
      <c r="C7" s="3533"/>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204.54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204.54</v>
      </c>
      <c r="F16" s="2434"/>
      <c r="G16" s="2434"/>
      <c r="H16" s="1530" t="s">
        <v>1135</v>
      </c>
      <c r="I16" s="1531"/>
      <c r="J16" s="1071"/>
      <c r="K16" s="3528" t="s">
        <v>1135</v>
      </c>
      <c r="L16" s="3529"/>
      <c r="M16" s="3529"/>
      <c r="N16" s="3529"/>
      <c r="O16" s="3529"/>
      <c r="P16" s="3530"/>
    </row>
    <row r="17" spans="1:19" ht="15">
      <c r="A17" s="1532" t="s">
        <v>1136</v>
      </c>
      <c r="B17" s="1533" t="s">
        <v>1137</v>
      </c>
      <c r="C17" s="1534" t="s">
        <v>1138</v>
      </c>
      <c r="D17" s="1535" t="s">
        <v>1126</v>
      </c>
      <c r="E17" s="1536" t="s">
        <v>1127</v>
      </c>
      <c r="F17" s="1537"/>
      <c r="G17" s="1538"/>
      <c r="H17" s="1539" t="s">
        <v>1139</v>
      </c>
      <c r="I17" s="1540" t="s">
        <v>1124</v>
      </c>
      <c r="J17" s="1071"/>
      <c r="K17" s="3525" t="s">
        <v>1140</v>
      </c>
      <c r="L17" s="3526"/>
      <c r="M17" s="3527"/>
      <c r="N17" s="3525" t="s">
        <v>1141</v>
      </c>
      <c r="O17" s="3526"/>
      <c r="P17" s="352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3378</v>
      </c>
      <c r="D19" s="43">
        <f>ROUND($D$3*E19/$E$3,2)</f>
        <v>0</v>
      </c>
      <c r="E19" s="51">
        <f t="shared" ref="E19:E26" si="1">SUM(F19:G19)</f>
        <v>204.54</v>
      </c>
      <c r="F19" s="2553">
        <f>'数据-基础表'!I13</f>
        <v>204.54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204.54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204.54</v>
      </c>
      <c r="F27" s="1072">
        <f>IF(SUM(F19:F26)=E8,SUM(F19:F26),"地上面积有误")</f>
        <v>204.54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204.54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204.54</v>
      </c>
      <c r="F31" s="644">
        <f>F27+F30</f>
        <v>204.54</v>
      </c>
      <c r="G31" s="645">
        <f>G27+G30</f>
        <v>0</v>
      </c>
      <c r="H31" s="2434"/>
      <c r="I31" s="2434"/>
      <c r="J31" s="2434"/>
      <c r="K31" s="2434"/>
      <c r="L31" s="2434"/>
      <c r="M31" s="2434"/>
      <c r="N31" s="2434"/>
      <c r="O31" s="2434"/>
      <c r="P31" s="2434"/>
    </row>
    <row r="32" spans="1:19">
      <c r="A32" s="1525"/>
      <c r="B32" s="1525" t="s">
        <v>1159</v>
      </c>
      <c r="C32" s="1525"/>
      <c r="D32" s="1525"/>
      <c r="E32" s="990">
        <f>SUMIF(C19:C26,"*住宅*",E19:E26)</f>
        <v>204.54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38867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3375</v>
      </c>
      <c r="D6" s="805">
        <f>SUMIF(项目基本情况!C$12:I$12,C6,项目基本情况!C$14:I$14)</f>
        <v>70</v>
      </c>
      <c r="E6" s="804">
        <f>IF(B6="","",SUMIF(项目基本情况!C$12:I$12,C6,项目基本情况!C$13:I$13))</f>
        <v>65015</v>
      </c>
      <c r="F6" s="61">
        <f>SUMIF(项目基本情况!C$12:I$12,C6,项目基本情况!C$15:I$15)</f>
        <v>70</v>
      </c>
      <c r="G6" s="62">
        <f>IF(ISERROR(ROUND(POWER(1+H6,D6-F6)*(POWER(1+H6,F6)-1)/(POWER(1+H6,D6)-1),3)),0,ROUND(POWER(1+H6,D6-F6)*(POWER(1+H6,F6)-1)/(POWER(1+H6,D6)-1),3))</f>
        <v>1</v>
      </c>
      <c r="H6" s="691">
        <v>0.04</v>
      </c>
      <c r="I6" s="691">
        <v>4.4999999999999998E-2</v>
      </c>
      <c r="J6" s="63">
        <v>0.05</v>
      </c>
      <c r="K6" s="970">
        <f>SUMIF('数据-汇总表'!C$19:C$33,A6,'数据-汇总表'!E$19:E$33)</f>
        <v>204.54</v>
      </c>
      <c r="L6" s="692">
        <v>2500</v>
      </c>
      <c r="M6" s="64">
        <f t="shared" ref="M6:M14" si="0">ROUND(K6*L6/10000,0)</f>
        <v>51</v>
      </c>
      <c r="N6" s="690">
        <v>0.93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2"/>
      <c r="V6" s="67"/>
      <c r="W6" s="67"/>
      <c r="X6" s="979"/>
      <c r="Y6" s="68">
        <f>N6</f>
        <v>0.93</v>
      </c>
      <c r="Z6" s="69"/>
      <c r="AA6" s="63"/>
      <c r="AB6" s="63"/>
      <c r="AC6" s="979"/>
      <c r="AD6" s="70"/>
      <c r="AE6" s="980">
        <f ca="1">IF(AN6="",0,SUMIF(INDIRECT("'"&amp;AN6&amp;"'"&amp;"!E:E"),$AE$5,INDIRECT("'"&amp;AN6&amp;"'"&amp;"!F:F")))</f>
        <v>0</v>
      </c>
      <c r="AF6" s="74"/>
      <c r="AG6" s="130">
        <f>IF(AF6="",0,AE6-AF6)</f>
        <v>0</v>
      </c>
      <c r="AH6" s="71"/>
      <c r="AI6" s="73">
        <v>12</v>
      </c>
      <c r="AJ6" s="74"/>
      <c r="AK6" s="75">
        <v>2E-3</v>
      </c>
      <c r="AL6" s="76">
        <v>1E-3</v>
      </c>
      <c r="AM6" s="77">
        <v>0.01</v>
      </c>
      <c r="AN6" s="1588" t="s">
        <v>3580</v>
      </c>
      <c r="AO6" s="50">
        <f ca="1">SUMIF(INDIRECT("'"&amp;AN6&amp;"'"&amp;"!A:A"),"总价",INDIRECT("'"&amp;AN6&amp;"'"&amp;"!B:B"))</f>
        <v>259.57049999999998</v>
      </c>
      <c r="AP6" s="1589">
        <f>IF(C6="住宅",K6*L6,0)</f>
        <v>511350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0.04</v>
      </c>
      <c r="I16" s="85"/>
      <c r="J16" s="85"/>
      <c r="K16" s="86">
        <f>SUM(K6:K15)</f>
        <v>204.54</v>
      </c>
      <c r="L16" s="87">
        <f>ROUND(M16*10000/SUM(K6:K14),0)</f>
        <v>2493</v>
      </c>
      <c r="M16" s="87">
        <f>SUM(M6:M14)</f>
        <v>51</v>
      </c>
      <c r="N16" s="88">
        <f>ROUND(SUMPRODUCT(M6:M14,N6:N14)/M16,3)</f>
        <v>0.93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4"/>
      <c r="F19" s="2434"/>
      <c r="G19" s="2434"/>
      <c r="H19" s="2434"/>
      <c r="I19" s="2434"/>
      <c r="J19" s="2434"/>
      <c r="K19" s="2445"/>
      <c r="L19" s="24"/>
      <c r="M19" s="3150"/>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2298</v>
      </c>
      <c r="D20" s="2447"/>
      <c r="E20" s="2434"/>
      <c r="F20" s="2434"/>
      <c r="G20" s="2434"/>
      <c r="H20" s="2434"/>
      <c r="I20" s="2434"/>
      <c r="J20" s="2434"/>
      <c r="K20" s="2445"/>
      <c r="L20" s="2445"/>
      <c r="M20" s="3151">
        <v>5</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v>
      </c>
      <c r="C21" s="2434"/>
      <c r="D21" s="2447"/>
      <c r="E21" s="2434"/>
      <c r="F21" s="2434"/>
      <c r="G21" s="2434"/>
      <c r="H21" s="2434"/>
      <c r="I21" s="2434"/>
      <c r="J21" s="2434"/>
      <c r="K21" s="2445"/>
      <c r="L21" s="2445"/>
      <c r="M21" s="3152">
        <f>1-(M20)/60</f>
        <v>0.91666666666666663</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4"/>
      <c r="D22" s="2447"/>
      <c r="E22" s="2434"/>
      <c r="F22" s="2434"/>
      <c r="G22" s="2434"/>
      <c r="H22" s="2434"/>
      <c r="I22" s="2434"/>
      <c r="J22" s="2434"/>
      <c r="K22" s="2445"/>
      <c r="L22" s="2445"/>
      <c r="M22" s="3153">
        <v>0.95</v>
      </c>
      <c r="N22" s="3140">
        <f>ROUND(AVERAGE(M21:M22),3)</f>
        <v>0.93300000000000005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2302</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32726</v>
      </c>
      <c r="C29" s="2559" t="s">
        <v>2289</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2290</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0.05</v>
      </c>
      <c r="C34" s="2560" t="s">
        <v>2291</v>
      </c>
      <c r="D34" s="2455" t="s">
        <v>2299</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2293</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2294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2294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3380</v>
      </c>
      <c r="B40" s="1015">
        <f ca="1">IF(A40="利息：取LPR",存贷款利率!G1,存贷款利率!G1+C40)</f>
        <v>5.8499999999999996E-2</v>
      </c>
      <c r="C40" s="2568">
        <v>0</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2303</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v>
      </c>
      <c r="C46" s="2559" t="s">
        <v>2296</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3782</v>
      </c>
      <c r="C53" s="2435" t="s">
        <v>1246</v>
      </c>
      <c r="D53" s="2561" t="s">
        <v>2301</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540" t="s">
        <v>2281</v>
      </c>
      <c r="B1" s="3541"/>
      <c r="C1" s="3541"/>
      <c r="D1" s="3541"/>
      <c r="E1" s="3541"/>
      <c r="F1" s="3541"/>
      <c r="G1" s="354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25.5">
      <c r="A3" s="2243" t="s">
        <v>2279</v>
      </c>
      <c r="B3" s="2260" t="s">
        <v>2249</v>
      </c>
      <c r="C3" s="3155" t="s">
        <v>3783</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24">
      <c r="A6" s="2244"/>
      <c r="B6" s="315" t="s">
        <v>2259</v>
      </c>
      <c r="C6" s="3156" t="s">
        <v>3784</v>
      </c>
      <c r="D6" s="2261"/>
      <c r="E6" s="2265"/>
      <c r="F6" s="315" t="s">
        <v>2260</v>
      </c>
      <c r="G6" s="2266" t="s">
        <v>2261</v>
      </c>
      <c r="H6" s="751"/>
      <c r="I6" s="751"/>
      <c r="J6" s="751"/>
      <c r="K6" s="751"/>
      <c r="L6" s="751"/>
      <c r="M6" s="751"/>
      <c r="N6" s="751"/>
      <c r="O6" s="751"/>
      <c r="P6" s="751"/>
      <c r="Q6" s="751"/>
    </row>
    <row r="7" spans="1:29" ht="96.75" thickBot="1">
      <c r="A7" s="2244"/>
      <c r="B7" s="315" t="s">
        <v>2257</v>
      </c>
      <c r="C7" s="3156" t="s">
        <v>3785</v>
      </c>
      <c r="D7" s="2241"/>
      <c r="E7" s="2267"/>
      <c r="F7" s="2268" t="s">
        <v>2262</v>
      </c>
      <c r="G7" s="2269" t="s">
        <v>2263</v>
      </c>
      <c r="H7" s="751"/>
      <c r="I7" s="751"/>
      <c r="J7" s="751"/>
      <c r="K7" s="751"/>
      <c r="L7" s="751"/>
      <c r="M7" s="751"/>
      <c r="N7" s="751"/>
      <c r="O7" s="751"/>
      <c r="P7" s="751"/>
      <c r="Q7" s="751"/>
    </row>
    <row r="8" spans="1:29">
      <c r="A8" s="2244"/>
      <c r="B8" s="315" t="s">
        <v>2260</v>
      </c>
      <c r="C8" s="3156" t="s">
        <v>3431</v>
      </c>
      <c r="D8" s="2241"/>
      <c r="E8" s="2241"/>
      <c r="F8" s="121"/>
      <c r="G8" s="121"/>
      <c r="H8" s="751"/>
      <c r="I8" s="751"/>
      <c r="J8" s="751"/>
      <c r="K8" s="751"/>
      <c r="L8" s="751"/>
      <c r="M8" s="751"/>
      <c r="N8" s="751"/>
      <c r="O8" s="751"/>
      <c r="P8" s="751"/>
      <c r="Q8" s="751"/>
    </row>
    <row r="9" spans="1:29" ht="36">
      <c r="A9" s="2244"/>
      <c r="B9" s="315" t="s">
        <v>2264</v>
      </c>
      <c r="C9" s="3159" t="s">
        <v>3786</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38.25">
      <c r="A15" s="2246" t="s">
        <v>2268</v>
      </c>
      <c r="B15" s="2283" t="s">
        <v>2249</v>
      </c>
      <c r="C15" s="2284" t="str">
        <f>C3</f>
        <v>周边有中海雅园、北洼西里等住宅小区，居住社区成熟度较好。</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51">
      <c r="A18" s="2248"/>
      <c r="B18" s="2288" t="s">
        <v>2259</v>
      </c>
      <c r="C18" s="2289" t="str">
        <f>C6</f>
        <v>周边有601路、709路等多条公交线路，综合评价交通便捷度一般</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63.75">
      <c r="A20" s="2248"/>
      <c r="B20" s="2288" t="s">
        <v>2273</v>
      </c>
      <c r="C20" s="2287" t="str">
        <f>C9</f>
        <v>人文环境：首都师范大学等人文场所；
综合评价环境状况一般。</v>
      </c>
      <c r="D20" s="2241"/>
      <c r="E20" s="2249"/>
      <c r="F20" s="315" t="s">
        <v>2260</v>
      </c>
      <c r="G20" s="2289" t="str">
        <f>G6</f>
        <v>估价对象所在区域基础设施水平</v>
      </c>
    </row>
    <row r="21" spans="1:17" ht="178.5">
      <c r="A21" s="2248"/>
      <c r="B21" s="315" t="s">
        <v>2257</v>
      </c>
      <c r="C21" s="2289" t="str">
        <f>C7</f>
        <v>银行：等金融机构；
医院：中国人民解放军第304医院等医疗机构；
学校：首都师范大学、首都师范大学附属中学等教育机构；
商业：社区级商业设施；
综合评价公共服务设施齐备度一般。</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204.54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38867</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192.45169999999999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3356</v>
      </c>
      <c r="D10" s="2295" t="s">
        <v>3357</v>
      </c>
      <c r="E10" s="3132"/>
      <c r="F10" s="3136" t="s">
        <v>3358</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204.54</v>
      </c>
      <c r="C14" s="2301"/>
      <c r="D14" s="2301">
        <f ca="1">ROUND(E14*B14/10000,4)</f>
        <v>192.45169999999999</v>
      </c>
      <c r="E14" s="2301">
        <f ca="1">结果表!G20</f>
        <v>9409</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D14" sqref="D14:D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623" t="s">
        <v>1265</v>
      </c>
      <c r="B4" s="1624" t="s">
        <v>1266</v>
      </c>
      <c r="C4" s="1625" t="s">
        <v>3580</v>
      </c>
      <c r="D4" s="1625" t="s">
        <v>3387</v>
      </c>
      <c r="E4" s="3618" t="s">
        <v>1267</v>
      </c>
      <c r="F4" s="3619"/>
      <c r="G4" s="3619"/>
      <c r="H4" s="3619"/>
      <c r="I4" s="362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557" t="s">
        <v>1268</v>
      </c>
      <c r="B5" s="3612">
        <v>25</v>
      </c>
      <c r="C5" s="3615"/>
      <c r="D5" s="3603"/>
      <c r="E5" s="123" t="s">
        <v>1269</v>
      </c>
      <c r="F5" s="1626"/>
      <c r="G5" s="1626"/>
      <c r="H5" s="1626"/>
      <c r="I5" s="1280"/>
    </row>
    <row r="6" spans="1:12" ht="12.75">
      <c r="A6" s="3557"/>
      <c r="B6" s="3612"/>
      <c r="C6" s="3617"/>
      <c r="D6" s="3603"/>
      <c r="E6" s="123" t="s">
        <v>1270</v>
      </c>
      <c r="F6" s="1626"/>
      <c r="G6" s="1626"/>
      <c r="H6" s="1626"/>
      <c r="I6" s="1280"/>
    </row>
    <row r="7" spans="1:12" ht="12.75">
      <c r="A7" s="3557"/>
      <c r="B7" s="3612"/>
      <c r="C7" s="3616"/>
      <c r="D7" s="3603"/>
      <c r="E7" s="123" t="s">
        <v>1271</v>
      </c>
      <c r="F7" s="1626"/>
      <c r="G7" s="1626"/>
      <c r="H7" s="1626"/>
      <c r="I7" s="1280"/>
    </row>
    <row r="8" spans="1:12" ht="12.75">
      <c r="A8" s="3557" t="s">
        <v>1272</v>
      </c>
      <c r="B8" s="3612">
        <v>15</v>
      </c>
      <c r="C8" s="3615"/>
      <c r="D8" s="3603"/>
      <c r="E8" s="123" t="s">
        <v>1273</v>
      </c>
      <c r="F8" s="1626"/>
      <c r="G8" s="1626"/>
      <c r="H8" s="1626"/>
      <c r="I8" s="1280"/>
    </row>
    <row r="9" spans="1:12" ht="12.75">
      <c r="A9" s="3557"/>
      <c r="B9" s="3612"/>
      <c r="C9" s="3616"/>
      <c r="D9" s="3603"/>
      <c r="E9" s="123" t="s">
        <v>1274</v>
      </c>
      <c r="F9" s="1626"/>
      <c r="G9" s="1626"/>
      <c r="H9" s="1626"/>
      <c r="I9" s="1280"/>
    </row>
    <row r="10" spans="1:12" ht="12.75">
      <c r="A10" s="3557" t="s">
        <v>1275</v>
      </c>
      <c r="B10" s="3612">
        <v>15</v>
      </c>
      <c r="C10" s="3615"/>
      <c r="D10" s="3603"/>
      <c r="E10" s="123" t="s">
        <v>1276</v>
      </c>
      <c r="F10" s="1626"/>
      <c r="G10" s="1626"/>
      <c r="H10" s="1626"/>
      <c r="I10" s="1280"/>
    </row>
    <row r="11" spans="1:12" ht="12.75">
      <c r="A11" s="3557"/>
      <c r="B11" s="3612"/>
      <c r="C11" s="3616"/>
      <c r="D11" s="3603"/>
      <c r="E11" s="123" t="s">
        <v>1277</v>
      </c>
      <c r="F11" s="1626"/>
      <c r="G11" s="1626"/>
      <c r="H11" s="1626"/>
      <c r="I11" s="1280"/>
    </row>
    <row r="12" spans="1:12" ht="12.75">
      <c r="A12" s="3557" t="s">
        <v>1278</v>
      </c>
      <c r="B12" s="3612">
        <v>15</v>
      </c>
      <c r="C12" s="3615"/>
      <c r="D12" s="3603"/>
      <c r="E12" s="123" t="s">
        <v>1279</v>
      </c>
      <c r="F12" s="1626"/>
      <c r="G12" s="1626"/>
      <c r="H12" s="1626"/>
      <c r="I12" s="1280"/>
    </row>
    <row r="13" spans="1:12" ht="12.75">
      <c r="A13" s="3557"/>
      <c r="B13" s="3612"/>
      <c r="C13" s="3616"/>
      <c r="D13" s="3603"/>
      <c r="E13" s="123" t="s">
        <v>1280</v>
      </c>
      <c r="F13" s="1626"/>
      <c r="G13" s="1626"/>
      <c r="H13" s="1626"/>
      <c r="I13" s="1280"/>
    </row>
    <row r="14" spans="1:12" ht="12.75">
      <c r="A14" s="3557" t="s">
        <v>1281</v>
      </c>
      <c r="B14" s="3612">
        <v>30</v>
      </c>
      <c r="C14" s="3615">
        <v>4</v>
      </c>
      <c r="D14" s="3603">
        <f>10-C14</f>
        <v>6</v>
      </c>
      <c r="E14" s="123" t="s">
        <v>1282</v>
      </c>
      <c r="F14" s="1626"/>
      <c r="G14" s="1626"/>
      <c r="H14" s="1626"/>
      <c r="I14" s="1280"/>
    </row>
    <row r="15" spans="1:12" ht="12.75">
      <c r="A15" s="3557"/>
      <c r="B15" s="3612"/>
      <c r="C15" s="3617"/>
      <c r="D15" s="3603"/>
      <c r="E15" s="123" t="s">
        <v>1283</v>
      </c>
      <c r="F15" s="1626"/>
      <c r="G15" s="1626"/>
      <c r="H15" s="1626"/>
      <c r="I15" s="1280"/>
    </row>
    <row r="16" spans="1:12" ht="12.75">
      <c r="A16" s="3557"/>
      <c r="B16" s="3612"/>
      <c r="C16" s="3616"/>
      <c r="D16" s="3603"/>
      <c r="E16" s="123" t="s">
        <v>1284</v>
      </c>
      <c r="F16" s="1626"/>
      <c r="G16" s="1626"/>
      <c r="H16" s="1626"/>
      <c r="I16" s="1280"/>
    </row>
    <row r="17" spans="1:36" ht="15">
      <c r="A17" s="1627" t="s">
        <v>1285</v>
      </c>
      <c r="B17" s="54"/>
      <c r="C17" s="124">
        <f>C14</f>
        <v>4</v>
      </c>
      <c r="D17" s="124">
        <f>D14</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634" t="s">
        <v>2128</v>
      </c>
      <c r="F18" s="3635"/>
      <c r="G18" s="3635"/>
      <c r="H18" s="3635"/>
      <c r="I18" s="3635"/>
      <c r="K18" s="294" t="s">
        <v>1289</v>
      </c>
      <c r="L18" s="294">
        <f>IF(C1="",'数据-汇总表'!E3,SUMIF(项目类型,C1,'数据-汇总表'!E17:E26)+SUMIF(项目类型,C1,'数据-汇总表'!I17:I26))</f>
        <v>204.54</v>
      </c>
      <c r="M18" s="294">
        <f>IF(C1="",'数据-汇总表'!E3,SUMIF(项目类型,C1,'数据-汇总表'!E17:E26))</f>
        <v>204.54</v>
      </c>
    </row>
    <row r="19" spans="1:36" ht="15">
      <c r="A19" s="1629" t="s">
        <v>1290</v>
      </c>
      <c r="B19" s="1630" t="s">
        <v>1291</v>
      </c>
      <c r="C19" s="126">
        <f ca="1">SUMIF(INDIRECT("'"&amp;C4&amp;"'"&amp;"!A:A"),结果表!B19,INDIRECT("'"&amp;C4&amp;"'"&amp;"!B:B"))</f>
        <v>259.57049999999998</v>
      </c>
      <c r="D19" s="127">
        <f ca="1">SUMIF(INDIRECT("'"&amp;D4&amp;"'"&amp;"!A:A"),结果表!B19,INDIRECT("'"&amp;D4&amp;"'"&amp;"!B:B"))</f>
        <v>147.69829999999999</v>
      </c>
      <c r="E19" s="1629" t="s">
        <v>1292</v>
      </c>
      <c r="F19" s="1630" t="s">
        <v>1291</v>
      </c>
      <c r="G19" s="3165">
        <f ca="1">ROUND(C19*$C$18+D19*$D$18,4)</f>
        <v>192.44720000000001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12690</v>
      </c>
      <c r="D20" s="130">
        <f ca="1">SUMIF(INDIRECT("'"&amp;D4&amp;"'"&amp;"!A:A"),结果表!B20,INDIRECT("'"&amp;D4&amp;"'"&amp;"!B:B"))</f>
        <v>7221</v>
      </c>
      <c r="E20" s="1632"/>
      <c r="F20" s="43" t="s">
        <v>1295</v>
      </c>
      <c r="G20" s="131">
        <f ca="1">ROUND(C20*$C$18+D20*$D$18,0)</f>
        <v>9409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0.75743728939331056</v>
      </c>
      <c r="E22" s="121"/>
      <c r="F22" s="121"/>
      <c r="G22" s="121"/>
      <c r="H22" s="121"/>
      <c r="I22" s="121"/>
    </row>
    <row r="23" spans="1:36" ht="13.5" thickBot="1">
      <c r="A23" s="646"/>
      <c r="B23" s="646"/>
      <c r="C23" s="646"/>
      <c r="D23" s="646"/>
      <c r="E23" s="121"/>
      <c r="F23" s="121"/>
      <c r="G23" s="121"/>
      <c r="H23" s="121"/>
      <c r="I23" s="121"/>
    </row>
    <row r="24" spans="1:36" ht="14.25">
      <c r="A24" s="3627" t="s">
        <v>1299</v>
      </c>
      <c r="B24" s="1630" t="s">
        <v>1291</v>
      </c>
      <c r="C24" s="128">
        <f>IF(B30=0,0,D30)</f>
        <v>0</v>
      </c>
      <c r="D24" s="1636"/>
      <c r="E24" s="121"/>
      <c r="F24" s="121"/>
      <c r="G24" s="121">
        <f ca="1">系统读取表!D14</f>
        <v>192.45169999999999</v>
      </c>
      <c r="H24" s="121"/>
      <c r="I24" s="121"/>
    </row>
    <row r="25" spans="1:36" ht="14.25">
      <c r="A25" s="362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72" t="s">
        <v>3438</v>
      </c>
      <c r="B27" s="134">
        <f>'数据-基础表'!I13</f>
        <v>204.54</v>
      </c>
      <c r="C27" s="134">
        <v>15.6</v>
      </c>
      <c r="D27" s="135">
        <f>ROUND(C27*B27,0)</f>
        <v>3191</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f ca="1">ROUND(D30*10000/B27,0)</f>
        <v>9393</v>
      </c>
      <c r="D30" s="3173">
        <f ca="1">ROUND((G19*10000-D27)/10000,4)</f>
        <v>192.12809999999999</v>
      </c>
      <c r="E30" s="2123" t="s">
        <v>2129</v>
      </c>
      <c r="F30" s="121"/>
      <c r="G30" s="121"/>
      <c r="H30" s="121"/>
      <c r="I30" s="121"/>
    </row>
    <row r="31" spans="1:36" s="2129" customFormat="1" ht="26.45"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9409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604" t="s">
        <v>1312</v>
      </c>
      <c r="B36" s="1651" t="s">
        <v>1313</v>
      </c>
      <c r="C36" s="137"/>
      <c r="D36" s="1652"/>
      <c r="E36" s="1566"/>
      <c r="F36" s="1653"/>
      <c r="G36" s="121"/>
      <c r="H36" s="121"/>
      <c r="I36" s="121"/>
    </row>
    <row r="37" spans="1:15" ht="15.75" thickBot="1">
      <c r="A37" s="3605"/>
      <c r="B37" s="1554" t="s">
        <v>1314</v>
      </c>
      <c r="C37" s="139"/>
      <c r="D37" s="1071"/>
      <c r="E37" s="1071"/>
      <c r="F37" s="1653"/>
      <c r="G37" s="121"/>
      <c r="H37" s="121"/>
      <c r="I37" s="121"/>
    </row>
    <row r="38" spans="1:15" ht="15.75" thickBot="1">
      <c r="A38" s="360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624" t="s">
        <v>1326</v>
      </c>
      <c r="B45" s="3625"/>
      <c r="C45" s="3626"/>
      <c r="D45" s="147" t="e">
        <f ca="1">ROUND(H101*F45,0)</f>
        <v>#REF!</v>
      </c>
      <c r="E45" s="148" t="s">
        <v>1327</v>
      </c>
      <c r="F45" s="149">
        <v>1</v>
      </c>
      <c r="G45" s="150" t="s">
        <v>1328</v>
      </c>
      <c r="H45" s="121"/>
      <c r="I45" s="121"/>
      <c r="J45" s="3544" t="s">
        <v>1329</v>
      </c>
      <c r="K45" s="3544"/>
      <c r="L45" s="3544"/>
      <c r="M45" s="3544"/>
      <c r="N45" s="3544"/>
      <c r="O45" s="3544"/>
    </row>
    <row r="46" spans="1:15" ht="14.25" customHeight="1">
      <c r="A46" s="3621" t="s">
        <v>1330</v>
      </c>
      <c r="B46" s="3622"/>
      <c r="C46" s="3622"/>
      <c r="D46" s="3622"/>
      <c r="E46" s="3622"/>
      <c r="F46" s="3622"/>
      <c r="G46" s="3623"/>
      <c r="H46" s="1667"/>
      <c r="I46" s="151"/>
      <c r="J46" s="2305">
        <v>1</v>
      </c>
      <c r="K46" s="3545" t="s">
        <v>1331</v>
      </c>
      <c r="L46" s="3545"/>
      <c r="M46" s="3546"/>
      <c r="N46" s="3546"/>
      <c r="O46" s="3546"/>
    </row>
    <row r="47" spans="1:15" ht="12" customHeight="1">
      <c r="A47" s="152" t="s">
        <v>1332</v>
      </c>
      <c r="B47" s="153"/>
      <c r="C47" s="154"/>
      <c r="D47" s="1024" t="s">
        <v>1333</v>
      </c>
      <c r="E47" s="294" t="s">
        <v>1334</v>
      </c>
      <c r="F47" s="155" t="s">
        <v>1335</v>
      </c>
      <c r="G47" s="2328" t="s">
        <v>1336</v>
      </c>
      <c r="H47" s="2329"/>
      <c r="I47" s="151"/>
      <c r="J47" s="2305">
        <v>2</v>
      </c>
      <c r="K47" s="3545" t="s">
        <v>1337</v>
      </c>
      <c r="L47" s="3545"/>
      <c r="M47" s="3547">
        <f>'数据-取费表'!B2</f>
        <v>38867</v>
      </c>
      <c r="N47" s="3547"/>
      <c r="O47" s="3547"/>
    </row>
    <row r="48" spans="1:15" ht="25.5">
      <c r="A48" s="3607" t="s">
        <v>1338</v>
      </c>
      <c r="B48" s="3608"/>
      <c r="C48" s="3608"/>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545" t="s">
        <v>1340</v>
      </c>
      <c r="L48" s="3545"/>
      <c r="M48" s="3548" t="e">
        <f ca="1">H101</f>
        <v>#REF!</v>
      </c>
      <c r="N48" s="3548"/>
      <c r="O48" s="3548"/>
    </row>
    <row r="49" spans="1:35" ht="25.5" customHeight="1">
      <c r="A49" s="2148" t="s">
        <v>1341</v>
      </c>
      <c r="B49" s="3593" t="s">
        <v>1342</v>
      </c>
      <c r="C49" s="3593"/>
      <c r="D49" s="1477">
        <v>0</v>
      </c>
      <c r="E49" s="316" t="s">
        <v>1343</v>
      </c>
      <c r="F49" s="2229" t="s">
        <v>28</v>
      </c>
      <c r="G49" s="3576"/>
      <c r="H49" s="2130" t="s">
        <v>2131</v>
      </c>
      <c r="I49" s="2131"/>
      <c r="J49" s="2305">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333"/>
      <c r="B50" s="3593" t="s">
        <v>1344</v>
      </c>
      <c r="C50" s="3593"/>
      <c r="D50" s="2185"/>
      <c r="E50" s="323"/>
      <c r="F50" s="2229"/>
      <c r="G50" s="3577"/>
      <c r="H50" s="2132" t="s">
        <v>2132</v>
      </c>
      <c r="I50" s="2131"/>
      <c r="J50" s="3544" t="s">
        <v>1345</v>
      </c>
      <c r="K50" s="3544"/>
      <c r="L50" s="3544"/>
      <c r="M50" s="3544"/>
      <c r="N50" s="3544"/>
      <c r="O50" s="3544"/>
    </row>
    <row r="51" spans="1:35" ht="20.45" customHeight="1">
      <c r="A51" s="2334"/>
      <c r="B51" s="3593" t="s">
        <v>1346</v>
      </c>
      <c r="C51" s="3593"/>
      <c r="D51" s="1024"/>
      <c r="E51" s="319"/>
      <c r="F51" s="2229"/>
      <c r="G51" s="3578"/>
      <c r="H51" s="2132" t="s">
        <v>2133</v>
      </c>
      <c r="I51" s="2131"/>
      <c r="J51" s="2306" t="s">
        <v>1347</v>
      </c>
      <c r="K51" s="3545" t="s">
        <v>1348</v>
      </c>
      <c r="L51" s="3545"/>
      <c r="M51" s="2306" t="s">
        <v>1349</v>
      </c>
      <c r="N51" s="2306" t="s">
        <v>1350</v>
      </c>
      <c r="O51" s="2306" t="s">
        <v>1351</v>
      </c>
    </row>
    <row r="52" spans="1:35" ht="24" customHeight="1">
      <c r="A52" s="2149" t="s">
        <v>1352</v>
      </c>
      <c r="B52" s="3593" t="s">
        <v>1353</v>
      </c>
      <c r="C52" s="3593"/>
      <c r="D52" s="1024" t="e">
        <f ca="1">ROUND(D45*'数据-取费表'!B41/(1+'数据-取费表'!C42),0)</f>
        <v>#REF!</v>
      </c>
      <c r="E52" s="1255" t="s">
        <v>1354</v>
      </c>
      <c r="F52" s="2335">
        <f>'数据-取费表'!B41</f>
        <v>5.5000000000000007E-2</v>
      </c>
      <c r="G52" s="2336"/>
      <c r="H52" s="2326"/>
      <c r="I52" s="1668"/>
      <c r="J52" s="2305">
        <v>1</v>
      </c>
      <c r="K52" s="3570" t="s">
        <v>1355</v>
      </c>
      <c r="L52" s="3570"/>
      <c r="M52" s="2307" t="b">
        <f>D48</f>
        <v>0</v>
      </c>
      <c r="N52" s="2305" t="str">
        <f>E48</f>
        <v>销售额×税（费）率</v>
      </c>
      <c r="O52" s="2308">
        <f>F48</f>
        <v>5.5000000000000007E-2</v>
      </c>
    </row>
    <row r="53" spans="1:35" ht="12" customHeight="1">
      <c r="A53" s="2149" t="s">
        <v>1356</v>
      </c>
      <c r="B53" s="3594" t="s">
        <v>2286</v>
      </c>
      <c r="C53" s="3595"/>
      <c r="D53" s="1024" t="e">
        <f ca="1">ROUND(D45*'数据-取费表'!B41/(1+'数据-取费表'!C42),0)</f>
        <v>#REF!</v>
      </c>
      <c r="E53" s="1255" t="s">
        <v>1354</v>
      </c>
      <c r="F53" s="2335">
        <f>'数据-取费表'!B41</f>
        <v>5.5000000000000007E-2</v>
      </c>
      <c r="G53" s="2336"/>
      <c r="H53" s="2326"/>
      <c r="I53" s="1668"/>
      <c r="J53" s="2305">
        <v>2</v>
      </c>
      <c r="K53" s="3570" t="s">
        <v>1357</v>
      </c>
      <c r="L53" s="3570"/>
      <c r="M53" s="2307" t="e">
        <f t="shared" ref="M53:O54" ca="1" si="0">D55</f>
        <v>#REF!</v>
      </c>
      <c r="N53" s="2305" t="str">
        <f t="shared" si="0"/>
        <v>销售额×税（费）率</v>
      </c>
      <c r="O53" s="2308" t="str">
        <f t="shared" si="0"/>
        <v>免征</v>
      </c>
    </row>
    <row r="54" spans="1:35" ht="12" customHeight="1">
      <c r="A54" s="2149" t="s">
        <v>1358</v>
      </c>
      <c r="B54" s="3594" t="s">
        <v>2287</v>
      </c>
      <c r="C54" s="3595"/>
      <c r="D54" s="1024" t="e">
        <f ca="1">C68</f>
        <v>#REF!</v>
      </c>
      <c r="E54" s="319" t="s">
        <v>1359</v>
      </c>
      <c r="F54" s="2335">
        <f>'数据-取费表'!B41</f>
        <v>5.5000000000000007E-2</v>
      </c>
      <c r="G54" s="2336"/>
      <c r="H54" s="2337"/>
      <c r="I54" s="1668"/>
      <c r="J54" s="2305">
        <v>3</v>
      </c>
      <c r="K54" s="3570" t="s">
        <v>1360</v>
      </c>
      <c r="L54" s="3570"/>
      <c r="M54" s="2307" t="e">
        <f t="shared" ca="1" si="0"/>
        <v>#REF!</v>
      </c>
      <c r="N54" s="2305" t="str">
        <f t="shared" si="0"/>
        <v>增值额×税（费）率</v>
      </c>
      <c r="O54" s="2309" t="str">
        <f t="shared" si="0"/>
        <v>免征</v>
      </c>
    </row>
    <row r="55" spans="1:35" ht="24" customHeight="1">
      <c r="A55" s="3630" t="s">
        <v>1361</v>
      </c>
      <c r="B55" s="3608"/>
      <c r="C55" s="3608"/>
      <c r="D55" s="12" t="e">
        <f ca="1">IF(H55="个人住宅",0,ROUND(D45*I55,0))</f>
        <v>#REF!</v>
      </c>
      <c r="E55" s="1255" t="s">
        <v>1362</v>
      </c>
      <c r="F55" s="2335" t="str">
        <f>IF(H55="正常",I55,"免征")</f>
        <v>免征</v>
      </c>
      <c r="G55" s="2336"/>
      <c r="H55" s="2332"/>
      <c r="I55" s="157">
        <f>'数据-取费表'!B49</f>
        <v>5.0000000000000001E-4</v>
      </c>
      <c r="J55" s="2305">
        <f>IF(H59="非个人房产","",4)</f>
        <v>4</v>
      </c>
      <c r="K55" s="3570" t="str">
        <f>IF(H59="非个人房产","——","个人所得税")</f>
        <v>个人所得税</v>
      </c>
      <c r="L55" s="3570"/>
      <c r="M55" s="2310" t="e">
        <f ca="1">D59</f>
        <v>#REF!</v>
      </c>
      <c r="N55" s="1879" t="str">
        <f>E59</f>
        <v>差额计税</v>
      </c>
      <c r="O55" s="2311">
        <f>F59</f>
        <v>0.01</v>
      </c>
    </row>
    <row r="56" spans="1:35" ht="24.75">
      <c r="A56" s="3630" t="s">
        <v>1363</v>
      </c>
      <c r="B56" s="3608"/>
      <c r="C56" s="3608"/>
      <c r="D56" s="12" t="e">
        <f ca="1">IF(H56="个人住宅",D57,D58)</f>
        <v>#REF!</v>
      </c>
      <c r="E56" s="1255" t="s">
        <v>1364</v>
      </c>
      <c r="F56" s="2335" t="str">
        <f>IF(H56="正常",F58,"免征")</f>
        <v>免征</v>
      </c>
      <c r="G56" s="2338" t="s">
        <v>1365</v>
      </c>
      <c r="H56" s="2339"/>
      <c r="I56" s="1669"/>
      <c r="J56" s="2305" t="str">
        <f>IF(项目基本情况!K6="上海银行",IF(J55="",4,J55+1),"")</f>
        <v/>
      </c>
      <c r="K56" s="3551" t="str">
        <f>IF(项目基本情况!K6="上海银行","其他处置费用","")</f>
        <v/>
      </c>
      <c r="L56" s="3552"/>
      <c r="M56" s="2307" t="str">
        <f>IF(项目基本情况!K6="上海银行",M69,"")</f>
        <v/>
      </c>
      <c r="N56" s="3551" t="str">
        <f>IF(项目基本情况!K6="上海银行","包含处置中涉及的律师、诉讼、拍卖、评估等费用","")</f>
        <v/>
      </c>
      <c r="O56" s="3554"/>
    </row>
    <row r="57" spans="1:35" ht="12.75">
      <c r="A57" s="2149" t="s">
        <v>1341</v>
      </c>
      <c r="B57" s="3594" t="s">
        <v>1366</v>
      </c>
      <c r="C57" s="3595"/>
      <c r="D57" s="1477">
        <v>0</v>
      </c>
      <c r="E57" s="316" t="s">
        <v>1343</v>
      </c>
      <c r="F57" s="294"/>
      <c r="G57" s="2336"/>
      <c r="H57" s="2340"/>
      <c r="I57" s="1669"/>
      <c r="J57" s="3570">
        <f>IF(AND(J55="",J56=""),4,IF(项目基本情况!K6="上海银行",结果表!J56+1,结果表!J55+1))</f>
        <v>5</v>
      </c>
      <c r="K57" s="3570" t="s">
        <v>1367</v>
      </c>
      <c r="L57" s="2312" t="s">
        <v>1368</v>
      </c>
      <c r="M57" s="2313"/>
      <c r="N57" s="2314">
        <f ca="1">SUMIF(M52:M56,"&lt;9e307")</f>
        <v>0</v>
      </c>
      <c r="O57" s="2315"/>
      <c r="P57" s="2460" t="e">
        <f ca="1">N57/M49</f>
        <v>#VALUE!</v>
      </c>
    </row>
    <row r="58" spans="1:35" ht="24.75">
      <c r="A58" s="2149" t="s">
        <v>1352</v>
      </c>
      <c r="B58" s="3594" t="s">
        <v>1369</v>
      </c>
      <c r="C58" s="3593"/>
      <c r="D58" s="12" t="e">
        <f ca="1">IF(H58="转让取得",C81,C97)</f>
        <v>#REF!</v>
      </c>
      <c r="E58" s="1255" t="s">
        <v>1364</v>
      </c>
      <c r="F58" s="294" t="s">
        <v>28</v>
      </c>
      <c r="G58" s="2336"/>
      <c r="H58" s="2339"/>
      <c r="I58" s="1669"/>
      <c r="J58" s="3570"/>
      <c r="K58" s="3570"/>
      <c r="L58" s="2312" t="s">
        <v>1370</v>
      </c>
      <c r="M58" s="2316"/>
      <c r="N58" s="2317" t="str">
        <f ca="1">NUMBERSTRING(INT(N57*10000),2)&amp;"元整"</f>
        <v>零元整</v>
      </c>
      <c r="O58" s="2318"/>
    </row>
    <row r="59" spans="1:35" ht="24.75" thickBot="1">
      <c r="A59" s="3574" t="s">
        <v>1371</v>
      </c>
      <c r="B59" s="3575"/>
      <c r="C59" s="3575"/>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2134</v>
      </c>
      <c r="J59" s="3572">
        <f>J57+1</f>
        <v>6</v>
      </c>
      <c r="K59" s="3570" t="s">
        <v>1372</v>
      </c>
      <c r="L59" s="2305" t="s">
        <v>1368</v>
      </c>
      <c r="M59" s="2319"/>
      <c r="N59" s="2320" t="e">
        <f ca="1">M49-N57</f>
        <v>#VALUE!</v>
      </c>
      <c r="O59" s="2321"/>
    </row>
    <row r="60" spans="1:35" ht="12" customHeight="1">
      <c r="A60" s="1670"/>
      <c r="B60" s="646"/>
      <c r="C60" s="646"/>
      <c r="D60" s="646"/>
      <c r="E60" s="1465"/>
      <c r="F60" s="1669"/>
      <c r="G60" s="1669"/>
      <c r="H60" s="151"/>
      <c r="I60" s="121"/>
      <c r="J60" s="3573"/>
      <c r="K60" s="3570"/>
      <c r="L60" s="2312" t="s">
        <v>1370</v>
      </c>
      <c r="M60" s="2316"/>
      <c r="N60" s="2317" t="e">
        <f ca="1">NUMBERSTRING(INT(N59*10000),2)&amp;"元整"</f>
        <v>#VALUE!</v>
      </c>
      <c r="O60" s="2318"/>
    </row>
    <row r="61" spans="1:35" ht="13.5" thickBot="1">
      <c r="A61" s="3629" t="s">
        <v>1373</v>
      </c>
      <c r="B61" s="3629"/>
      <c r="C61" s="3629"/>
      <c r="D61" s="3629"/>
      <c r="E61" s="3629"/>
      <c r="F61" s="1669"/>
      <c r="G61" s="1669"/>
      <c r="H61" s="151"/>
      <c r="I61" s="121"/>
      <c r="J61" s="2305">
        <f>J59+1</f>
        <v>7</v>
      </c>
      <c r="K61" s="3570" t="s">
        <v>1374</v>
      </c>
      <c r="L61" s="3570"/>
      <c r="M61" s="2322"/>
      <c r="N61" s="2323" t="e">
        <f ca="1">ROUND(N59*10000/'数据-汇总表'!E3,0)</f>
        <v>#VALUE!</v>
      </c>
      <c r="O61" s="2324"/>
    </row>
    <row r="62" spans="1:35" ht="12.75">
      <c r="A62" s="3589" t="s">
        <v>1375</v>
      </c>
      <c r="B62" s="3590"/>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553"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55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1383</v>
      </c>
      <c r="Z64" s="1622"/>
      <c r="AI64" s="1560"/>
    </row>
    <row r="65" spans="1:35" ht="14.25" customHeight="1">
      <c r="A65" s="161" t="s">
        <v>326</v>
      </c>
      <c r="B65" s="162" t="s">
        <v>1384</v>
      </c>
      <c r="C65" s="2347"/>
      <c r="D65" s="162"/>
      <c r="E65" s="164"/>
      <c r="F65" s="1669"/>
      <c r="G65" s="1669"/>
      <c r="H65" s="151"/>
      <c r="I65" s="121"/>
      <c r="J65" s="3553"/>
      <c r="K65" s="1244" t="s">
        <v>1385</v>
      </c>
      <c r="L65" s="1244" t="e">
        <f>IF(M49&gt;1000,M49*0.1%,IF(AND(M49&gt;500,M49&lt;=1000),M49*0.5%,IF(AND(M49&gt;50,M49&lt;=500),M49*1%,IF(AND(M49&gt;1,M49&lt;=50),M49*1.5%))))</f>
        <v>#VALUE!</v>
      </c>
      <c r="M65" s="294" t="e">
        <f t="shared" si="1"/>
        <v>#VALUE!</v>
      </c>
      <c r="N65" s="2326" t="s">
        <v>1383</v>
      </c>
      <c r="Z65" s="1622"/>
      <c r="AI65" s="1560"/>
    </row>
    <row r="66" spans="1:35" ht="14.25" customHeight="1">
      <c r="A66" s="165" t="s">
        <v>327</v>
      </c>
      <c r="B66" s="166" t="s">
        <v>1386</v>
      </c>
      <c r="C66" s="2348"/>
      <c r="D66" s="166" t="s">
        <v>26</v>
      </c>
      <c r="E66" s="1250" t="s">
        <v>671</v>
      </c>
      <c r="F66" s="1669"/>
      <c r="G66" s="1669"/>
      <c r="H66" s="151"/>
      <c r="I66" s="121"/>
      <c r="J66" s="3553"/>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55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553"/>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553"/>
      <c r="K69" s="1244" t="s">
        <v>1393</v>
      </c>
      <c r="L69" s="1244"/>
      <c r="M69" s="294" t="e">
        <f>ROUND(SUM(M63:M68),0)</f>
        <v>#VALUE!</v>
      </c>
      <c r="N69" s="2327" t="e">
        <f>M69/M49</f>
        <v>#VALUE!</v>
      </c>
      <c r="Z69" s="1622"/>
      <c r="AI69" s="1560"/>
    </row>
    <row r="70" spans="1:35" s="642" customFormat="1" ht="15" thickBot="1">
      <c r="A70" s="3597" t="s">
        <v>1394</v>
      </c>
      <c r="B70" s="3598"/>
      <c r="C70" s="3598"/>
      <c r="D70" s="3598"/>
      <c r="E70" s="3598"/>
      <c r="F70" s="3598"/>
      <c r="G70" s="3598"/>
      <c r="H70" s="359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589" t="s">
        <v>1375</v>
      </c>
      <c r="B71" s="3590"/>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594" t="s">
        <v>1402</v>
      </c>
      <c r="F76" s="3593"/>
      <c r="G76" s="3593"/>
      <c r="H76" s="35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586" t="s">
        <v>1406</v>
      </c>
      <c r="F78" s="3587"/>
      <c r="G78" s="3587"/>
      <c r="H78" s="35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597" t="s">
        <v>1410</v>
      </c>
      <c r="B83" s="3598"/>
      <c r="C83" s="3598"/>
      <c r="D83" s="3598"/>
      <c r="E83" s="3598"/>
      <c r="F83" s="3598"/>
      <c r="G83" s="3598"/>
      <c r="H83" s="35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589" t="s">
        <v>1375</v>
      </c>
      <c r="B84" s="3590"/>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555" t="s">
        <v>2126</v>
      </c>
      <c r="H90" s="3556"/>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586" t="s">
        <v>1419</v>
      </c>
      <c r="F91" s="3587"/>
      <c r="G91" s="35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586" t="s">
        <v>1422</v>
      </c>
      <c r="F92" s="3587"/>
      <c r="G92" s="3587"/>
      <c r="H92" s="3588"/>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586" t="s">
        <v>1406</v>
      </c>
      <c r="F93" s="3587"/>
      <c r="G93" s="3587"/>
      <c r="H93" s="35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631" t="s">
        <v>1426</v>
      </c>
      <c r="F94" s="3632"/>
      <c r="G94" s="3632"/>
      <c r="H94" s="363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536" t="s">
        <v>1428</v>
      </c>
      <c r="B100" s="3537"/>
      <c r="C100" s="3537"/>
      <c r="D100" s="3571"/>
      <c r="E100" s="3537" t="s">
        <v>1429</v>
      </c>
      <c r="F100" s="3537"/>
      <c r="G100" s="3537"/>
      <c r="H100" s="3571"/>
      <c r="I100" s="121"/>
    </row>
    <row r="101" spans="1:35" ht="18.75" customHeight="1">
      <c r="A101" s="3579" t="s">
        <v>1430</v>
      </c>
      <c r="B101" s="3580"/>
      <c r="C101" s="2366" t="str">
        <f>C4</f>
        <v>成本法 (元)</v>
      </c>
      <c r="D101" s="2367" t="str">
        <f>D4</f>
        <v>比较法-住宅</v>
      </c>
      <c r="E101" s="3549" t="s">
        <v>1431</v>
      </c>
      <c r="F101" s="3550"/>
      <c r="G101" s="1686" t="s">
        <v>1432</v>
      </c>
      <c r="H101" s="2376" t="e">
        <f ca="1">H118</f>
        <v>#REF!</v>
      </c>
      <c r="I101" s="121"/>
    </row>
    <row r="102" spans="1:35" ht="18.75" customHeight="1">
      <c r="A102" s="3581" t="s">
        <v>1433</v>
      </c>
      <c r="B102" s="2365" t="s">
        <v>1432</v>
      </c>
      <c r="C102" s="2366">
        <f ca="1">IF(D32="楼面单价",ROUND(C19,0),C19)</f>
        <v>259.57049999999998</v>
      </c>
      <c r="D102" s="2367">
        <f ca="1">IF(D32="楼面单价",ROUND(D19,0),D19)</f>
        <v>147.69829999999999</v>
      </c>
      <c r="E102" s="3549"/>
      <c r="F102" s="3550"/>
      <c r="G102" s="1686" t="s">
        <v>1434</v>
      </c>
      <c r="H102" s="2336" t="e">
        <f ca="1">I118</f>
        <v>#REF!</v>
      </c>
      <c r="I102" s="121"/>
    </row>
    <row r="103" spans="1:35" ht="42.75" customHeight="1">
      <c r="A103" s="3581"/>
      <c r="B103" s="2365" t="s">
        <v>1434</v>
      </c>
      <c r="C103" s="2368">
        <f ca="1">C20</f>
        <v>12690</v>
      </c>
      <c r="D103" s="2369">
        <f ca="1">D20</f>
        <v>7221</v>
      </c>
      <c r="E103" s="3542" t="s">
        <v>1435</v>
      </c>
      <c r="F103" s="3543"/>
      <c r="G103" s="1687" t="s">
        <v>1436</v>
      </c>
      <c r="H103" s="2376">
        <f>IF(D36="正常操作",H104+H105+H106,H105+H106)</f>
        <v>0</v>
      </c>
      <c r="I103" s="121"/>
    </row>
    <row r="104" spans="1:35" ht="18.75" customHeight="1">
      <c r="A104" s="3581"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591"/>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582" t="str">
        <f>IF(项目基本情况!E8="已注销","——","3.房地产抵押价值")</f>
        <v>3.房地产抵押价值</v>
      </c>
      <c r="F107" s="3550"/>
      <c r="G107" s="1686" t="s">
        <v>1432</v>
      </c>
      <c r="H107" s="2376" t="e">
        <f ca="1">IF(E107="——","——",H101-H103)</f>
        <v>#REF!</v>
      </c>
      <c r="I107" s="121"/>
    </row>
    <row r="108" spans="1:35" ht="18.75" customHeight="1">
      <c r="A108" s="121"/>
      <c r="B108" s="121"/>
      <c r="C108" s="121"/>
      <c r="D108" s="121"/>
      <c r="E108" s="3582"/>
      <c r="F108" s="3550"/>
      <c r="G108" s="1686" t="s">
        <v>1434</v>
      </c>
      <c r="H108" s="2336">
        <f ca="1">IF(H107=H101,H102,ROUND(H107*10000/'数据-汇总表'!E3,0))</f>
        <v>0</v>
      </c>
      <c r="I108" s="121"/>
    </row>
    <row r="109" spans="1:35" ht="18.75" customHeight="1">
      <c r="A109" s="121"/>
      <c r="B109" s="121"/>
      <c r="C109" s="121"/>
      <c r="D109" s="121"/>
      <c r="E109" s="3582" t="str">
        <f>IF(项目基本情况!E8="已注销及未注销","4.抵押担保权已注销时的房地产抵押价值",IF(项目基本情况!E8="已注销","3.抵押担保权已注销时的房地产抵押价值","——"))</f>
        <v>——</v>
      </c>
      <c r="F109" s="3550"/>
      <c r="G109" s="1686" t="s">
        <v>1432</v>
      </c>
      <c r="H109" s="2379" t="str">
        <f>IF(E109="——","——",H101-H105-H106)</f>
        <v>——</v>
      </c>
      <c r="I109" s="121"/>
    </row>
    <row r="110" spans="1:35" ht="18.75" customHeight="1">
      <c r="A110" s="121"/>
      <c r="B110" s="121"/>
      <c r="C110" s="121"/>
      <c r="D110" s="121"/>
      <c r="E110" s="3582"/>
      <c r="F110" s="3550"/>
      <c r="G110" s="1686" t="s">
        <v>1434</v>
      </c>
      <c r="H110" s="2336" t="str">
        <f>IF(H109="——","——",ROUND(H109*10000/'数据-汇总表'!E3,0))</f>
        <v>——</v>
      </c>
      <c r="I110" s="121"/>
    </row>
    <row r="111" spans="1:35" ht="18.75" customHeight="1">
      <c r="A111" s="121"/>
      <c r="B111" s="121"/>
      <c r="C111" s="121"/>
      <c r="D111" s="121"/>
      <c r="E111" s="3583" t="str">
        <f>IF(项目基本情况!E9="抵押净值",IF(OR(项目基本情况!E8="已注销",项目基本情况!E8="房地产抵押价值"),"4.抵押净值","5.抵押净值"),"——")</f>
        <v>——</v>
      </c>
      <c r="F111" s="3569"/>
      <c r="G111" s="1686" t="s">
        <v>1432</v>
      </c>
      <c r="H111" s="2376" t="str">
        <f>IF(E111="——","——",N59)</f>
        <v>——</v>
      </c>
      <c r="I111" s="121"/>
    </row>
    <row r="112" spans="1:35" ht="18.75" customHeight="1" thickBot="1">
      <c r="A112" s="121"/>
      <c r="B112" s="121"/>
      <c r="C112" s="121"/>
      <c r="D112" s="121"/>
      <c r="E112" s="3584"/>
      <c r="F112" s="3585"/>
      <c r="G112" s="1689" t="s">
        <v>1434</v>
      </c>
      <c r="H112" s="2380" t="str">
        <f>IF(E111="——","——",N61)</f>
        <v>——</v>
      </c>
      <c r="I112" s="121"/>
    </row>
    <row r="113" spans="1:27" ht="18.75" customHeight="1">
      <c r="A113" s="121"/>
      <c r="B113" s="121"/>
      <c r="C113" s="121"/>
      <c r="D113" s="121"/>
      <c r="E113" s="3592" t="s">
        <v>1440</v>
      </c>
      <c r="F113" s="3592"/>
      <c r="G113" s="3592"/>
      <c r="H113" s="3592"/>
      <c r="I113" s="121"/>
    </row>
    <row r="114" spans="1:27" ht="3.75" customHeight="1">
      <c r="A114" s="646"/>
      <c r="B114" s="646"/>
      <c r="C114" s="646"/>
      <c r="D114" s="646"/>
      <c r="E114" s="1670"/>
      <c r="F114" s="1670"/>
      <c r="G114" s="1670"/>
      <c r="H114" s="1670"/>
      <c r="I114" s="6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204.54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557" t="s">
        <v>1452</v>
      </c>
      <c r="B119" s="3557"/>
      <c r="C119" s="3557"/>
      <c r="D119" s="3563" t="e">
        <f ca="1">NUMBERSTRING(INT(D118*10000),2)&amp;"元整"</f>
        <v>#REF!</v>
      </c>
      <c r="E119" s="3564"/>
      <c r="F119" s="3563" t="e">
        <f ca="1">NUMBERSTRING(INT(F118*10000),2)&amp;"元整"</f>
        <v>#REF!</v>
      </c>
      <c r="G119" s="3564"/>
      <c r="H119" s="3563" t="e">
        <f ca="1">NUMBERSTRING(INT(H118*10000),2)&amp;"元整"</f>
        <v>#REF!</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563" t="s">
        <v>1452</v>
      </c>
      <c r="B121" s="3565"/>
      <c r="C121" s="3564"/>
      <c r="D121" s="3563" t="str">
        <f>IF(D120=0,"零元整",NUMBERSTRING(INT(D120*10000),2)&amp;"元整")</f>
        <v>零元整</v>
      </c>
      <c r="E121" s="3565"/>
      <c r="F121" s="3565"/>
      <c r="G121" s="3565"/>
      <c r="H121" s="3565"/>
      <c r="I121" s="3564"/>
      <c r="AA121" s="684"/>
    </row>
    <row r="122" spans="1:27" ht="18.75" customHeight="1">
      <c r="A122" s="3569" t="str">
        <f>IF(项目基本情况!B9="房地产市场价值","",MID(E107,3,LEN(E107)-2))</f>
        <v>房地产抵押价值</v>
      </c>
      <c r="B122" s="3569"/>
      <c r="C122" s="3569"/>
      <c r="D122" s="3558" t="e">
        <f ca="1">H107</f>
        <v>#REF!</v>
      </c>
      <c r="E122" s="3559"/>
      <c r="F122" s="3559"/>
      <c r="G122" s="3559"/>
      <c r="H122" s="3559"/>
      <c r="I122" s="3560"/>
      <c r="AA122" s="684"/>
    </row>
    <row r="123" spans="1:27" ht="18.75" customHeight="1">
      <c r="A123" s="3557" t="s">
        <v>1452</v>
      </c>
      <c r="B123" s="3557"/>
      <c r="C123" s="3557"/>
      <c r="D123" s="3563" t="e">
        <f ca="1">NUMBERSTRING(INT(D122*10000),2)&amp;"元整"</f>
        <v>#REF!</v>
      </c>
      <c r="E123" s="3565"/>
      <c r="F123" s="3565"/>
      <c r="G123" s="3565"/>
      <c r="H123" s="3565"/>
      <c r="I123" s="3564"/>
      <c r="AA123" s="684"/>
    </row>
    <row r="124" spans="1:27" ht="18.75" customHeight="1">
      <c r="A124" s="3569" t="str">
        <f>IF(项目基本情况!B9="房地产市场价值","",MID(E109,3,LEN(E109)-2))</f>
        <v/>
      </c>
      <c r="B124" s="3569"/>
      <c r="C124" s="3569"/>
      <c r="D124" s="3558" t="str">
        <f>H109</f>
        <v>——</v>
      </c>
      <c r="E124" s="3559"/>
      <c r="F124" s="3559"/>
      <c r="G124" s="3559"/>
      <c r="H124" s="3559"/>
      <c r="I124" s="3560"/>
      <c r="AA124" s="684"/>
    </row>
    <row r="125" spans="1:27" ht="18.75" customHeight="1">
      <c r="A125" s="3557" t="s">
        <v>1452</v>
      </c>
      <c r="B125" s="3557"/>
      <c r="C125" s="3557"/>
      <c r="D125" s="3563" t="e">
        <f>NUMBERSTRING(INT(D124*10000),2)&amp;"元整"</f>
        <v>#VALUE!</v>
      </c>
      <c r="E125" s="3565"/>
      <c r="F125" s="3565"/>
      <c r="G125" s="3565"/>
      <c r="H125" s="3565"/>
      <c r="I125" s="3564"/>
      <c r="AA125" s="684"/>
    </row>
    <row r="126" spans="1:27" ht="18.75" customHeight="1">
      <c r="A126" s="3569" t="str">
        <f>IF(项目基本情况!B9="房地产市场价值","",MID(E111,3,LEN(E111)-2))</f>
        <v/>
      </c>
      <c r="B126" s="3569"/>
      <c r="C126" s="3569"/>
      <c r="D126" s="3558" t="str">
        <f>H111</f>
        <v>——</v>
      </c>
      <c r="E126" s="3559"/>
      <c r="F126" s="3559"/>
      <c r="G126" s="3559"/>
      <c r="H126" s="3559"/>
      <c r="I126" s="3560"/>
      <c r="AA126" s="684"/>
    </row>
    <row r="127" spans="1:27" ht="18.75" customHeight="1">
      <c r="A127" s="3557" t="s">
        <v>1452</v>
      </c>
      <c r="B127" s="3557"/>
      <c r="C127" s="3557"/>
      <c r="D127" s="3563" t="e">
        <f>NUMBERSTRING(INT(D126*10000),2)&amp;"元整"</f>
        <v>#VALUE!</v>
      </c>
      <c r="E127" s="3565"/>
      <c r="F127" s="3565"/>
      <c r="G127" s="3565"/>
      <c r="H127" s="3565"/>
      <c r="I127" s="3564"/>
      <c r="AA127" s="684"/>
    </row>
    <row r="128" spans="1:27" ht="21.75" customHeight="1">
      <c r="A128" s="3566" t="s">
        <v>1453</v>
      </c>
      <c r="B128" s="3566"/>
      <c r="C128" s="3566"/>
      <c r="D128" s="3566"/>
      <c r="E128" s="3566"/>
      <c r="F128" s="3566"/>
      <c r="G128" s="3566"/>
      <c r="H128" s="3566"/>
      <c r="I128" s="356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45704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2234477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32726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32726</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204.54</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204.54</v>
      </c>
      <c r="E19" s="203">
        <f>'数据-取费表'!B31</f>
        <v>200</v>
      </c>
      <c r="F19" s="223"/>
      <c r="G19" s="1713"/>
    </row>
    <row r="20" spans="1:7" s="206" customFormat="1" ht="13.5" customHeight="1">
      <c r="A20" s="247" t="s">
        <v>1493</v>
      </c>
      <c r="B20" s="202" t="s">
        <v>1494</v>
      </c>
      <c r="C20" s="224">
        <f ca="1">ROUND((C5+C19)*F20,0)</f>
        <v>655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1933</v>
      </c>
      <c r="D22" s="227">
        <f ca="1">C26</f>
        <v>5.9999999999999995E-4</v>
      </c>
      <c r="E22" s="228" t="s">
        <v>1498</v>
      </c>
      <c r="F22" s="229">
        <f ca="1">'数据-取费表'!B40</f>
        <v>5.8499999999999996E-2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1914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6677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6677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45627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204.54</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636" t="s">
        <v>1544</v>
      </c>
    </row>
    <row r="43" spans="1:7" ht="13.5" customHeight="1">
      <c r="A43" s="734" t="s">
        <v>347</v>
      </c>
      <c r="B43" s="207" t="s">
        <v>1545</v>
      </c>
      <c r="C43" s="230">
        <f ca="1">ROUND(IF('数据-取费表'!B22&lt;=1,C39*F22*'数据-取费表'!B21/2,C39*(POWER((1+F22),'数据-取费表'!B21/2)-1)),0)</f>
        <v>0</v>
      </c>
      <c r="D43" s="230"/>
      <c r="E43" s="230"/>
      <c r="F43" s="231"/>
      <c r="G43" s="3637"/>
    </row>
    <row r="44" spans="1:7" ht="13.5" customHeight="1">
      <c r="A44" s="734" t="s">
        <v>348</v>
      </c>
      <c r="B44" s="207" t="s">
        <v>1546</v>
      </c>
      <c r="C44" s="230">
        <f ca="1">ROUND(IF('数据-取费表'!B22&lt;=1,C40*F22*'数据-取费表'!B21/2,C40*(POWER((1+F22),'数据-取费表'!B21/2)-1)),4)</f>
        <v>5.9999999999999995E-4</v>
      </c>
      <c r="D44" s="230"/>
      <c r="E44" s="230"/>
      <c r="F44" s="231"/>
      <c r="G44" s="3638"/>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77</v>
      </c>
      <c r="D51" s="224"/>
      <c r="E51" s="224"/>
      <c r="F51" s="256"/>
      <c r="G51" s="226" t="s">
        <v>1560</v>
      </c>
    </row>
    <row r="52" spans="1:7" s="200" customFormat="1" ht="16.5" thickBot="1">
      <c r="A52" s="257" t="s">
        <v>1561</v>
      </c>
      <c r="B52" s="258"/>
      <c r="C52" s="259">
        <f ca="1">C31+C51</f>
        <v>45704</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454" t="str">
        <f>项目基本情况!B1</f>
        <v>北京市预评估</v>
      </c>
      <c r="C37" s="3454"/>
      <c r="D37" s="3454"/>
      <c r="E37" s="3454"/>
      <c r="F37" s="3454"/>
      <c r="G37" s="3454"/>
      <c r="H37" s="3454"/>
      <c r="I37" s="345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38867</v>
      </c>
      <c r="C2" s="268" t="s">
        <v>1595</v>
      </c>
      <c r="D2" s="268"/>
      <c r="E2" s="2563"/>
      <c r="F2" s="2563"/>
      <c r="G2" s="2563"/>
      <c r="H2" s="2563"/>
      <c r="I2" s="2563"/>
      <c r="J2" s="2563"/>
      <c r="K2" s="2563"/>
    </row>
    <row r="3" spans="1:33" ht="18" customHeight="1" thickBot="1">
      <c r="A3" s="195" t="s">
        <v>1464</v>
      </c>
      <c r="B3" s="196">
        <f ca="1">ROUND(B2*10000/IF(C1="",'数据-汇总表'!E3,INDIRECT("'数据-取费表'!K"&amp;$K$1)),0)</f>
        <v>1900215</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204.54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204.54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-32723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204.54</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-32723</v>
      </c>
      <c r="D21" s="767"/>
      <c r="E21" s="273"/>
      <c r="F21" s="273"/>
      <c r="G21" s="123" t="s">
        <v>1629</v>
      </c>
      <c r="H21" s="759"/>
      <c r="I21" s="759"/>
      <c r="J21" s="759"/>
      <c r="K21" s="760"/>
    </row>
    <row r="22" spans="1:33" s="755" customFormat="1" ht="13.5" customHeight="1">
      <c r="A22" s="744" t="s">
        <v>1601</v>
      </c>
      <c r="B22" s="765" t="s">
        <v>1630</v>
      </c>
      <c r="C22" s="766">
        <f ca="1">ROUND(C21*F22,0)</f>
        <v>-654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5.8499999999999996E-2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-6675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-6675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38867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641" t="s">
        <v>694</v>
      </c>
      <c r="C6" s="1011">
        <f ca="1">ROUND(F6*F8*F7*(1-F9)/10000,0)</f>
        <v>0</v>
      </c>
      <c r="D6" s="147" t="s">
        <v>2106</v>
      </c>
      <c r="E6" s="294" t="s">
        <v>696</v>
      </c>
      <c r="F6" s="295">
        <f ca="1">INDIRECT("'数据-取费表'!u"&amp;$G$1)</f>
        <v>0</v>
      </c>
      <c r="G6" s="1291"/>
      <c r="H6" s="1006" t="s">
        <v>398</v>
      </c>
      <c r="I6" s="3641" t="s">
        <v>694</v>
      </c>
      <c r="J6" s="293">
        <f ca="1">ROUND(M6*M8*M7*(1-M9)/10000,0)</f>
        <v>0</v>
      </c>
      <c r="K6" s="147" t="s">
        <v>2105</v>
      </c>
      <c r="L6" s="294" t="s">
        <v>696</v>
      </c>
      <c r="M6" s="295">
        <f ca="1">INDIRECT("'数据-取费表'!z"&amp;$G$1)</f>
        <v>0</v>
      </c>
    </row>
    <row r="7" spans="1:37" ht="18" customHeight="1">
      <c r="A7" s="1010"/>
      <c r="B7" s="3642"/>
      <c r="C7" s="1012"/>
      <c r="D7" s="299"/>
      <c r="E7" s="1013" t="s">
        <v>697</v>
      </c>
      <c r="F7" s="295">
        <f ca="1">IF(INDIRECT("'数据-取费表'!ah"&amp;$G$1)="",INDIRECT("'数据-取费表'!k"&amp;$G$1),INDIRECT("'数据-取费表'!ah"&amp;$G$1))</f>
        <v>0</v>
      </c>
      <c r="G7" s="1291"/>
      <c r="H7" s="296"/>
      <c r="I7" s="3642"/>
      <c r="J7" s="298"/>
      <c r="K7" s="299"/>
      <c r="L7" s="294" t="s">
        <v>697</v>
      </c>
      <c r="M7" s="295">
        <f ca="1">F7</f>
        <v>0</v>
      </c>
    </row>
    <row r="8" spans="1:37" ht="18" customHeight="1">
      <c r="A8" s="296"/>
      <c r="B8" s="3642"/>
      <c r="C8" s="298"/>
      <c r="D8" s="299"/>
      <c r="E8" s="294" t="s">
        <v>698</v>
      </c>
      <c r="F8" s="295">
        <f ca="1">INDIRECT("'数据-取费表'!ai"&amp;$G$1)</f>
        <v>0</v>
      </c>
      <c r="G8" s="1291"/>
      <c r="H8" s="296"/>
      <c r="I8" s="3642"/>
      <c r="J8" s="298"/>
      <c r="K8" s="299"/>
      <c r="L8" s="294" t="s">
        <v>698</v>
      </c>
      <c r="M8" s="295">
        <f ca="1">INDIRECT("'数据-取费表'!ai"&amp;$G$1)</f>
        <v>0</v>
      </c>
    </row>
    <row r="9" spans="1:37" ht="18" customHeight="1">
      <c r="A9" s="296"/>
      <c r="B9" s="3643"/>
      <c r="C9" s="298"/>
      <c r="D9" s="299"/>
      <c r="E9" s="294" t="s">
        <v>699</v>
      </c>
      <c r="F9" s="304">
        <f ca="1">INDIRECT("'数据-取费表'!w"&amp;$G$1)</f>
        <v>0</v>
      </c>
      <c r="G9" s="1291"/>
      <c r="H9" s="296"/>
      <c r="I9" s="364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2305</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0</v>
      </c>
      <c r="K53" s="3639" t="s">
        <v>837</v>
      </c>
      <c r="L53" s="3640"/>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B1" sqref="B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3375</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0</v>
      </c>
      <c r="C2" s="1288" t="s">
        <v>879</v>
      </c>
      <c r="D2" s="1374">
        <f ca="1">C40+J29+L46</f>
        <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641" t="s">
        <v>694</v>
      </c>
      <c r="C6" s="1011">
        <f ca="1">ROUND(F6*F8*F7*(1-F9),0)</f>
        <v>0</v>
      </c>
      <c r="D6" s="147" t="s">
        <v>2103</v>
      </c>
      <c r="E6" s="294" t="s">
        <v>696</v>
      </c>
      <c r="F6" s="295">
        <f ca="1">INDIRECT("'数据-取费表'!u"&amp;$G$1)</f>
        <v>0</v>
      </c>
      <c r="G6" s="1291"/>
      <c r="H6" s="1006" t="s">
        <v>398</v>
      </c>
      <c r="I6" s="3641" t="s">
        <v>694</v>
      </c>
      <c r="J6" s="293">
        <f ca="1">ROUND(M6*M8*M7*(1-M9),0)</f>
        <v>0</v>
      </c>
      <c r="K6" s="1283" t="s">
        <v>2104</v>
      </c>
      <c r="L6" s="294" t="s">
        <v>696</v>
      </c>
      <c r="M6" s="295">
        <f ca="1">INDIRECT("'数据-取费表'!z"&amp;$G$1)</f>
        <v>0</v>
      </c>
    </row>
    <row r="7" spans="1:37" ht="18" customHeight="1">
      <c r="A7" s="1010"/>
      <c r="B7" s="3642"/>
      <c r="C7" s="1012"/>
      <c r="D7" s="299"/>
      <c r="E7" s="1013" t="s">
        <v>697</v>
      </c>
      <c r="F7" s="295">
        <f ca="1">IF(INDIRECT("'数据-取费表'!ah"&amp;$G$1)="",INDIRECT("'数据-取费表'!k"&amp;$G$1),INDIRECT("'数据-取费表'!ah"&amp;$G$1))</f>
        <v>204.54</v>
      </c>
      <c r="G7" s="1291"/>
      <c r="H7" s="296"/>
      <c r="I7" s="3642"/>
      <c r="J7" s="298"/>
      <c r="K7" s="299"/>
      <c r="L7" s="294" t="s">
        <v>697</v>
      </c>
      <c r="M7" s="295">
        <f ca="1">F7</f>
        <v>204.54</v>
      </c>
    </row>
    <row r="8" spans="1:37" ht="18" customHeight="1">
      <c r="A8" s="296"/>
      <c r="B8" s="3642"/>
      <c r="C8" s="298"/>
      <c r="D8" s="299"/>
      <c r="E8" s="294" t="s">
        <v>698</v>
      </c>
      <c r="F8" s="295">
        <f ca="1">INDIRECT("'数据-取费表'!ai"&amp;$G$1)</f>
        <v>12</v>
      </c>
      <c r="G8" s="1291"/>
      <c r="H8" s="296"/>
      <c r="I8" s="3642"/>
      <c r="J8" s="298"/>
      <c r="K8" s="299"/>
      <c r="L8" s="294" t="s">
        <v>698</v>
      </c>
      <c r="M8" s="295">
        <f ca="1">INDIRECT("'数据-取费表'!ai"&amp;$G$1)</f>
        <v>12</v>
      </c>
    </row>
    <row r="9" spans="1:37" ht="18" customHeight="1">
      <c r="A9" s="296"/>
      <c r="B9" s="3643"/>
      <c r="C9" s="298"/>
      <c r="D9" s="299"/>
      <c r="E9" s="294" t="s">
        <v>699</v>
      </c>
      <c r="F9" s="304">
        <f ca="1">INDIRECT("'数据-取费表'!w"&amp;$G$1)</f>
        <v>0</v>
      </c>
      <c r="G9" s="1291"/>
      <c r="H9" s="296"/>
      <c r="I9" s="364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3383</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761208</v>
      </c>
      <c r="D13" s="1018" t="s">
        <v>705</v>
      </c>
      <c r="E13" s="1018" t="s">
        <v>706</v>
      </c>
      <c r="F13" s="1019">
        <f ca="1">INDIRECT("'数据-取费表'!y"&amp;$G$1)</f>
        <v>0.93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511350</v>
      </c>
      <c r="D14" s="1256" t="s">
        <v>708</v>
      </c>
      <c r="E14" s="1254"/>
      <c r="F14" s="311"/>
      <c r="G14" s="1291"/>
      <c r="H14" s="928" t="s">
        <v>398</v>
      </c>
      <c r="I14" s="294" t="s">
        <v>709</v>
      </c>
      <c r="J14" s="21">
        <f ca="1">C29</f>
        <v>818503</v>
      </c>
      <c r="K14" s="12"/>
      <c r="L14" s="759"/>
      <c r="M14" s="760"/>
    </row>
    <row r="15" spans="1:37" s="1303" customFormat="1" ht="18" customHeight="1" thickBot="1">
      <c r="A15" s="928" t="s">
        <v>399</v>
      </c>
      <c r="B15" s="294" t="s">
        <v>710</v>
      </c>
      <c r="C15" s="21">
        <f ca="1">ROUND(C14*F15,0)</f>
        <v>15341</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25568</v>
      </c>
      <c r="D16" s="294" t="s">
        <v>711</v>
      </c>
      <c r="E16" s="294" t="s">
        <v>712</v>
      </c>
      <c r="F16" s="314">
        <f ca="1">IF(INDIRECT("'数据-取费表'!c"&amp;$G$1)="住宅",'数据-取费表'!B34,0)</f>
        <v>0.05</v>
      </c>
      <c r="G16" s="1291"/>
      <c r="H16" s="1016" t="s">
        <v>393</v>
      </c>
      <c r="I16" s="1017" t="s">
        <v>714</v>
      </c>
      <c r="J16" s="302">
        <f ca="1">ROUND(J17+J22+J23+J24,0)</f>
        <v>1637</v>
      </c>
      <c r="K16" s="1024" t="s">
        <v>715</v>
      </c>
      <c r="L16" s="1025"/>
      <c r="M16" s="1009"/>
    </row>
    <row r="17" spans="1:37" s="1303" customFormat="1" ht="18" customHeight="1">
      <c r="A17" s="928" t="s">
        <v>681</v>
      </c>
      <c r="B17" s="294" t="s">
        <v>716</v>
      </c>
      <c r="C17" s="21">
        <f ca="1">ROUND(F17*(F43+INDIRECT("'数据-取费表'!S"&amp;$G$1)),0)</f>
        <v>40908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7670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600837</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12017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1637</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17925</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-1637</v>
      </c>
      <c r="K25" s="1032" t="s">
        <v>753</v>
      </c>
      <c r="L25" s="1033"/>
      <c r="M25" s="1034"/>
    </row>
    <row r="26" spans="1:37" ht="18" customHeight="1">
      <c r="A26" s="928" t="s">
        <v>397</v>
      </c>
      <c r="B26" s="294" t="s">
        <v>754</v>
      </c>
      <c r="C26" s="21">
        <f ca="1">ROUND((C19+C20)*F26,0)</f>
        <v>122571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818503</v>
      </c>
      <c r="D29" s="1029"/>
      <c r="E29" s="1027"/>
      <c r="F29" s="1030"/>
      <c r="G29" s="1302"/>
      <c r="H29" s="325" t="s">
        <v>396</v>
      </c>
      <c r="I29" s="326" t="s">
        <v>768</v>
      </c>
      <c r="J29" s="327">
        <f ca="1">ROUND(J26/(1+F40)^F41,0)</f>
        <v>0</v>
      </c>
      <c r="K29" s="328" t="s">
        <v>769</v>
      </c>
      <c r="L29" s="329"/>
      <c r="M29" s="330">
        <f ca="1">INDIRECT("'数据-取费表'!k"&amp;$G$1)</f>
        <v>204.54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2398</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0</v>
      </c>
      <c r="D31" s="1256" t="s">
        <v>720</v>
      </c>
      <c r="E31" s="1255" t="s">
        <v>770</v>
      </c>
      <c r="F31" s="2135">
        <f ca="1">IF(项目基本情况!B11="企业","——",IF(M47="住宅",IF(F6*F7*F8/12/(1+'数据-取费表'!F30)&gt;100000,4%,2.5%),IF(F6*F7*F8/12/(1+'数据-取费表'!F30)&gt;100000,12%,7%)))</f>
        <v>2.5000000000000001E-2</v>
      </c>
      <c r="G31" s="1291"/>
      <c r="H31" s="2565" t="s">
        <v>2305</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1637</v>
      </c>
      <c r="D36" s="1255" t="s">
        <v>771</v>
      </c>
      <c r="E36" s="294" t="s">
        <v>712</v>
      </c>
      <c r="F36" s="320">
        <f ca="1">INDIRECT("'数据-取费表'!Ak"&amp;$G$1)</f>
        <v>2E-3</v>
      </c>
      <c r="G36" s="1291"/>
      <c r="H36" s="2469"/>
      <c r="I36" s="1304"/>
      <c r="J36" s="1305"/>
      <c r="K36" s="2326"/>
      <c r="L36" s="2469"/>
      <c r="M36" s="2469"/>
    </row>
    <row r="37" spans="1:18" ht="18" customHeight="1">
      <c r="A37" s="928" t="s">
        <v>437</v>
      </c>
      <c r="B37" s="294" t="s">
        <v>742</v>
      </c>
      <c r="C37" s="21">
        <f ca="1">ROUND(C13*F37,0)</f>
        <v>761</v>
      </c>
      <c r="D37" s="1255" t="s">
        <v>743</v>
      </c>
      <c r="E37" s="294" t="s">
        <v>744</v>
      </c>
      <c r="F37" s="321">
        <f ca="1">INDIRECT("'数据-取费表'!Al"&amp;$G$1)</f>
        <v>1E-3</v>
      </c>
      <c r="G37" s="1291"/>
      <c r="H37" s="2469"/>
      <c r="I37" s="1304"/>
      <c r="J37" s="1305"/>
      <c r="K37" s="2326"/>
      <c r="L37" s="2469"/>
      <c r="M37" s="2469"/>
    </row>
    <row r="38" spans="1:18" ht="18" customHeight="1" thickBot="1">
      <c r="A38" s="1026" t="s">
        <v>684</v>
      </c>
      <c r="B38" s="1027" t="s">
        <v>728</v>
      </c>
      <c r="C38" s="1028">
        <f ca="1">ROUND(C5*F38,0)</f>
        <v>0</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-2398</v>
      </c>
      <c r="D39" s="1032" t="s">
        <v>773</v>
      </c>
      <c r="E39" s="1033"/>
      <c r="F39" s="1034"/>
      <c r="G39" s="1291"/>
      <c r="H39" s="2469"/>
      <c r="I39" s="1304"/>
      <c r="J39" s="1305"/>
      <c r="K39" s="2467"/>
      <c r="L39" s="2469"/>
      <c r="M39" s="2469"/>
    </row>
    <row r="40" spans="1:18" ht="18" customHeight="1">
      <c r="A40" s="291" t="s">
        <v>395</v>
      </c>
      <c r="B40" s="292" t="s">
        <v>774</v>
      </c>
      <c r="C40" s="293">
        <f ca="1">ROUND(C39*(1-((1+F42)/(1+F40))^F41)/(F40-F42),0)</f>
        <v>0</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f ca="1">ROUND(C40/F43,0)</f>
        <v>0</v>
      </c>
      <c r="D43" s="328" t="s">
        <v>777</v>
      </c>
      <c r="E43" s="329" t="s">
        <v>778</v>
      </c>
      <c r="F43" s="330">
        <f ca="1">INDIRECT("'数据-取费表'!k"&amp;$G$1)</f>
        <v>204.54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3352</v>
      </c>
      <c r="B45" s="1306"/>
      <c r="C45" s="1375">
        <f ca="1">ROUND((C68-C40)/10000,4)</f>
        <v>0</v>
      </c>
      <c r="D45" s="3126" t="s">
        <v>3353</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0</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818503</v>
      </c>
      <c r="R49" s="1326" t="s">
        <v>818</v>
      </c>
    </row>
    <row r="50" spans="1:18" s="1291" customFormat="1" ht="13.5" thickBot="1">
      <c r="A50" s="922"/>
      <c r="B50" s="925"/>
      <c r="C50" s="926"/>
      <c r="D50" s="899"/>
      <c r="E50" s="993" t="s">
        <v>697</v>
      </c>
      <c r="F50" s="994">
        <f ca="1">F7</f>
        <v>204.54</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33</v>
      </c>
      <c r="K51" s="1338" t="s">
        <v>830</v>
      </c>
      <c r="L51" s="1339">
        <f ca="1">ROUND(-PV(INDIRECT("'数据-取费表'!h"&amp;$G$1),J51,(C39-C13*C76),0),0)</f>
        <v>-734225</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70</v>
      </c>
      <c r="K53" s="3639" t="s">
        <v>837</v>
      </c>
      <c r="L53" s="3640"/>
      <c r="O53" s="1324" t="s">
        <v>409</v>
      </c>
      <c r="P53" s="1325" t="s">
        <v>838</v>
      </c>
      <c r="Q53" s="1326">
        <f ca="1">Q47+Q48</f>
        <v>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761208</v>
      </c>
      <c r="D56" s="1351"/>
      <c r="E56" s="1352"/>
      <c r="F56" s="1344"/>
      <c r="I56" s="1353" t="s">
        <v>842</v>
      </c>
      <c r="J56" s="1354" t="s">
        <v>3386</v>
      </c>
      <c r="K56" s="1327" t="s">
        <v>843</v>
      </c>
      <c r="L56" s="1330">
        <f ca="1">IF(L48&lt;J51,"——",L48-J51)</f>
        <v>37</v>
      </c>
      <c r="O56" s="1324" t="s">
        <v>403</v>
      </c>
      <c r="P56" s="1325" t="s">
        <v>817</v>
      </c>
      <c r="Q56" s="1326">
        <f ca="1">C40+J29</f>
        <v>0</v>
      </c>
      <c r="R56" s="1326" t="s">
        <v>818</v>
      </c>
    </row>
    <row r="57" spans="1:18" s="1291" customFormat="1" ht="24.75" thickBot="1">
      <c r="A57" s="1355"/>
      <c r="B57" s="896" t="s">
        <v>767</v>
      </c>
      <c r="C57" s="230">
        <f ca="1">C29</f>
        <v>818503</v>
      </c>
      <c r="D57" s="1356"/>
      <c r="E57" s="1357"/>
      <c r="F57" s="1358"/>
      <c r="I57" s="1359" t="s">
        <v>844</v>
      </c>
      <c r="J57" s="1360" t="str">
        <f ca="1">IF(OR(M47="住宅",J51&lt;L48,J56="是"),"——",J51-L48)</f>
        <v>——</v>
      </c>
      <c r="K57" s="1327" t="s">
        <v>892</v>
      </c>
      <c r="L57" s="1330">
        <f ca="1">IF(L48&lt;J51,"——",IF(L55="比较法",L49,IF(L55="基准地价",L50,L51)))</f>
        <v>-734225</v>
      </c>
      <c r="O57" s="1324" t="s">
        <v>404</v>
      </c>
      <c r="P57" s="1325" t="s">
        <v>893</v>
      </c>
      <c r="Q57" s="1326">
        <f ca="1">L60</f>
        <v>0</v>
      </c>
      <c r="R57" s="1326" t="s">
        <v>894</v>
      </c>
    </row>
    <row r="58" spans="1:18" s="1291" customFormat="1" ht="24.75" thickBot="1">
      <c r="A58" s="307" t="s">
        <v>393</v>
      </c>
      <c r="B58" s="904" t="s">
        <v>714</v>
      </c>
      <c r="C58" s="308">
        <f ca="1">ROUND(C59+C64+C65+C66,0)</f>
        <v>2398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1637</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761</v>
      </c>
      <c r="D65" s="910" t="s">
        <v>743</v>
      </c>
      <c r="E65" s="896" t="s">
        <v>744</v>
      </c>
      <c r="F65" s="321">
        <f t="shared" ca="1" si="0"/>
        <v>1E-3</v>
      </c>
      <c r="I65" s="1366" t="s">
        <v>867</v>
      </c>
      <c r="J65" s="610">
        <v>40</v>
      </c>
      <c r="K65" s="610">
        <v>30</v>
      </c>
      <c r="L65" s="610">
        <v>50</v>
      </c>
      <c r="M65" s="1368">
        <v>0.02</v>
      </c>
      <c r="O65" s="1324" t="s">
        <v>403</v>
      </c>
      <c r="P65" s="1325" t="s">
        <v>868</v>
      </c>
      <c r="Q65" s="1326">
        <f ca="1">C40+J29</f>
        <v>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-2398</v>
      </c>
      <c r="D67" s="909" t="s">
        <v>753</v>
      </c>
      <c r="E67" s="914"/>
      <c r="F67" s="915"/>
      <c r="O67" s="1333" t="s">
        <v>405</v>
      </c>
      <c r="P67" s="1325" t="s">
        <v>850</v>
      </c>
      <c r="Q67" s="1369">
        <f ca="1">L51</f>
        <v>-734225</v>
      </c>
      <c r="R67" s="1326" t="s">
        <v>870</v>
      </c>
    </row>
    <row r="68" spans="1:18" s="1291" customFormat="1" ht="16.5" thickBot="1">
      <c r="A68" s="893" t="s">
        <v>395</v>
      </c>
      <c r="B68" s="894" t="s">
        <v>774</v>
      </c>
      <c r="C68" s="293">
        <f ca="1">ROUND(C67*(1-((1+F70)/(1+F68))^F69)/(F68-F70),0)</f>
        <v>0</v>
      </c>
      <c r="D68" s="911" t="s">
        <v>758</v>
      </c>
      <c r="E68" s="896" t="s">
        <v>759</v>
      </c>
      <c r="F68" s="304">
        <f ca="1">F40</f>
        <v>4.4999999999999998E-2</v>
      </c>
      <c r="O68" s="1333" t="s">
        <v>406</v>
      </c>
      <c r="P68" s="1370" t="s">
        <v>871</v>
      </c>
      <c r="Q68" s="1326">
        <f ca="1">ROUND(Q69-Q70*Q71,0)</f>
        <v>-40458</v>
      </c>
      <c r="R68" s="1326" t="s">
        <v>414</v>
      </c>
    </row>
    <row r="69" spans="1:18" s="1291" customFormat="1" ht="13.5" thickBot="1">
      <c r="A69" s="897"/>
      <c r="B69" s="898"/>
      <c r="C69" s="298"/>
      <c r="D69" s="916" t="s">
        <v>762</v>
      </c>
      <c r="E69" s="896" t="s">
        <v>763</v>
      </c>
      <c r="F69" s="324">
        <f ca="1">F41</f>
        <v>0</v>
      </c>
      <c r="O69" s="1333" t="s">
        <v>411</v>
      </c>
      <c r="P69" s="1370" t="s">
        <v>872</v>
      </c>
      <c r="Q69" s="1326">
        <f ca="1">C39</f>
        <v>-2398</v>
      </c>
      <c r="R69" s="1326" t="s">
        <v>818</v>
      </c>
    </row>
    <row r="70" spans="1:18" s="1291" customFormat="1" ht="13.5" thickBot="1">
      <c r="A70" s="900"/>
      <c r="B70" s="901"/>
      <c r="C70" s="302"/>
      <c r="D70" s="912"/>
      <c r="E70" s="896" t="s">
        <v>766</v>
      </c>
      <c r="F70" s="991"/>
      <c r="O70" s="1333" t="s">
        <v>412</v>
      </c>
      <c r="P70" s="1370" t="s">
        <v>873</v>
      </c>
      <c r="Q70" s="1326">
        <f ca="1">C13</f>
        <v>761208</v>
      </c>
      <c r="R70" s="1326" t="s">
        <v>818</v>
      </c>
    </row>
    <row r="71" spans="1:18" s="1291" customFormat="1" ht="13.5" thickBot="1">
      <c r="A71" s="917" t="s">
        <v>396</v>
      </c>
      <c r="B71" s="918" t="s">
        <v>776</v>
      </c>
      <c r="C71" s="327">
        <f ca="1">ROUND(C68/F71,0)</f>
        <v>0</v>
      </c>
      <c r="D71" s="919" t="s">
        <v>777</v>
      </c>
      <c r="E71" s="920" t="s">
        <v>778</v>
      </c>
      <c r="F71" s="330">
        <f ca="1">F43</f>
        <v>204.54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38060</v>
      </c>
      <c r="D75" s="1291"/>
      <c r="E75" s="1291"/>
      <c r="F75" s="1291"/>
      <c r="K75" s="1308"/>
      <c r="L75" s="1291"/>
      <c r="O75" s="1324" t="s">
        <v>409</v>
      </c>
      <c r="P75" s="1325" t="s">
        <v>838</v>
      </c>
      <c r="Q75" s="1326">
        <f ca="1">Q65+Q66</f>
        <v>0</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16.872</v>
      </c>
    </row>
    <row r="80" spans="1:18">
      <c r="B80" s="331" t="s">
        <v>800</v>
      </c>
      <c r="C80" s="266">
        <f ca="1">ROUND(C75/C39,3)</f>
        <v>-15.872</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3359</v>
      </c>
      <c r="E2" s="3135"/>
      <c r="F2" s="2593"/>
      <c r="G2" s="2594"/>
      <c r="H2" s="2595"/>
      <c r="I2" s="2596"/>
      <c r="J2" s="3644" t="s">
        <v>2315</v>
      </c>
      <c r="K2" s="3645"/>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646" t="s">
        <v>2325</v>
      </c>
      <c r="K3" s="3647"/>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646" t="s">
        <v>2327</v>
      </c>
      <c r="K4" s="3647"/>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648" t="s">
        <v>2331</v>
      </c>
      <c r="B6" s="3649"/>
      <c r="C6" s="3650"/>
      <c r="D6" s="2617"/>
      <c r="E6" s="2618"/>
      <c r="F6" s="2619"/>
      <c r="G6" s="2620"/>
      <c r="H6" s="2595"/>
      <c r="I6" s="2596"/>
      <c r="J6" s="3651">
        <v>1</v>
      </c>
      <c r="K6" s="3652"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651"/>
      <c r="K7" s="3653"/>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655" t="s">
        <v>2345</v>
      </c>
      <c r="C8" s="3656"/>
      <c r="D8" s="2636" t="s">
        <v>2346</v>
      </c>
      <c r="E8" s="2637" t="s">
        <v>2347</v>
      </c>
      <c r="F8" s="2638" t="s">
        <v>2348</v>
      </c>
      <c r="G8" s="2639"/>
      <c r="H8" s="2595"/>
      <c r="I8" s="2596"/>
      <c r="J8" s="3651"/>
      <c r="K8" s="3653"/>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655" t="s">
        <v>2351</v>
      </c>
      <c r="C9" s="3656"/>
      <c r="D9" s="2636">
        <f>ROUND(D6*E9,0)</f>
        <v>0</v>
      </c>
      <c r="E9" s="2640"/>
      <c r="F9" s="2641" t="s">
        <v>2352</v>
      </c>
      <c r="G9" s="2620"/>
      <c r="H9" s="2595"/>
      <c r="I9" s="2596"/>
      <c r="J9" s="3651"/>
      <c r="K9" s="3653"/>
      <c r="L9" s="2630" t="s">
        <v>2353</v>
      </c>
      <c r="M9" s="2631"/>
      <c r="N9" s="2607"/>
      <c r="O9" s="2632"/>
      <c r="P9" s="2632"/>
      <c r="Q9" s="2633">
        <v>365</v>
      </c>
      <c r="R9" s="2634">
        <f t="shared" si="0"/>
        <v>0</v>
      </c>
      <c r="S9" s="2588"/>
      <c r="T9" s="2588"/>
      <c r="U9" s="2588"/>
      <c r="V9" s="2596"/>
    </row>
    <row r="10" spans="1:22" s="2600" customFormat="1" ht="13.15" customHeight="1">
      <c r="A10" s="2635">
        <v>2</v>
      </c>
      <c r="B10" s="3655" t="s">
        <v>2354</v>
      </c>
      <c r="C10" s="3656"/>
      <c r="D10" s="2636">
        <f>ROUND(D6*E10,0)</f>
        <v>0</v>
      </c>
      <c r="E10" s="2640"/>
      <c r="F10" s="2641" t="s">
        <v>2355</v>
      </c>
      <c r="G10" s="2620"/>
      <c r="H10" s="2595"/>
      <c r="I10" s="2596"/>
      <c r="J10" s="3651"/>
      <c r="K10" s="3653"/>
      <c r="L10" s="2630" t="s">
        <v>2356</v>
      </c>
      <c r="M10" s="2631"/>
      <c r="N10" s="2607"/>
      <c r="O10" s="2632"/>
      <c r="P10" s="2632"/>
      <c r="Q10" s="2633">
        <v>365</v>
      </c>
      <c r="R10" s="2634">
        <f t="shared" si="0"/>
        <v>0</v>
      </c>
      <c r="S10" s="2588"/>
      <c r="T10" s="2588"/>
      <c r="U10" s="2588"/>
      <c r="V10" s="2596"/>
    </row>
    <row r="11" spans="1:22" s="2600" customFormat="1" ht="13.15" customHeight="1">
      <c r="A11" s="2635">
        <v>3</v>
      </c>
      <c r="B11" s="3655" t="s">
        <v>2357</v>
      </c>
      <c r="C11" s="3656"/>
      <c r="D11" s="2636">
        <f>D12+D14+D15+D16</f>
        <v>0</v>
      </c>
      <c r="E11" s="2642" t="e">
        <f>D11/D6</f>
        <v>#DIV/0!</v>
      </c>
      <c r="F11" s="2638"/>
      <c r="G11" s="2639"/>
      <c r="H11" s="2595"/>
      <c r="I11" s="2596"/>
      <c r="J11" s="3651"/>
      <c r="K11" s="3653"/>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657" t="s">
        <v>2360</v>
      </c>
      <c r="C12" s="3658"/>
      <c r="D12" s="2644">
        <f>ROUND(D13*1.2%*(1-30%),0)</f>
        <v>0</v>
      </c>
      <c r="E12" s="2645">
        <v>1.2E-2</v>
      </c>
      <c r="F12" s="2638" t="s">
        <v>2361</v>
      </c>
      <c r="G12" s="2639"/>
      <c r="H12" s="2595"/>
      <c r="I12" s="2596"/>
      <c r="J12" s="3651"/>
      <c r="K12" s="3653"/>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651"/>
      <c r="K13" s="3653"/>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657" t="s">
        <v>2366</v>
      </c>
      <c r="C14" s="3658"/>
      <c r="D14" s="2644">
        <f>ROUND(E14*B5/10000,0)</f>
        <v>0</v>
      </c>
      <c r="E14" s="2633"/>
      <c r="F14" s="2638" t="s">
        <v>2367</v>
      </c>
      <c r="G14" s="2639"/>
      <c r="H14" s="2595"/>
      <c r="I14" s="2596"/>
      <c r="J14" s="3651"/>
      <c r="K14" s="3654"/>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657" t="s">
        <v>2370</v>
      </c>
      <c r="C15" s="3658"/>
      <c r="D15" s="2644">
        <f>ROUND(D6*E15,0)</f>
        <v>0</v>
      </c>
      <c r="E15" s="2645">
        <v>5.5E-2</v>
      </c>
      <c r="F15" s="2638" t="s">
        <v>2371</v>
      </c>
      <c r="G15" s="2620"/>
      <c r="H15" s="2595"/>
      <c r="I15" s="2596"/>
      <c r="J15" s="3651">
        <v>2</v>
      </c>
      <c r="K15" s="3652"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657" t="s">
        <v>2379</v>
      </c>
      <c r="C16" s="3658"/>
      <c r="D16" s="2655">
        <f>D6*E16</f>
        <v>0</v>
      </c>
      <c r="E16" s="2656"/>
      <c r="F16" s="2641" t="s">
        <v>2380</v>
      </c>
      <c r="G16" s="2620"/>
      <c r="H16" s="2595"/>
      <c r="I16" s="2596"/>
      <c r="J16" s="3651"/>
      <c r="K16" s="3653"/>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659" t="s">
        <v>2382</v>
      </c>
      <c r="C17" s="3660"/>
      <c r="D17" s="2658">
        <f>ROUND(D6*E17,0)</f>
        <v>0</v>
      </c>
      <c r="E17" s="2659"/>
      <c r="F17" s="2660" t="s">
        <v>2383</v>
      </c>
      <c r="G17" s="2620"/>
      <c r="H17" s="2595"/>
      <c r="I17" s="2596"/>
      <c r="J17" s="3651"/>
      <c r="K17" s="3653"/>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651"/>
      <c r="K18" s="3653"/>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651"/>
      <c r="K19" s="3654"/>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651">
        <v>3</v>
      </c>
      <c r="K20" s="3652"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651"/>
      <c r="K21" s="3653"/>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651"/>
      <c r="K22" s="3653"/>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651"/>
      <c r="K23" s="3653"/>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651"/>
      <c r="K24" s="3654"/>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661">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662"/>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644" t="s">
        <v>2315</v>
      </c>
      <c r="K32" s="3645"/>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646" t="s">
        <v>2325</v>
      </c>
      <c r="K33" s="3647"/>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646" t="s">
        <v>2327</v>
      </c>
      <c r="K34" s="364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651">
        <v>1</v>
      </c>
      <c r="K36" s="3652"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651"/>
      <c r="K37" s="3653"/>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651"/>
      <c r="K38" s="3653"/>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651"/>
      <c r="K39" s="3653"/>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651"/>
      <c r="K40" s="3654"/>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661">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662"/>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259.57049999999998</v>
      </c>
      <c r="C2" s="1728" t="s">
        <v>1651</v>
      </c>
      <c r="D2" s="1729" t="s">
        <v>1652</v>
      </c>
      <c r="E2" s="2388">
        <f>SUM(E6:E13)</f>
        <v>204.54</v>
      </c>
      <c r="F2" s="2475"/>
      <c r="G2" s="459"/>
      <c r="H2" s="459"/>
      <c r="I2" s="459"/>
      <c r="J2" s="459"/>
      <c r="K2" s="459"/>
      <c r="L2" s="459"/>
      <c r="M2" s="459"/>
      <c r="N2" s="459"/>
      <c r="O2" s="459"/>
      <c r="P2" s="459"/>
      <c r="Q2" s="459"/>
      <c r="R2" s="459"/>
      <c r="S2" s="459"/>
    </row>
    <row r="3" spans="1:22" ht="15.75">
      <c r="A3" s="1727" t="s">
        <v>686</v>
      </c>
      <c r="B3" s="2382">
        <f ca="1">ROUND(B2*10000/E2,0)</f>
        <v>12690</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663" t="s">
        <v>1654</v>
      </c>
      <c r="C5" s="3664"/>
      <c r="D5" s="2476"/>
      <c r="E5" s="1730" t="s">
        <v>1655</v>
      </c>
      <c r="F5" s="129" t="s">
        <v>1656</v>
      </c>
      <c r="G5" s="459"/>
      <c r="H5" s="459"/>
      <c r="I5" s="459"/>
      <c r="J5" s="459"/>
      <c r="K5" s="459"/>
      <c r="L5" s="459"/>
      <c r="M5" s="459"/>
      <c r="N5" s="459"/>
      <c r="O5" s="459"/>
      <c r="P5" s="459"/>
      <c r="Q5" s="459"/>
      <c r="R5" s="459"/>
      <c r="S5" s="459"/>
    </row>
    <row r="6" spans="1:22">
      <c r="A6" s="2385" t="str">
        <f>'数据-取费表'!AN6</f>
        <v>成本法 (元)</v>
      </c>
      <c r="B6" s="2383">
        <f ca="1">IF(F6="是",'数据-取费表'!AO6,0)</f>
        <v>259.57049999999998</v>
      </c>
      <c r="C6" s="1728" t="s">
        <v>1651</v>
      </c>
      <c r="D6" s="2475"/>
      <c r="E6" s="2387">
        <f>IF(OR(A6=0,F6="否"),0,'数据-取费表'!K6+'数据-取费表'!S6)</f>
        <v>204.54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6" zoomScale="90" zoomScaleNormal="60" zoomScaleSheetLayoutView="90" workbookViewId="0">
      <selection activeCell="C60" sqref="C6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3375</v>
      </c>
      <c r="E1" s="3120" t="s">
        <v>3388</v>
      </c>
      <c r="F1" s="1734" t="s">
        <v>3382</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147.69829999999999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7221</v>
      </c>
      <c r="C3" s="344" t="s">
        <v>1665</v>
      </c>
      <c r="D3" s="343">
        <f>IF(D1="",'数据-汇总表'!E3,SUMIF('数据-汇总表'!$C19:$C33,D1,'数据-汇总表'!$E19:$E33))</f>
        <v>204.54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683" t="s">
        <v>1667</v>
      </c>
      <c r="D4" s="3684"/>
      <c r="E4" s="3685" t="s">
        <v>1668</v>
      </c>
      <c r="F4" s="3686"/>
      <c r="G4" s="3683" t="s">
        <v>1669</v>
      </c>
      <c r="H4" s="3684"/>
      <c r="I4" s="3683" t="s">
        <v>1670</v>
      </c>
      <c r="J4" s="3684"/>
      <c r="K4" s="1743" t="s">
        <v>1671</v>
      </c>
      <c r="L4" s="2482"/>
      <c r="M4" s="2483"/>
      <c r="N4" s="2483"/>
      <c r="O4" s="2483"/>
      <c r="P4" s="3687" t="s">
        <v>1672</v>
      </c>
      <c r="Q4" s="3688"/>
      <c r="R4" s="3670" t="s">
        <v>1668</v>
      </c>
      <c r="S4" s="3671"/>
      <c r="T4" s="3670" t="s">
        <v>1669</v>
      </c>
      <c r="U4" s="3671"/>
      <c r="V4" s="3695" t="s">
        <v>1670</v>
      </c>
      <c r="W4" s="3695"/>
      <c r="X4" s="1264"/>
      <c r="Y4" s="3670" t="s">
        <v>1672</v>
      </c>
      <c r="Z4" s="3671"/>
      <c r="AA4" s="3665" t="s">
        <v>1668</v>
      </c>
      <c r="AB4" s="3665" t="s">
        <v>1669</v>
      </c>
      <c r="AC4" s="3665" t="s">
        <v>1670</v>
      </c>
    </row>
    <row r="5" spans="1:29" ht="15">
      <c r="A5" s="348"/>
      <c r="B5" s="349"/>
      <c r="C5" s="3675" t="s">
        <v>3787</v>
      </c>
      <c r="D5" s="3676"/>
      <c r="E5" s="3961" t="str">
        <f>案例!C18</f>
        <v>海淀区北洼西里11号楼</v>
      </c>
      <c r="F5" s="3674"/>
      <c r="G5" s="3962" t="str">
        <f>案例!C19</f>
        <v>海淀区北洼西里7号楼</v>
      </c>
      <c r="H5" s="3676"/>
      <c r="I5" s="3962" t="str">
        <f>案例!C21</f>
        <v>海淀区北洼西里7号楼</v>
      </c>
      <c r="J5" s="3676"/>
      <c r="K5" s="1744"/>
      <c r="L5" s="2482"/>
      <c r="M5" s="2483"/>
      <c r="N5" s="2483"/>
      <c r="O5" s="2483"/>
      <c r="P5" s="3689"/>
      <c r="Q5" s="3690"/>
      <c r="R5" s="3672"/>
      <c r="S5" s="3673"/>
      <c r="T5" s="3672"/>
      <c r="U5" s="3673"/>
      <c r="V5" s="3695"/>
      <c r="W5" s="3695"/>
      <c r="X5" s="1264"/>
      <c r="Y5" s="3672"/>
      <c r="Z5" s="3673"/>
      <c r="AA5" s="3666"/>
      <c r="AB5" s="3666"/>
      <c r="AC5" s="3666"/>
    </row>
    <row r="6" spans="1:29" ht="15.75" thickBot="1">
      <c r="A6" s="350"/>
      <c r="B6" s="351"/>
      <c r="C6" s="3677" t="s">
        <v>1677</v>
      </c>
      <c r="D6" s="3678"/>
      <c r="E6" s="3680" t="s">
        <v>1677</v>
      </c>
      <c r="F6" s="3681"/>
      <c r="G6" s="3677" t="s">
        <v>1677</v>
      </c>
      <c r="H6" s="3678"/>
      <c r="I6" s="3677" t="s">
        <v>1677</v>
      </c>
      <c r="J6" s="3678"/>
      <c r="K6" s="1744" t="s">
        <v>1678</v>
      </c>
      <c r="L6" s="2482"/>
      <c r="M6" s="2483"/>
      <c r="N6" s="2483"/>
      <c r="O6" s="2483"/>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f>案例!BG2</f>
        <v>38865</v>
      </c>
      <c r="F7" s="357">
        <f>SUMIF(58:58,YEAR(E7)&amp;"-"&amp;MONTH(E7),59:59)</f>
        <v>100</v>
      </c>
      <c r="G7" s="356">
        <f>案例!BG3</f>
        <v>38798</v>
      </c>
      <c r="H7" s="355">
        <f>SUMIF(58:58,YEAR(G7)&amp;"-"&amp;MONTH(G7),59:59)</f>
        <v>99.4</v>
      </c>
      <c r="I7" s="3960">
        <f>案例!BG5</f>
        <v>38672</v>
      </c>
      <c r="J7" s="355">
        <f>SUMIF(58:58,YEAR(I7)&amp;"-"&amp;MONTH(I7),59:59)</f>
        <v>98.200000000000017</v>
      </c>
      <c r="K7" s="1745"/>
      <c r="L7" s="2484"/>
      <c r="M7" s="2435"/>
      <c r="N7" s="2435"/>
      <c r="O7" s="2435"/>
      <c r="P7" s="3668" t="s">
        <v>1680</v>
      </c>
      <c r="Q7" s="3696"/>
      <c r="R7" s="664" t="s">
        <v>20</v>
      </c>
      <c r="S7" s="665">
        <f t="shared" ref="S7:S15" si="0">F7</f>
        <v>100</v>
      </c>
      <c r="T7" s="664" t="s">
        <v>20</v>
      </c>
      <c r="U7" s="665">
        <f t="shared" ref="U7:U15" si="1">H7</f>
        <v>99.4</v>
      </c>
      <c r="V7" s="664" t="s">
        <v>20</v>
      </c>
      <c r="W7" s="665">
        <f t="shared" ref="W7:W15" si="2">J7</f>
        <v>98.200000000000017</v>
      </c>
      <c r="X7" s="666"/>
      <c r="Y7" s="3668" t="s">
        <v>1680</v>
      </c>
      <c r="Z7" s="3669"/>
      <c r="AA7" s="50">
        <f>D7/F7</f>
        <v>1</v>
      </c>
      <c r="AB7" s="50">
        <f>D7/H7</f>
        <v>1.0060362173038229</v>
      </c>
      <c r="AC7" s="50">
        <f>D7/J7</f>
        <v>1.0183299389002034</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668" t="s">
        <v>1683</v>
      </c>
      <c r="Q8" s="3669"/>
      <c r="R8" s="664" t="s">
        <v>20</v>
      </c>
      <c r="S8" s="665">
        <f t="shared" si="0"/>
        <v>100</v>
      </c>
      <c r="T8" s="664" t="s">
        <v>20</v>
      </c>
      <c r="U8" s="665">
        <f t="shared" si="1"/>
        <v>100</v>
      </c>
      <c r="V8" s="664" t="s">
        <v>20</v>
      </c>
      <c r="W8" s="665">
        <f t="shared" si="2"/>
        <v>100</v>
      </c>
      <c r="X8" s="666"/>
      <c r="Y8" s="3668" t="s">
        <v>1683</v>
      </c>
      <c r="Z8" s="3669"/>
      <c r="AA8" s="50">
        <f t="shared" ref="AA8:AA19" si="3">D8/F8</f>
        <v>1</v>
      </c>
      <c r="AB8" s="50">
        <f t="shared" ref="AB8:AB19" si="4">D8/H8</f>
        <v>1</v>
      </c>
      <c r="AC8" s="50">
        <f t="shared" ref="AC8:AC19" si="5">D8/J8</f>
        <v>1</v>
      </c>
    </row>
    <row r="9" spans="1:29" s="102" customFormat="1">
      <c r="A9" s="359" t="s">
        <v>1684</v>
      </c>
      <c r="B9" s="60" t="s">
        <v>1685</v>
      </c>
      <c r="C9" s="3154" t="s">
        <v>3413</v>
      </c>
      <c r="D9" s="59">
        <v>100</v>
      </c>
      <c r="E9" s="361" t="s">
        <v>3375</v>
      </c>
      <c r="F9" s="60">
        <f>SUMIF(63:63,E9,64:64)-SUMIF(63:63,C9,64:64)+100</f>
        <v>100</v>
      </c>
      <c r="G9" s="362" t="s">
        <v>3375</v>
      </c>
      <c r="H9" s="59">
        <f>SUMIF(63:63,G9,64:64)-SUMIF(63:63,C9,64:64)+100</f>
        <v>100</v>
      </c>
      <c r="I9" s="362" t="s">
        <v>3375</v>
      </c>
      <c r="J9" s="59">
        <f>SUMIF(63:63,I9,64:64)-SUMIF(63:63,C9,64:64)+100</f>
        <v>100</v>
      </c>
      <c r="K9" s="1745"/>
      <c r="L9" s="2484"/>
      <c r="M9" s="2435"/>
      <c r="N9" s="2435"/>
      <c r="O9" s="2435"/>
      <c r="P9" s="3682"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682"/>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682"/>
      <c r="Q11" s="530" t="str">
        <f t="shared" si="6"/>
        <v>容积率</v>
      </c>
      <c r="R11" s="664" t="s">
        <v>18</v>
      </c>
      <c r="S11" s="665">
        <f t="shared" si="0"/>
        <v>100</v>
      </c>
      <c r="T11" s="664" t="s">
        <v>18</v>
      </c>
      <c r="U11" s="665">
        <f t="shared" si="1"/>
        <v>100</v>
      </c>
      <c r="V11" s="664" t="s">
        <v>18</v>
      </c>
      <c r="W11" s="665">
        <f t="shared" si="2"/>
        <v>100</v>
      </c>
      <c r="X11" s="666"/>
      <c r="Y11" s="361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682"/>
      <c r="Q12" s="530">
        <f t="shared" si="6"/>
        <v>111</v>
      </c>
      <c r="R12" s="664" t="s">
        <v>18</v>
      </c>
      <c r="S12" s="665">
        <f t="shared" si="0"/>
        <v>100</v>
      </c>
      <c r="T12" s="664" t="s">
        <v>18</v>
      </c>
      <c r="U12" s="665">
        <f t="shared" si="1"/>
        <v>100</v>
      </c>
      <c r="V12" s="664" t="s">
        <v>18</v>
      </c>
      <c r="W12" s="665">
        <f t="shared" si="2"/>
        <v>100</v>
      </c>
      <c r="X12" s="666"/>
      <c r="Y12" s="361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682"/>
      <c r="Q13" s="530">
        <f t="shared" si="6"/>
        <v>111</v>
      </c>
      <c r="R13" s="664" t="s">
        <v>18</v>
      </c>
      <c r="S13" s="665">
        <f t="shared" si="0"/>
        <v>100</v>
      </c>
      <c r="T13" s="664" t="s">
        <v>18</v>
      </c>
      <c r="U13" s="665">
        <f t="shared" si="1"/>
        <v>100</v>
      </c>
      <c r="V13" s="664" t="s">
        <v>18</v>
      </c>
      <c r="W13" s="665">
        <f t="shared" si="2"/>
        <v>100</v>
      </c>
      <c r="X13" s="666"/>
      <c r="Y13" s="3612"/>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682"/>
      <c r="Q14" s="530">
        <f t="shared" si="6"/>
        <v>111</v>
      </c>
      <c r="R14" s="664" t="s">
        <v>18</v>
      </c>
      <c r="S14" s="665">
        <f t="shared" si="0"/>
        <v>100</v>
      </c>
      <c r="T14" s="664" t="s">
        <v>18</v>
      </c>
      <c r="U14" s="665">
        <f t="shared" si="1"/>
        <v>100</v>
      </c>
      <c r="V14" s="664" t="s">
        <v>18</v>
      </c>
      <c r="W14" s="665">
        <f t="shared" si="2"/>
        <v>100</v>
      </c>
      <c r="X14" s="666"/>
      <c r="Y14" s="3612"/>
      <c r="Z14" s="50">
        <f t="shared" si="7"/>
        <v>111</v>
      </c>
      <c r="AA14" s="50">
        <f t="shared" si="3"/>
        <v>1</v>
      </c>
      <c r="AB14" s="50">
        <f t="shared" si="4"/>
        <v>1</v>
      </c>
      <c r="AC14" s="50">
        <f t="shared" si="5"/>
        <v>1</v>
      </c>
    </row>
    <row r="15" spans="1:29" ht="41.25" customHeight="1">
      <c r="A15" s="379" t="s">
        <v>1690</v>
      </c>
      <c r="B15" s="58" t="s">
        <v>1257</v>
      </c>
      <c r="C15" s="1748" t="str">
        <f>估价对象房地状况!C3</f>
        <v>周边有中海雅园、北洼西里等住宅小区，居住社区成熟度较好。</v>
      </c>
      <c r="D15" s="380">
        <v>100</v>
      </c>
      <c r="E15" s="3157"/>
      <c r="F15" s="380">
        <f>SUMIF(76:76,E16,77:77)-SUMIF(76:76,C16,77:77)+100</f>
        <v>100</v>
      </c>
      <c r="G15" s="3166"/>
      <c r="H15" s="380">
        <f>SUMIF(76:76,G16,77:77)-SUMIF(76:76,C16,77:77)+100</f>
        <v>100</v>
      </c>
      <c r="I15" s="3166"/>
      <c r="J15" s="380">
        <f>SUMIF(76:76,I16,77:77)-SUMIF(76:76,C16,77:77)+100</f>
        <v>100</v>
      </c>
      <c r="K15" s="384"/>
      <c r="L15" s="2488"/>
      <c r="M15" s="2483"/>
      <c r="N15" s="2483"/>
      <c r="O15" s="2483"/>
      <c r="P15" s="3708" t="s">
        <v>1691</v>
      </c>
      <c r="Q15" s="1262" t="str">
        <f t="shared" si="6"/>
        <v>居住社区成熟度</v>
      </c>
      <c r="R15" s="667" t="s">
        <v>18</v>
      </c>
      <c r="S15" s="668">
        <f t="shared" si="0"/>
        <v>100</v>
      </c>
      <c r="T15" s="667" t="s">
        <v>18</v>
      </c>
      <c r="U15" s="668">
        <f t="shared" si="1"/>
        <v>100</v>
      </c>
      <c r="V15" s="667" t="s">
        <v>18</v>
      </c>
      <c r="W15" s="668">
        <f t="shared" si="2"/>
        <v>100</v>
      </c>
      <c r="X15" s="1264"/>
      <c r="Y15" s="3701" t="s">
        <v>1691</v>
      </c>
      <c r="Z15" s="1263" t="str">
        <f t="shared" si="7"/>
        <v>居住社区成熟度</v>
      </c>
      <c r="AA15" s="1263">
        <f t="shared" si="3"/>
        <v>1</v>
      </c>
      <c r="AB15" s="1263">
        <f t="shared" si="4"/>
        <v>1</v>
      </c>
      <c r="AC15" s="1263">
        <f t="shared" si="5"/>
        <v>1</v>
      </c>
    </row>
    <row r="16" spans="1:29" ht="15">
      <c r="A16" s="367"/>
      <c r="B16" s="385"/>
      <c r="C16" s="386" t="s">
        <v>3394</v>
      </c>
      <c r="D16" s="387"/>
      <c r="E16" s="386" t="s">
        <v>3394</v>
      </c>
      <c r="F16" s="387"/>
      <c r="G16" s="386" t="s">
        <v>3394</v>
      </c>
      <c r="H16" s="389"/>
      <c r="I16" s="386" t="s">
        <v>3394</v>
      </c>
      <c r="J16" s="387"/>
      <c r="K16" s="1751"/>
      <c r="L16" s="2488"/>
      <c r="M16" s="2483"/>
      <c r="N16" s="2483"/>
      <c r="O16" s="2483"/>
      <c r="P16" s="3709"/>
      <c r="Q16" s="1262"/>
      <c r="R16" s="667"/>
      <c r="S16" s="668"/>
      <c r="T16" s="667"/>
      <c r="U16" s="668"/>
      <c r="V16" s="667"/>
      <c r="W16" s="668"/>
      <c r="X16" s="1264"/>
      <c r="Y16" s="3702"/>
      <c r="Z16" s="1263"/>
      <c r="AA16" s="1263">
        <v>1</v>
      </c>
      <c r="AB16" s="1263">
        <v>1</v>
      </c>
      <c r="AC16" s="1263">
        <v>1</v>
      </c>
    </row>
    <row r="17" spans="1:29" ht="34.5" customHeight="1">
      <c r="A17" s="367"/>
      <c r="B17" s="390" t="s">
        <v>1259</v>
      </c>
      <c r="C17" s="1752" t="str">
        <f>估价对象房地状况!C6</f>
        <v>周边有601路、709路等多条公交线路，综合评价交通便捷度一般</v>
      </c>
      <c r="D17" s="389">
        <v>100</v>
      </c>
      <c r="E17" s="3160"/>
      <c r="F17" s="389">
        <f>SUMIF(78:78,E18,79:79)-SUMIF(78:78,C18,79:79)+100</f>
        <v>100</v>
      </c>
      <c r="G17" s="391"/>
      <c r="H17" s="394">
        <f>SUMIF(78:78,G18,79:79)-SUMIF(78:78,C18,79:79)+100</f>
        <v>100</v>
      </c>
      <c r="I17" s="391"/>
      <c r="J17" s="394">
        <f>SUMIF(78:78,I18,79:79)-SUMIF(78:78,C18,79:79)+100</f>
        <v>100</v>
      </c>
      <c r="K17" s="384"/>
      <c r="L17" s="2488"/>
      <c r="M17" s="2483"/>
      <c r="N17" s="2483"/>
      <c r="O17" s="2483"/>
      <c r="P17" s="3709"/>
      <c r="Q17" s="1262" t="str">
        <f>B17</f>
        <v>交通便捷度</v>
      </c>
      <c r="R17" s="667" t="s">
        <v>18</v>
      </c>
      <c r="S17" s="668">
        <f>F17</f>
        <v>100</v>
      </c>
      <c r="T17" s="667" t="s">
        <v>18</v>
      </c>
      <c r="U17" s="668">
        <f>H17</f>
        <v>100</v>
      </c>
      <c r="V17" s="667" t="s">
        <v>18</v>
      </c>
      <c r="W17" s="668">
        <f>J17</f>
        <v>100</v>
      </c>
      <c r="X17" s="1264"/>
      <c r="Y17" s="3702"/>
      <c r="Z17" s="1263" t="str">
        <f>Q17</f>
        <v>交通便捷度</v>
      </c>
      <c r="AA17" s="1263">
        <f t="shared" si="3"/>
        <v>1</v>
      </c>
      <c r="AB17" s="1263">
        <f t="shared" si="4"/>
        <v>1</v>
      </c>
      <c r="AC17" s="1263">
        <f t="shared" si="5"/>
        <v>1</v>
      </c>
    </row>
    <row r="18" spans="1:29" ht="15">
      <c r="A18" s="367"/>
      <c r="B18" s="395"/>
      <c r="C18" s="1753" t="s">
        <v>3395</v>
      </c>
      <c r="D18" s="389"/>
      <c r="E18" s="386" t="s">
        <v>3394</v>
      </c>
      <c r="F18" s="389"/>
      <c r="G18" s="386" t="s">
        <v>3394</v>
      </c>
      <c r="H18" s="387"/>
      <c r="I18" s="386" t="s">
        <v>3394</v>
      </c>
      <c r="J18" s="387"/>
      <c r="K18" s="1751"/>
      <c r="L18" s="2488"/>
      <c r="M18" s="2483"/>
      <c r="N18" s="2483"/>
      <c r="O18" s="2483"/>
      <c r="P18" s="3709"/>
      <c r="Q18" s="1262"/>
      <c r="R18" s="667"/>
      <c r="S18" s="668"/>
      <c r="T18" s="667"/>
      <c r="U18" s="668"/>
      <c r="V18" s="667"/>
      <c r="W18" s="668"/>
      <c r="X18" s="1264"/>
      <c r="Y18" s="3702"/>
      <c r="Z18" s="1263"/>
      <c r="AA18" s="1263">
        <v>1</v>
      </c>
      <c r="AB18" s="1263">
        <v>1</v>
      </c>
      <c r="AC18" s="1263">
        <v>1</v>
      </c>
    </row>
    <row r="19" spans="1:29" ht="299.25" customHeight="1">
      <c r="A19" s="367"/>
      <c r="B19" s="390" t="s">
        <v>1258</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158"/>
      <c r="F19" s="394">
        <f>SUMIF(80:80,E20,81:81)-SUMIF(80:80,C20,81:81)+100</f>
        <v>100</v>
      </c>
      <c r="G19" s="3169"/>
      <c r="H19" s="389">
        <f>SUMIF(80:80,G20,81:81)-SUMIF(80:80,C20,81:81)+100</f>
        <v>100</v>
      </c>
      <c r="I19" s="3169"/>
      <c r="J19" s="389">
        <f>SUMIF(80:80,I20,81:81)-SUMIF(80:80,C20,81:81)+100</f>
        <v>100</v>
      </c>
      <c r="K19" s="384"/>
      <c r="L19" s="2488"/>
      <c r="M19" s="2483"/>
      <c r="N19" s="2483"/>
      <c r="O19" s="2483"/>
      <c r="P19" s="3709"/>
      <c r="Q19" s="1262" t="str">
        <f>B19</f>
        <v>公共配套设施</v>
      </c>
      <c r="R19" s="667" t="s">
        <v>18</v>
      </c>
      <c r="S19" s="668">
        <f>F19</f>
        <v>100</v>
      </c>
      <c r="T19" s="667" t="s">
        <v>18</v>
      </c>
      <c r="U19" s="668">
        <f>H19</f>
        <v>100</v>
      </c>
      <c r="V19" s="667" t="s">
        <v>18</v>
      </c>
      <c r="W19" s="668">
        <f>J19</f>
        <v>100</v>
      </c>
      <c r="X19" s="1264"/>
      <c r="Y19" s="3702"/>
      <c r="Z19" s="1263" t="str">
        <f>Q19</f>
        <v>公共配套设施</v>
      </c>
      <c r="AA19" s="1263">
        <f t="shared" si="3"/>
        <v>1</v>
      </c>
      <c r="AB19" s="1263">
        <f t="shared" si="4"/>
        <v>1</v>
      </c>
      <c r="AC19" s="1263">
        <f t="shared" si="5"/>
        <v>1</v>
      </c>
    </row>
    <row r="20" spans="1:29" ht="15">
      <c r="A20" s="367"/>
      <c r="B20" s="395"/>
      <c r="C20" s="386" t="s">
        <v>3395</v>
      </c>
      <c r="D20" s="387"/>
      <c r="E20" s="3167" t="s">
        <v>3394</v>
      </c>
      <c r="F20" s="387"/>
      <c r="G20" s="386" t="s">
        <v>3394</v>
      </c>
      <c r="H20" s="387"/>
      <c r="I20" s="386" t="s">
        <v>3394</v>
      </c>
      <c r="J20" s="387"/>
      <c r="K20" s="1751"/>
      <c r="L20" s="2488"/>
      <c r="M20" s="2483"/>
      <c r="N20" s="2483"/>
      <c r="O20" s="2483"/>
      <c r="P20" s="3709"/>
      <c r="Q20" s="1262"/>
      <c r="R20" s="667"/>
      <c r="S20" s="668"/>
      <c r="T20" s="667"/>
      <c r="U20" s="668"/>
      <c r="V20" s="667"/>
      <c r="W20" s="668"/>
      <c r="X20" s="1264"/>
      <c r="Y20" s="3702"/>
      <c r="Z20" s="1263"/>
      <c r="AA20" s="1263">
        <v>1</v>
      </c>
      <c r="AB20" s="1263">
        <v>1</v>
      </c>
      <c r="AC20" s="1263">
        <v>1</v>
      </c>
    </row>
    <row r="21" spans="1:29" ht="28.5">
      <c r="A21" s="367"/>
      <c r="B21" s="586" t="s">
        <v>1260</v>
      </c>
      <c r="C21" s="1752" t="str">
        <f>估价对象房地状况!C8</f>
        <v>估价对象所在区域基础设施水平</v>
      </c>
      <c r="D21" s="389">
        <v>100</v>
      </c>
      <c r="E21" s="3158"/>
      <c r="F21" s="394">
        <f>SUMIF(82:82,E22,83:83)-SUMIF(82:82,C22,83:83)+100</f>
        <v>100</v>
      </c>
      <c r="G21" s="396"/>
      <c r="H21" s="389">
        <f>SUMIF(82:82,G22,83:83)-SUMIF(82:82,C22,83:83)+100</f>
        <v>100</v>
      </c>
      <c r="I21" s="396"/>
      <c r="J21" s="389">
        <f>SUMIF(82:82,I22,83:83)-SUMIF(82:82,C22,83:83)+100</f>
        <v>100</v>
      </c>
      <c r="K21" s="384"/>
      <c r="L21" s="2488"/>
      <c r="M21" s="2483"/>
      <c r="N21" s="2483"/>
      <c r="O21" s="2483"/>
      <c r="P21" s="3709"/>
      <c r="Q21" s="1262" t="str">
        <f>B21</f>
        <v>基础设施水平</v>
      </c>
      <c r="R21" s="667" t="s">
        <v>14</v>
      </c>
      <c r="S21" s="668">
        <f>F21</f>
        <v>100</v>
      </c>
      <c r="T21" s="667" t="s">
        <v>14</v>
      </c>
      <c r="U21" s="668">
        <f>H21</f>
        <v>100</v>
      </c>
      <c r="V21" s="667" t="s">
        <v>14</v>
      </c>
      <c r="W21" s="668">
        <f>J21</f>
        <v>100</v>
      </c>
      <c r="X21" s="1264"/>
      <c r="Y21" s="3702"/>
      <c r="Z21" s="1263" t="str">
        <f>Q21</f>
        <v>基础设施水平</v>
      </c>
      <c r="AA21" s="1263">
        <f t="shared" ref="AA21" si="8">D21/F21</f>
        <v>1</v>
      </c>
      <c r="AB21" s="1263">
        <f t="shared" ref="AB21" si="9">D21/H21</f>
        <v>1</v>
      </c>
      <c r="AC21" s="1263">
        <f t="shared" ref="AC21" si="10">D21/J21</f>
        <v>1</v>
      </c>
    </row>
    <row r="22" spans="1:29" ht="15">
      <c r="A22" s="367"/>
      <c r="B22" s="586"/>
      <c r="C22" s="1753" t="s">
        <v>3400</v>
      </c>
      <c r="D22" s="387"/>
      <c r="E22" s="3168" t="s">
        <v>3400</v>
      </c>
      <c r="F22" s="387"/>
      <c r="G22" s="1753" t="s">
        <v>3400</v>
      </c>
      <c r="H22" s="387"/>
      <c r="I22" s="1753" t="s">
        <v>3400</v>
      </c>
      <c r="J22" s="387"/>
      <c r="K22" s="1757"/>
      <c r="L22" s="2488"/>
      <c r="M22" s="2483"/>
      <c r="N22" s="2483"/>
      <c r="O22" s="2483"/>
      <c r="P22" s="3709"/>
      <c r="Q22" s="1262"/>
      <c r="R22" s="667"/>
      <c r="S22" s="668"/>
      <c r="T22" s="667"/>
      <c r="U22" s="668"/>
      <c r="V22" s="667"/>
      <c r="W22" s="668"/>
      <c r="X22" s="1264"/>
      <c r="Y22" s="3702"/>
      <c r="Z22" s="1263"/>
      <c r="AA22" s="1263">
        <v>1</v>
      </c>
      <c r="AB22" s="1263">
        <v>1</v>
      </c>
      <c r="AC22" s="1263">
        <v>1</v>
      </c>
    </row>
    <row r="23" spans="1:29" ht="71.25">
      <c r="A23" s="367"/>
      <c r="B23" s="390" t="s">
        <v>1261</v>
      </c>
      <c r="C23" s="1752" t="str">
        <f>估价对象房地状况!C9</f>
        <v>人文环境：首都师范大学等人文场所；
综合评价环境状况一般。</v>
      </c>
      <c r="D23" s="389">
        <v>100</v>
      </c>
      <c r="E23" s="3160"/>
      <c r="F23" s="389">
        <f>SUMIF(84:84,E24,85:85)-SUMIF(84:84,C24,85:85)+100</f>
        <v>100</v>
      </c>
      <c r="G23" s="3170"/>
      <c r="H23" s="389">
        <f>SUMIF(84:84,G24,85:85)-SUMIF(84:84,C24,85:85)+100</f>
        <v>100</v>
      </c>
      <c r="I23" s="3170"/>
      <c r="J23" s="389">
        <f>SUMIF(84:84,I24,85:85)-SUMIF(84:84,C24,85:85)+100</f>
        <v>100</v>
      </c>
      <c r="K23" s="384"/>
      <c r="L23" s="2488"/>
      <c r="M23" s="2483"/>
      <c r="N23" s="2483"/>
      <c r="O23" s="2483"/>
      <c r="P23" s="3709"/>
      <c r="Q23" s="1262" t="str">
        <f>B23</f>
        <v>自然及人文环境</v>
      </c>
      <c r="R23" s="667" t="s">
        <v>18</v>
      </c>
      <c r="S23" s="668">
        <f>F23</f>
        <v>100</v>
      </c>
      <c r="T23" s="667" t="s">
        <v>18</v>
      </c>
      <c r="U23" s="668">
        <f>H23</f>
        <v>100</v>
      </c>
      <c r="V23" s="667" t="s">
        <v>18</v>
      </c>
      <c r="W23" s="668">
        <f>J23</f>
        <v>100</v>
      </c>
      <c r="X23" s="1264"/>
      <c r="Y23" s="3702"/>
      <c r="Z23" s="1263" t="str">
        <f>Q23</f>
        <v>自然及人文环境</v>
      </c>
      <c r="AA23" s="1263">
        <f>D23/F23</f>
        <v>1</v>
      </c>
      <c r="AB23" s="1263">
        <f>D23/H23</f>
        <v>1</v>
      </c>
      <c r="AC23" s="1263">
        <f>D23/J23</f>
        <v>1</v>
      </c>
    </row>
    <row r="24" spans="1:29" ht="15">
      <c r="A24" s="367"/>
      <c r="B24" s="395"/>
      <c r="C24" s="386" t="s">
        <v>3395</v>
      </c>
      <c r="D24" s="387"/>
      <c r="E24" s="386" t="s">
        <v>3395</v>
      </c>
      <c r="F24" s="387"/>
      <c r="G24" s="386" t="s">
        <v>3395</v>
      </c>
      <c r="H24" s="387"/>
      <c r="I24" s="386" t="s">
        <v>3395</v>
      </c>
      <c r="J24" s="387"/>
      <c r="K24" s="1751"/>
      <c r="L24" s="2488"/>
      <c r="M24" s="2483"/>
      <c r="N24" s="2483"/>
      <c r="O24" s="2483"/>
      <c r="P24" s="3709"/>
      <c r="Q24" s="1262"/>
      <c r="R24" s="667"/>
      <c r="S24" s="668"/>
      <c r="T24" s="667"/>
      <c r="U24" s="668"/>
      <c r="V24" s="667"/>
      <c r="W24" s="668"/>
      <c r="X24" s="1264"/>
      <c r="Y24" s="3702"/>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7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702"/>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3412</v>
      </c>
      <c r="D26" s="374">
        <v>100</v>
      </c>
      <c r="E26" s="1758" t="s">
        <v>4016</v>
      </c>
      <c r="F26" s="374">
        <f>SUMIF(88:88,E26,89:89)-SUMIF(88:88,C26,89:89)+100</f>
        <v>96</v>
      </c>
      <c r="G26" s="1759" t="s">
        <v>4017</v>
      </c>
      <c r="H26" s="374">
        <f>SUMIF(88:88,G26,89:89)-SUMIF(88:88,C26,89:89)+100</f>
        <v>99</v>
      </c>
      <c r="I26" s="1759" t="s">
        <v>4017</v>
      </c>
      <c r="J26" s="374">
        <f>SUMIF(88:88,I26,89:89)-SUMIF(88:88,C26,89:89)+100</f>
        <v>99</v>
      </c>
      <c r="K26" s="365">
        <v>0.5</v>
      </c>
      <c r="L26" s="2488"/>
      <c r="M26" s="2483"/>
      <c r="N26" s="2483"/>
      <c r="O26" s="2483"/>
      <c r="P26" s="3709"/>
      <c r="Q26" s="1262" t="str">
        <f t="shared" si="11"/>
        <v>朝向</v>
      </c>
      <c r="R26" s="667" t="s">
        <v>18</v>
      </c>
      <c r="S26" s="668">
        <f t="shared" si="12"/>
        <v>96</v>
      </c>
      <c r="T26" s="667" t="s">
        <v>18</v>
      </c>
      <c r="U26" s="668">
        <f t="shared" si="13"/>
        <v>99</v>
      </c>
      <c r="V26" s="667" t="s">
        <v>18</v>
      </c>
      <c r="W26" s="668">
        <f t="shared" si="14"/>
        <v>99</v>
      </c>
      <c r="X26" s="1264"/>
      <c r="Y26" s="3702"/>
      <c r="Z26" s="1263" t="str">
        <f>Q26</f>
        <v>朝向</v>
      </c>
      <c r="AA26" s="1263">
        <f t="shared" si="15"/>
        <v>1.0416666666666667</v>
      </c>
      <c r="AB26" s="1263">
        <f t="shared" si="16"/>
        <v>1.0101010101010102</v>
      </c>
      <c r="AC26" s="1263">
        <f t="shared" si="17"/>
        <v>1.0101010101010102</v>
      </c>
    </row>
    <row r="27" spans="1:29" s="102" customFormat="1" ht="15">
      <c r="A27" s="370"/>
      <c r="B27" s="3142" t="s">
        <v>3381</v>
      </c>
      <c r="C27" s="3143" t="s">
        <v>3788</v>
      </c>
      <c r="D27" s="401">
        <v>100</v>
      </c>
      <c r="E27" s="3143" t="s">
        <v>4015</v>
      </c>
      <c r="F27" s="401">
        <f>SUMIF(90:90,E27,91:91)-SUMIF(90:90,C27,91:91)+100</f>
        <v>100.5</v>
      </c>
      <c r="G27" s="3144" t="s">
        <v>4014</v>
      </c>
      <c r="H27" s="401">
        <f>SUMIF(90:90,G27,91:91)-SUMIF(90:90,C27,91:91)+100</f>
        <v>100</v>
      </c>
      <c r="I27" s="3143" t="s">
        <v>4013</v>
      </c>
      <c r="J27" s="401">
        <f>SUMIF(90:90,I27,91:91)-SUMIF(90:90,C27,91:91)+100</f>
        <v>101.5</v>
      </c>
      <c r="K27" s="1746"/>
      <c r="L27" s="2484"/>
      <c r="M27" s="2435"/>
      <c r="N27" s="2435"/>
      <c r="O27" s="2435"/>
      <c r="P27" s="3709"/>
      <c r="Q27" s="530" t="str">
        <f t="shared" si="11"/>
        <v>楼层</v>
      </c>
      <c r="R27" s="664" t="s">
        <v>18</v>
      </c>
      <c r="S27" s="665">
        <f t="shared" si="12"/>
        <v>100.5</v>
      </c>
      <c r="T27" s="664" t="s">
        <v>18</v>
      </c>
      <c r="U27" s="665">
        <f t="shared" si="13"/>
        <v>100</v>
      </c>
      <c r="V27" s="664" t="s">
        <v>18</v>
      </c>
      <c r="W27" s="665">
        <f t="shared" si="14"/>
        <v>101.5</v>
      </c>
      <c r="X27" s="666"/>
      <c r="Y27" s="3702"/>
      <c r="Z27" s="50" t="str">
        <f>Q27</f>
        <v>楼层</v>
      </c>
      <c r="AA27" s="1263">
        <f t="shared" si="15"/>
        <v>0.99502487562189057</v>
      </c>
      <c r="AB27" s="1263">
        <f t="shared" si="16"/>
        <v>1</v>
      </c>
      <c r="AC27" s="1263">
        <f t="shared" si="17"/>
        <v>0.98522167487684731</v>
      </c>
    </row>
    <row r="28" spans="1:29" ht="15" hidden="1">
      <c r="A28" s="367"/>
      <c r="B28" s="3142" t="s">
        <v>3428</v>
      </c>
      <c r="C28" s="3146" t="s">
        <v>3432</v>
      </c>
      <c r="D28" s="374">
        <v>100</v>
      </c>
      <c r="E28" s="3146" t="s">
        <v>3432</v>
      </c>
      <c r="F28" s="374">
        <f>SUMIF(92:92,E28,93:93)-SUMIF(92:92,C28,93:93)+100</f>
        <v>100</v>
      </c>
      <c r="G28" s="3146" t="s">
        <v>3432</v>
      </c>
      <c r="H28" s="374">
        <f>SUMIF(92:92,G28,93:93)-SUMIF(92:92,C28,93:93)+100</f>
        <v>100</v>
      </c>
      <c r="I28" s="3146" t="s">
        <v>3432</v>
      </c>
      <c r="J28" s="374">
        <f>SUMIF(92:92,I28,93:93)-SUMIF(92:92,C28,93:93)+100</f>
        <v>100</v>
      </c>
      <c r="K28" s="1746"/>
      <c r="L28" s="2488"/>
      <c r="M28" s="2483"/>
      <c r="N28" s="2483"/>
      <c r="O28" s="2483"/>
      <c r="P28" s="3709"/>
      <c r="Q28" s="1262" t="str">
        <f t="shared" si="11"/>
        <v>道路级别</v>
      </c>
      <c r="R28" s="667" t="s">
        <v>18</v>
      </c>
      <c r="S28" s="668">
        <f t="shared" si="12"/>
        <v>100</v>
      </c>
      <c r="T28" s="667" t="s">
        <v>18</v>
      </c>
      <c r="U28" s="668">
        <f t="shared" si="13"/>
        <v>100</v>
      </c>
      <c r="V28" s="667" t="s">
        <v>18</v>
      </c>
      <c r="W28" s="668">
        <f t="shared" si="14"/>
        <v>100</v>
      </c>
      <c r="X28" s="1264"/>
      <c r="Y28" s="3702"/>
      <c r="Z28" s="1263" t="str">
        <f t="shared" ref="Z28:Z46" si="18">Q28</f>
        <v>道路级别</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709"/>
      <c r="Q29" s="1262">
        <f t="shared" si="11"/>
        <v>111</v>
      </c>
      <c r="R29" s="667" t="s">
        <v>18</v>
      </c>
      <c r="S29" s="668">
        <f t="shared" si="12"/>
        <v>100</v>
      </c>
      <c r="T29" s="667" t="s">
        <v>18</v>
      </c>
      <c r="U29" s="668">
        <f t="shared" si="13"/>
        <v>100</v>
      </c>
      <c r="V29" s="667" t="s">
        <v>18</v>
      </c>
      <c r="W29" s="668">
        <f t="shared" si="14"/>
        <v>100</v>
      </c>
      <c r="X29" s="1264"/>
      <c r="Y29" s="370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709"/>
      <c r="Q30" s="1262">
        <f t="shared" si="11"/>
        <v>111</v>
      </c>
      <c r="R30" s="667" t="s">
        <v>18</v>
      </c>
      <c r="S30" s="668">
        <f t="shared" si="12"/>
        <v>100</v>
      </c>
      <c r="T30" s="667" t="s">
        <v>18</v>
      </c>
      <c r="U30" s="668">
        <f t="shared" si="13"/>
        <v>100</v>
      </c>
      <c r="V30" s="667" t="s">
        <v>18</v>
      </c>
      <c r="W30" s="668">
        <f t="shared" si="14"/>
        <v>100</v>
      </c>
      <c r="X30" s="1264"/>
      <c r="Y30" s="370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709"/>
      <c r="Q31" s="1262">
        <f t="shared" si="11"/>
        <v>111</v>
      </c>
      <c r="R31" s="667" t="s">
        <v>18</v>
      </c>
      <c r="S31" s="668">
        <f t="shared" si="12"/>
        <v>100</v>
      </c>
      <c r="T31" s="667" t="s">
        <v>18</v>
      </c>
      <c r="U31" s="668">
        <f t="shared" si="13"/>
        <v>100</v>
      </c>
      <c r="V31" s="667" t="s">
        <v>18</v>
      </c>
      <c r="W31" s="668">
        <f t="shared" si="14"/>
        <v>100</v>
      </c>
      <c r="X31" s="1264"/>
      <c r="Y31" s="3702"/>
      <c r="Z31" s="1263">
        <f t="shared" si="18"/>
        <v>111</v>
      </c>
      <c r="AA31" s="1263">
        <f t="shared" si="15"/>
        <v>1</v>
      </c>
      <c r="AB31" s="1263">
        <f t="shared" si="16"/>
        <v>1</v>
      </c>
      <c r="AC31" s="1263">
        <f t="shared" si="17"/>
        <v>1</v>
      </c>
    </row>
    <row r="32" spans="1:29" ht="15">
      <c r="A32" s="379" t="s">
        <v>1694</v>
      </c>
      <c r="B32" s="3177" t="s">
        <v>1695</v>
      </c>
      <c r="C32" s="3179" t="s">
        <v>3443</v>
      </c>
      <c r="D32" s="405">
        <v>100</v>
      </c>
      <c r="E32" s="3179" t="s">
        <v>4018</v>
      </c>
      <c r="F32" s="400">
        <f>SUMIF(100:100,E32,101:101)-SUMIF(100:100,C32,101:101)+100</f>
        <v>99</v>
      </c>
      <c r="G32" s="1762" t="s">
        <v>4018</v>
      </c>
      <c r="H32" s="405">
        <f>SUMIF(100:100,G32,101:101)-SUMIF(100:100,C32,101:101)+100</f>
        <v>99</v>
      </c>
      <c r="I32" s="1762" t="s">
        <v>4018</v>
      </c>
      <c r="J32" s="374">
        <f>SUMIF(100:100,I32,101:101)-SUMIF(100:100,C32,101:101)+100</f>
        <v>99</v>
      </c>
      <c r="K32" s="365">
        <v>0.5</v>
      </c>
      <c r="L32" s="2488"/>
      <c r="M32" s="2483"/>
      <c r="N32" s="2483"/>
      <c r="O32" s="2483"/>
      <c r="P32" s="3703" t="s">
        <v>1696</v>
      </c>
      <c r="Q32" s="1262" t="str">
        <f t="shared" si="11"/>
        <v>建筑类型</v>
      </c>
      <c r="R32" s="667" t="s">
        <v>18</v>
      </c>
      <c r="S32" s="668">
        <f t="shared" si="12"/>
        <v>99</v>
      </c>
      <c r="T32" s="667" t="s">
        <v>18</v>
      </c>
      <c r="U32" s="668">
        <f t="shared" si="13"/>
        <v>99</v>
      </c>
      <c r="V32" s="667" t="s">
        <v>18</v>
      </c>
      <c r="W32" s="668">
        <f t="shared" si="14"/>
        <v>99</v>
      </c>
      <c r="X32" s="1264"/>
      <c r="Y32" s="3706" t="s">
        <v>1696</v>
      </c>
      <c r="Z32" s="1263" t="str">
        <f t="shared" si="18"/>
        <v>建筑类型</v>
      </c>
      <c r="AA32" s="1263">
        <f t="shared" si="15"/>
        <v>1.0101010101010102</v>
      </c>
      <c r="AB32" s="1263">
        <f t="shared" si="16"/>
        <v>1.0101010101010102</v>
      </c>
      <c r="AC32" s="1263">
        <f t="shared" si="17"/>
        <v>1.0101010101010102</v>
      </c>
    </row>
    <row r="33" spans="1:29" s="408" customFormat="1" ht="15">
      <c r="A33" s="406"/>
      <c r="B33" s="3176" t="s">
        <v>1697</v>
      </c>
      <c r="C33" s="3129">
        <v>204.54</v>
      </c>
      <c r="D33" s="119">
        <v>100</v>
      </c>
      <c r="E33" s="3129">
        <f>案例!L2</f>
        <v>102</v>
      </c>
      <c r="F33" s="3966">
        <f>D104</f>
        <v>110</v>
      </c>
      <c r="G33" s="3129">
        <f>案例!L3</f>
        <v>53.6</v>
      </c>
      <c r="H33" s="119">
        <f>C104</f>
        <v>115</v>
      </c>
      <c r="I33" s="3129">
        <f>案例!L5</f>
        <v>53.6</v>
      </c>
      <c r="J33" s="3965">
        <f>H33</f>
        <v>115</v>
      </c>
      <c r="K33" s="1746"/>
      <c r="L33" s="2487"/>
      <c r="M33" s="2489"/>
      <c r="N33" s="2489"/>
      <c r="O33" s="2489"/>
      <c r="P33" s="3704"/>
      <c r="Q33" s="531" t="str">
        <f t="shared" si="11"/>
        <v>项目建筑规模</v>
      </c>
      <c r="R33" s="669" t="s">
        <v>18</v>
      </c>
      <c r="S33" s="670">
        <f t="shared" si="12"/>
        <v>110</v>
      </c>
      <c r="T33" s="669" t="s">
        <v>18</v>
      </c>
      <c r="U33" s="670">
        <f t="shared" si="13"/>
        <v>115</v>
      </c>
      <c r="V33" s="669" t="s">
        <v>18</v>
      </c>
      <c r="W33" s="670">
        <f t="shared" si="14"/>
        <v>115</v>
      </c>
      <c r="X33" s="671"/>
      <c r="Y33" s="3706"/>
      <c r="Z33" s="672" t="str">
        <f t="shared" si="18"/>
        <v>项目建筑规模</v>
      </c>
      <c r="AA33" s="1263">
        <f t="shared" si="15"/>
        <v>0.90909090909090906</v>
      </c>
      <c r="AB33" s="1263">
        <f t="shared" si="16"/>
        <v>0.86956521739130432</v>
      </c>
      <c r="AC33" s="1263">
        <f t="shared" si="17"/>
        <v>0.86956521739130432</v>
      </c>
    </row>
    <row r="34" spans="1:29" ht="15">
      <c r="A34" s="409"/>
      <c r="B34" s="364" t="s">
        <v>1698</v>
      </c>
      <c r="C34" s="399" t="s">
        <v>3384</v>
      </c>
      <c r="D34" s="374">
        <v>100</v>
      </c>
      <c r="E34" s="399" t="s">
        <v>3384</v>
      </c>
      <c r="F34" s="400">
        <f>SUMIF(105:105,E34,106:106)-SUMIF(105:105,C34,106:106)+100</f>
        <v>100</v>
      </c>
      <c r="G34" s="399" t="s">
        <v>3384</v>
      </c>
      <c r="H34" s="374">
        <f>SUMIF(105:105,G34,106:106)-SUMIF(105:105,C34,106:106)+100</f>
        <v>100</v>
      </c>
      <c r="I34" s="399" t="s">
        <v>3384</v>
      </c>
      <c r="J34" s="374">
        <f>SUMIF(105:105,I34,106:106)-SUMIF(105:105,C34,106:106)+100</f>
        <v>100</v>
      </c>
      <c r="K34" s="365">
        <v>0.5</v>
      </c>
      <c r="L34" s="2488"/>
      <c r="M34" s="2483"/>
      <c r="N34" s="2483"/>
      <c r="O34" s="2483"/>
      <c r="P34" s="3704"/>
      <c r="Q34" s="1262" t="str">
        <f t="shared" si="11"/>
        <v>建筑结构</v>
      </c>
      <c r="R34" s="667" t="s">
        <v>18</v>
      </c>
      <c r="S34" s="668">
        <f t="shared" si="12"/>
        <v>100</v>
      </c>
      <c r="T34" s="667" t="s">
        <v>18</v>
      </c>
      <c r="U34" s="668">
        <f t="shared" si="13"/>
        <v>100</v>
      </c>
      <c r="V34" s="667" t="s">
        <v>18</v>
      </c>
      <c r="W34" s="668">
        <f t="shared" si="14"/>
        <v>100</v>
      </c>
      <c r="X34" s="1264"/>
      <c r="Y34" s="3706"/>
      <c r="Z34" s="1263" t="str">
        <f t="shared" si="18"/>
        <v>建筑结构</v>
      </c>
      <c r="AA34" s="1263">
        <f t="shared" si="15"/>
        <v>1</v>
      </c>
      <c r="AB34" s="1263">
        <f t="shared" si="16"/>
        <v>1</v>
      </c>
      <c r="AC34" s="1263">
        <f t="shared" si="17"/>
        <v>1</v>
      </c>
    </row>
    <row r="35" spans="1:29" ht="15" hidden="1">
      <c r="A35" s="409"/>
      <c r="B35" s="3178" t="s">
        <v>3442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v>3</v>
      </c>
      <c r="L35" s="2488"/>
      <c r="M35" s="2483"/>
      <c r="N35" s="2483"/>
      <c r="O35" s="2483"/>
      <c r="P35" s="3704"/>
      <c r="Q35" s="1262" t="str">
        <f t="shared" si="11"/>
        <v>噪音污染</v>
      </c>
      <c r="R35" s="667" t="s">
        <v>18</v>
      </c>
      <c r="S35" s="668">
        <f t="shared" si="12"/>
        <v>100</v>
      </c>
      <c r="T35" s="667" t="s">
        <v>18</v>
      </c>
      <c r="U35" s="668">
        <f t="shared" si="13"/>
        <v>100</v>
      </c>
      <c r="V35" s="667" t="s">
        <v>18</v>
      </c>
      <c r="W35" s="668">
        <f t="shared" si="14"/>
        <v>100</v>
      </c>
      <c r="X35" s="1264"/>
      <c r="Y35" s="3706"/>
      <c r="Z35" s="1263" t="str">
        <f t="shared" si="18"/>
        <v>噪音污染</v>
      </c>
      <c r="AA35" s="1263">
        <f t="shared" si="15"/>
        <v>1</v>
      </c>
      <c r="AB35" s="1263">
        <f t="shared" si="16"/>
        <v>1</v>
      </c>
      <c r="AC35" s="1263">
        <f t="shared" si="17"/>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704"/>
      <c r="Q36" s="1262" t="str">
        <f t="shared" si="11"/>
        <v>公共部分装修</v>
      </c>
      <c r="R36" s="667" t="s">
        <v>18</v>
      </c>
      <c r="S36" s="668">
        <f t="shared" si="12"/>
        <v>100</v>
      </c>
      <c r="T36" s="667" t="s">
        <v>18</v>
      </c>
      <c r="U36" s="668">
        <f t="shared" si="13"/>
        <v>100</v>
      </c>
      <c r="V36" s="667" t="s">
        <v>18</v>
      </c>
      <c r="W36" s="668">
        <f t="shared" si="14"/>
        <v>100</v>
      </c>
      <c r="X36" s="1264"/>
      <c r="Y36" s="3706"/>
      <c r="Z36" s="1263" t="str">
        <f t="shared" si="18"/>
        <v>公共部分装修</v>
      </c>
      <c r="AA36" s="1263">
        <f t="shared" si="15"/>
        <v>1</v>
      </c>
      <c r="AB36" s="1263">
        <f t="shared" si="16"/>
        <v>1</v>
      </c>
      <c r="AC36" s="1263">
        <f t="shared" si="17"/>
        <v>1</v>
      </c>
    </row>
    <row r="37" spans="1:29" s="102" customFormat="1" ht="15">
      <c r="A37" s="410"/>
      <c r="B37" s="3963" t="s">
        <v>4019</v>
      </c>
      <c r="C37" s="3964">
        <v>2001</v>
      </c>
      <c r="D37" s="119">
        <v>100</v>
      </c>
      <c r="E37" s="3964">
        <f>案例!K18</f>
        <v>1998</v>
      </c>
      <c r="F37" s="364">
        <f>100-3*$K$37</f>
        <v>98.5</v>
      </c>
      <c r="G37" s="3964">
        <f>案例!K19</f>
        <v>1987</v>
      </c>
      <c r="H37" s="119">
        <f>100-14*$K$37</f>
        <v>93</v>
      </c>
      <c r="I37" s="3964">
        <f>案例!K21</f>
        <v>1987</v>
      </c>
      <c r="J37" s="119">
        <f>H37</f>
        <v>93</v>
      </c>
      <c r="K37" s="365">
        <v>0.5</v>
      </c>
      <c r="L37" s="2484"/>
      <c r="M37" s="2435"/>
      <c r="N37" s="2435"/>
      <c r="O37" s="2435"/>
      <c r="P37" s="3704"/>
      <c r="Q37" s="530" t="str">
        <f t="shared" si="11"/>
        <v>建成年代</v>
      </c>
      <c r="R37" s="664" t="s">
        <v>18</v>
      </c>
      <c r="S37" s="665">
        <f t="shared" si="12"/>
        <v>98.5</v>
      </c>
      <c r="T37" s="664" t="s">
        <v>18</v>
      </c>
      <c r="U37" s="665">
        <f t="shared" si="13"/>
        <v>93</v>
      </c>
      <c r="V37" s="664" t="s">
        <v>18</v>
      </c>
      <c r="W37" s="665">
        <f t="shared" si="14"/>
        <v>93</v>
      </c>
      <c r="X37" s="666"/>
      <c r="Y37" s="3706"/>
      <c r="Z37" s="50" t="str">
        <f t="shared" si="18"/>
        <v>建成年代</v>
      </c>
      <c r="AA37" s="50">
        <f t="shared" si="15"/>
        <v>1.015228426395939</v>
      </c>
      <c r="AB37" s="50">
        <f t="shared" si="16"/>
        <v>1.075268817204301</v>
      </c>
      <c r="AC37" s="50">
        <f t="shared" si="17"/>
        <v>1.075268817204301</v>
      </c>
    </row>
    <row r="38" spans="1:29" ht="15">
      <c r="A38" s="409"/>
      <c r="B38" s="364" t="s">
        <v>1700</v>
      </c>
      <c r="C38" s="1758" t="s">
        <v>3789</v>
      </c>
      <c r="D38" s="374">
        <v>100</v>
      </c>
      <c r="E38" s="1758" t="s">
        <v>3434</v>
      </c>
      <c r="F38" s="400">
        <f>SUMIF(114:114,E38,115:115)-SUMIF(114:114,C38,115:115)+100</f>
        <v>99</v>
      </c>
      <c r="G38" s="1758" t="s">
        <v>3789</v>
      </c>
      <c r="H38" s="374">
        <f>SUMIF(114:114,G38,115:115)-SUMIF(114:114,C38,115:115)+100</f>
        <v>100</v>
      </c>
      <c r="I38" s="1758" t="s">
        <v>3789</v>
      </c>
      <c r="J38" s="374">
        <f>SUMIF(114:114,I38,115:115)-SUMIF(114:114,C38,115:115)+100</f>
        <v>100</v>
      </c>
      <c r="K38" s="365">
        <v>1</v>
      </c>
      <c r="L38" s="2488"/>
      <c r="M38" s="2483"/>
      <c r="N38" s="2483"/>
      <c r="O38" s="2483"/>
      <c r="P38" s="3704" t="s">
        <v>1696</v>
      </c>
      <c r="Q38" s="1262" t="str">
        <f t="shared" si="11"/>
        <v>物业管理</v>
      </c>
      <c r="R38" s="667" t="s">
        <v>18</v>
      </c>
      <c r="S38" s="668">
        <f t="shared" si="12"/>
        <v>99</v>
      </c>
      <c r="T38" s="667" t="s">
        <v>18</v>
      </c>
      <c r="U38" s="668">
        <f t="shared" si="13"/>
        <v>100</v>
      </c>
      <c r="V38" s="667" t="s">
        <v>18</v>
      </c>
      <c r="W38" s="668">
        <f t="shared" si="14"/>
        <v>100</v>
      </c>
      <c r="X38" s="1264"/>
      <c r="Y38" s="3706" t="s">
        <v>1696</v>
      </c>
      <c r="Z38" s="1263" t="str">
        <f t="shared" si="18"/>
        <v>物业管理</v>
      </c>
      <c r="AA38" s="1263">
        <f t="shared" si="15"/>
        <v>1.0101010101010102</v>
      </c>
      <c r="AB38" s="1263">
        <f t="shared" si="16"/>
        <v>1</v>
      </c>
      <c r="AC38" s="1263">
        <f t="shared" si="17"/>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704"/>
      <c r="Q39" s="1262" t="str">
        <f t="shared" si="11"/>
        <v>市政基础设施</v>
      </c>
      <c r="R39" s="667" t="s">
        <v>18</v>
      </c>
      <c r="S39" s="668">
        <f t="shared" si="12"/>
        <v>100</v>
      </c>
      <c r="T39" s="667" t="s">
        <v>18</v>
      </c>
      <c r="U39" s="668">
        <f t="shared" si="13"/>
        <v>100</v>
      </c>
      <c r="V39" s="667" t="s">
        <v>18</v>
      </c>
      <c r="W39" s="668">
        <f t="shared" si="14"/>
        <v>100</v>
      </c>
      <c r="X39" s="1264"/>
      <c r="Y39" s="3706"/>
      <c r="Z39" s="1263" t="str">
        <f t="shared" si="18"/>
        <v>市政基础设施</v>
      </c>
      <c r="AA39" s="1263">
        <f t="shared" si="15"/>
        <v>1</v>
      </c>
      <c r="AB39" s="1263">
        <f t="shared" si="16"/>
        <v>1</v>
      </c>
      <c r="AC39" s="1263">
        <f t="shared" si="17"/>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704"/>
      <c r="Q40" s="1262" t="str">
        <f t="shared" si="11"/>
        <v>房型</v>
      </c>
      <c r="R40" s="667" t="s">
        <v>18</v>
      </c>
      <c r="S40" s="668">
        <f t="shared" si="12"/>
        <v>100</v>
      </c>
      <c r="T40" s="667" t="s">
        <v>18</v>
      </c>
      <c r="U40" s="668">
        <f t="shared" si="13"/>
        <v>100</v>
      </c>
      <c r="V40" s="667" t="s">
        <v>18</v>
      </c>
      <c r="W40" s="668">
        <f t="shared" si="14"/>
        <v>100</v>
      </c>
      <c r="X40" s="1264"/>
      <c r="Y40" s="3706"/>
      <c r="Z40" s="1263" t="str">
        <f t="shared" si="18"/>
        <v>房型</v>
      </c>
      <c r="AA40" s="1263">
        <f t="shared" si="15"/>
        <v>1</v>
      </c>
      <c r="AB40" s="1263">
        <f t="shared" si="16"/>
        <v>1</v>
      </c>
      <c r="AC40" s="1263">
        <f t="shared" si="17"/>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704"/>
      <c r="Q41" s="531" t="str">
        <f t="shared" si="11"/>
        <v>单套/主力户型建筑面积</v>
      </c>
      <c r="R41" s="669" t="s">
        <v>18</v>
      </c>
      <c r="S41" s="670">
        <f t="shared" si="12"/>
        <v>100</v>
      </c>
      <c r="T41" s="669" t="s">
        <v>18</v>
      </c>
      <c r="U41" s="670">
        <f t="shared" si="13"/>
        <v>100</v>
      </c>
      <c r="V41" s="669" t="s">
        <v>18</v>
      </c>
      <c r="W41" s="670">
        <f t="shared" si="14"/>
        <v>100</v>
      </c>
      <c r="X41" s="671"/>
      <c r="Y41" s="3706"/>
      <c r="Z41" s="672" t="str">
        <f t="shared" si="18"/>
        <v>单套/主力户型建筑面积</v>
      </c>
      <c r="AA41" s="1263">
        <f t="shared" si="15"/>
        <v>1</v>
      </c>
      <c r="AB41" s="1263">
        <f t="shared" si="16"/>
        <v>1</v>
      </c>
      <c r="AC41" s="1263">
        <f t="shared" si="17"/>
        <v>1</v>
      </c>
    </row>
    <row r="42" spans="1:29" ht="15">
      <c r="A42" s="409"/>
      <c r="B42" s="364" t="s">
        <v>1704</v>
      </c>
      <c r="C42" s="1758" t="s">
        <v>3399</v>
      </c>
      <c r="D42" s="374">
        <v>100</v>
      </c>
      <c r="E42" s="1758" t="s">
        <v>3399</v>
      </c>
      <c r="F42" s="400">
        <f>SUMIF(122:122,E42,123:123)-SUMIF(122:122,C42,123:123)+100</f>
        <v>100</v>
      </c>
      <c r="G42" s="1758" t="s">
        <v>3399</v>
      </c>
      <c r="H42" s="374">
        <f>SUMIF(122:122,G42,123:123)-SUMIF(122:122,C42,123:123)+100</f>
        <v>100</v>
      </c>
      <c r="I42" s="1758" t="s">
        <v>3399</v>
      </c>
      <c r="J42" s="374">
        <f>SUMIF(122:122,I42,123:123)-SUMIF(122:122,C42,123:123)+100</f>
        <v>100</v>
      </c>
      <c r="K42" s="365">
        <v>2</v>
      </c>
      <c r="L42" s="2488"/>
      <c r="M42" s="2483"/>
      <c r="N42" s="2483"/>
      <c r="O42" s="2483"/>
      <c r="P42" s="3704"/>
      <c r="Q42" s="1262" t="str">
        <f t="shared" si="11"/>
        <v>内部装修</v>
      </c>
      <c r="R42" s="667" t="s">
        <v>18</v>
      </c>
      <c r="S42" s="668">
        <f t="shared" si="12"/>
        <v>100</v>
      </c>
      <c r="T42" s="667" t="s">
        <v>18</v>
      </c>
      <c r="U42" s="668">
        <f t="shared" si="13"/>
        <v>100</v>
      </c>
      <c r="V42" s="667" t="s">
        <v>18</v>
      </c>
      <c r="W42" s="668">
        <f t="shared" si="14"/>
        <v>100</v>
      </c>
      <c r="X42" s="1264"/>
      <c r="Y42" s="3706"/>
      <c r="Z42" s="1263" t="str">
        <f t="shared" si="18"/>
        <v>内部装修</v>
      </c>
      <c r="AA42" s="1263">
        <f t="shared" si="15"/>
        <v>1</v>
      </c>
      <c r="AB42" s="1263">
        <f t="shared" si="16"/>
        <v>1</v>
      </c>
      <c r="AC42" s="1263">
        <f t="shared" si="17"/>
        <v>1</v>
      </c>
    </row>
    <row r="43" spans="1:29" ht="15">
      <c r="A43" s="409"/>
      <c r="B43" s="364" t="s">
        <v>1705</v>
      </c>
      <c r="C43" s="1758" t="s">
        <v>3394</v>
      </c>
      <c r="D43" s="374">
        <v>100</v>
      </c>
      <c r="E43" s="1758" t="s">
        <v>3394</v>
      </c>
      <c r="F43" s="400">
        <f>SUMIF(124:124,E43,125:125)-SUMIF(124:124,C43,125:125)+100</f>
        <v>100</v>
      </c>
      <c r="G43" s="1758" t="s">
        <v>3394</v>
      </c>
      <c r="H43" s="374">
        <f>SUMIF(124:124,G43,125:125)-SUMIF(124:124,C43,125:125)+100</f>
        <v>100</v>
      </c>
      <c r="I43" s="1758" t="s">
        <v>3394</v>
      </c>
      <c r="J43" s="374">
        <f>SUMIF(124:124,I43,125:125)-SUMIF(124:124,C43,125:125)+100</f>
        <v>100</v>
      </c>
      <c r="K43" s="365"/>
      <c r="L43" s="2488"/>
      <c r="M43" s="2483"/>
      <c r="N43" s="2483"/>
      <c r="O43" s="2483"/>
      <c r="P43" s="3704"/>
      <c r="Q43" s="1262" t="str">
        <f t="shared" si="11"/>
        <v>内部装修维护情况</v>
      </c>
      <c r="R43" s="667" t="s">
        <v>18</v>
      </c>
      <c r="S43" s="668">
        <f t="shared" si="12"/>
        <v>100</v>
      </c>
      <c r="T43" s="667" t="s">
        <v>18</v>
      </c>
      <c r="U43" s="668">
        <f t="shared" si="13"/>
        <v>100</v>
      </c>
      <c r="V43" s="667" t="s">
        <v>18</v>
      </c>
      <c r="W43" s="668">
        <f t="shared" si="14"/>
        <v>100</v>
      </c>
      <c r="X43" s="1264"/>
      <c r="Y43" s="3706"/>
      <c r="Z43" s="1263" t="str">
        <f t="shared" si="18"/>
        <v>内部装修维护情况</v>
      </c>
      <c r="AA43" s="1263">
        <f t="shared" si="15"/>
        <v>1</v>
      </c>
      <c r="AB43" s="1263">
        <f t="shared" si="16"/>
        <v>1</v>
      </c>
      <c r="AC43" s="1263">
        <f t="shared" si="17"/>
        <v>1</v>
      </c>
    </row>
    <row r="44" spans="1:29" s="102" customFormat="1" ht="15">
      <c r="A44" s="410"/>
      <c r="B44" s="1066">
        <v>111</v>
      </c>
      <c r="C44" s="3164"/>
      <c r="D44" s="119">
        <v>100</v>
      </c>
      <c r="E44" s="407"/>
      <c r="F44" s="364">
        <f>SUMIF(126:126,E44,127:127)-SUMIF(126:126,C44,127:127)+100</f>
        <v>100</v>
      </c>
      <c r="G44" s="3164"/>
      <c r="H44" s="119">
        <f>SUMIF(126:126,G44,127:127)-SUMIF(126:126,C44,127:127)+100</f>
        <v>100</v>
      </c>
      <c r="I44" s="407"/>
      <c r="J44" s="119">
        <f>SUMIF(126:126,I44,127:127)-SUMIF(126:126,C44,127:127)+100</f>
        <v>100</v>
      </c>
      <c r="K44" s="1746"/>
      <c r="L44" s="2484"/>
      <c r="M44" s="2435"/>
      <c r="N44" s="2435"/>
      <c r="O44" s="2435"/>
      <c r="P44" s="3704"/>
      <c r="Q44" s="530">
        <f t="shared" si="11"/>
        <v>111</v>
      </c>
      <c r="R44" s="664" t="s">
        <v>18</v>
      </c>
      <c r="S44" s="665">
        <f t="shared" si="12"/>
        <v>100</v>
      </c>
      <c r="T44" s="664" t="s">
        <v>18</v>
      </c>
      <c r="U44" s="665">
        <f t="shared" si="13"/>
        <v>100</v>
      </c>
      <c r="V44" s="664" t="s">
        <v>18</v>
      </c>
      <c r="W44" s="665">
        <f t="shared" si="14"/>
        <v>100</v>
      </c>
      <c r="X44" s="666"/>
      <c r="Y44" s="37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704"/>
      <c r="Q45" s="1262">
        <f t="shared" si="11"/>
        <v>111</v>
      </c>
      <c r="R45" s="667" t="s">
        <v>18</v>
      </c>
      <c r="S45" s="668">
        <f t="shared" si="12"/>
        <v>100</v>
      </c>
      <c r="T45" s="667" t="s">
        <v>18</v>
      </c>
      <c r="U45" s="668">
        <f t="shared" si="13"/>
        <v>100</v>
      </c>
      <c r="V45" s="667" t="s">
        <v>18</v>
      </c>
      <c r="W45" s="668">
        <f t="shared" si="14"/>
        <v>100</v>
      </c>
      <c r="X45" s="1264"/>
      <c r="Y45" s="3706"/>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705"/>
      <c r="Q46" s="1262">
        <f t="shared" si="11"/>
        <v>111</v>
      </c>
      <c r="R46" s="667" t="s">
        <v>17</v>
      </c>
      <c r="S46" s="668">
        <f t="shared" si="12"/>
        <v>100</v>
      </c>
      <c r="T46" s="667" t="s">
        <v>17</v>
      </c>
      <c r="U46" s="668">
        <f t="shared" si="13"/>
        <v>100</v>
      </c>
      <c r="V46" s="667" t="s">
        <v>17</v>
      </c>
      <c r="W46" s="668">
        <f t="shared" si="14"/>
        <v>100</v>
      </c>
      <c r="X46" s="1264"/>
      <c r="Y46" s="3707"/>
      <c r="Z46" s="1263">
        <f t="shared" si="18"/>
        <v>111</v>
      </c>
      <c r="AA46" s="1263">
        <f t="shared" si="15"/>
        <v>1</v>
      </c>
      <c r="AB46" s="1263">
        <f t="shared" si="16"/>
        <v>1</v>
      </c>
      <c r="AC46" s="1263">
        <f t="shared" si="17"/>
        <v>1</v>
      </c>
    </row>
    <row r="47" spans="1:29" ht="15">
      <c r="A47" s="416" t="s">
        <v>1706</v>
      </c>
      <c r="B47" s="417"/>
      <c r="C47" s="1081" t="s">
        <v>16</v>
      </c>
      <c r="D47" s="418"/>
      <c r="E47" s="419">
        <f>案例!R2</f>
        <v>7353</v>
      </c>
      <c r="F47" s="420"/>
      <c r="G47" s="421">
        <f>案例!R3</f>
        <v>8022</v>
      </c>
      <c r="H47" s="422"/>
      <c r="I47" s="419">
        <f>案例!R5</f>
        <v>7090</v>
      </c>
      <c r="J47" s="422"/>
      <c r="K47" s="1763"/>
      <c r="L47" s="2490"/>
      <c r="M47" s="2483"/>
      <c r="N47" s="2483"/>
      <c r="O47" s="2483"/>
      <c r="P47" s="3700" t="str">
        <f>A47</f>
        <v>成交单价（元/平方米）</v>
      </c>
      <c r="Q47" s="3700"/>
      <c r="R47" s="3695">
        <f>E47</f>
        <v>7353</v>
      </c>
      <c r="S47" s="3695"/>
      <c r="T47" s="3695">
        <f>G47</f>
        <v>8022</v>
      </c>
      <c r="U47" s="3695"/>
      <c r="V47" s="3695">
        <f>I47</f>
        <v>7090</v>
      </c>
      <c r="W47" s="3695"/>
      <c r="X47" s="385"/>
      <c r="Y47" s="673"/>
      <c r="Z47" s="385"/>
      <c r="AA47" s="385"/>
      <c r="AB47" s="385"/>
      <c r="AC47" s="385"/>
    </row>
    <row r="48" spans="1:29" ht="15.75" thickBot="1">
      <c r="A48" s="423" t="s">
        <v>1707</v>
      </c>
      <c r="B48" s="424"/>
      <c r="C48" s="1082">
        <f>R49</f>
        <v>7221</v>
      </c>
      <c r="D48" s="2137" t="s">
        <v>2135</v>
      </c>
      <c r="E48" s="1083">
        <f>R48</f>
        <v>7177</v>
      </c>
      <c r="F48" s="2138"/>
      <c r="G48" s="1082">
        <f>T48</f>
        <v>7699</v>
      </c>
      <c r="H48" s="2138"/>
      <c r="I48" s="1083">
        <f>V48</f>
        <v>6786</v>
      </c>
      <c r="J48" s="2138"/>
      <c r="K48" s="2139">
        <f>F48+H48+J48</f>
        <v>0</v>
      </c>
      <c r="L48" s="2490"/>
      <c r="M48" s="2483"/>
      <c r="N48" s="2483"/>
      <c r="O48" s="2483"/>
      <c r="P48" s="3700" t="str">
        <f>A48</f>
        <v>比较价值（元/平方米）</v>
      </c>
      <c r="Q48" s="3700"/>
      <c r="R48" s="3695">
        <f>IF(F1="售价",ROUND(PRODUCT(R47,AA7:AA46),0),ROUND(PRODUCT(R47,AA7:AA46),1))</f>
        <v>7177</v>
      </c>
      <c r="S48" s="3695"/>
      <c r="T48" s="3695">
        <f>IF(F1="售价",ROUND(PRODUCT(T47,AB7:AB46),0),ROUND(PRODUCT(T47,AB7:AB46),1))</f>
        <v>7699</v>
      </c>
      <c r="U48" s="3695"/>
      <c r="V48" s="3695">
        <f>IF(F1="售价",ROUND(PRODUCT(V47,AC7:AC46),0),ROUND(PRODUCT(V47,AC7:AC46),1))</f>
        <v>6786</v>
      </c>
      <c r="W48" s="3695"/>
      <c r="X48" s="385"/>
      <c r="Y48" s="385"/>
      <c r="Z48" s="385"/>
      <c r="AA48" s="385"/>
      <c r="AB48" s="385"/>
      <c r="AC48" s="385"/>
    </row>
    <row r="49" spans="1:29" ht="15.75" thickBot="1">
      <c r="A49" s="427" t="s">
        <v>1708</v>
      </c>
      <c r="B49" s="428"/>
      <c r="C49" s="1084">
        <f>R49</f>
        <v>7221</v>
      </c>
      <c r="D49" s="351"/>
      <c r="E49" s="351"/>
      <c r="F49" s="351"/>
      <c r="G49" s="351"/>
      <c r="H49" s="351"/>
      <c r="I49" s="351"/>
      <c r="J49" s="351"/>
      <c r="K49" s="1764"/>
      <c r="L49" s="2490"/>
      <c r="M49" s="2483"/>
      <c r="N49" s="2483"/>
      <c r="O49" s="2483"/>
      <c r="P49" s="3697" t="str">
        <f>A49</f>
        <v>估价对象XX用房的比较价值（楼面单价，元/平方米）</v>
      </c>
      <c r="Q49" s="3698"/>
      <c r="R49" s="3699">
        <f>IF(F1="售价",ROUND(IF(D48="简单平均",AVERAGE(R48:V48),R48*F48+T48*H48+V48*J48),0),ROUND(IF(D48="简单平均",AVERAGE(R48:V48),R48*F48+T48*H48+V48*J48),1))</f>
        <v>7221</v>
      </c>
      <c r="S49" s="3699"/>
      <c r="T49" s="3699"/>
      <c r="U49" s="3699"/>
      <c r="V49" s="3699"/>
      <c r="W49" s="369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2.4522781106311786E-2</v>
      </c>
      <c r="F52" s="435" t="str">
        <f>IF(OR(E52&gt;=0.3,E52&lt;=-0.3),"超过30%","")</f>
        <v/>
      </c>
      <c r="G52" s="434">
        <f>IF(G47&lt;G48,G48/G47-1,G47/G48-1)</f>
        <v>4.1953500454604553E-2</v>
      </c>
      <c r="H52" s="435" t="str">
        <f>IF(OR(G52&gt;=0.3,G52&lt;=-0.3),"超过30%","")</f>
        <v/>
      </c>
      <c r="I52" s="434">
        <f>IF(I47&lt;I48,I48/I47-1,I47/I48-1)</f>
        <v>4.4798113763631076E-2</v>
      </c>
      <c r="J52" s="435" t="str">
        <f>IF(OR(I52&gt;=0.3,I52&lt;=-0.3),"超过30%","")</f>
        <v/>
      </c>
      <c r="K52" s="2495"/>
      <c r="L52" s="2491"/>
      <c r="M52" s="2483"/>
      <c r="N52" s="2483"/>
      <c r="O52" s="2483"/>
    </row>
    <row r="53" spans="1:29" ht="13.5" customHeight="1">
      <c r="A53" s="2483"/>
      <c r="B53" s="2483"/>
      <c r="C53" s="432" t="s">
        <v>1710</v>
      </c>
      <c r="D53" s="436"/>
      <c r="E53" s="434">
        <f>IF(E48&lt;G48,G48/E48-1,E48/G48-1)</f>
        <v>7.2732339417584058E-2</v>
      </c>
      <c r="F53" s="435" t="str">
        <f>IF(OR(E53&gt;=0.2,E53&lt;=-0.2),"超过20%","")</f>
        <v/>
      </c>
      <c r="G53" s="434">
        <f>IF(G48&lt;I48,I48/G48-1,G48/I48-1)</f>
        <v>0.13454170350722072</v>
      </c>
      <c r="H53" s="435" t="str">
        <f>IF(OR(G53&gt;=0.2,G53&lt;=-0.2),"超过20%","")</f>
        <v/>
      </c>
      <c r="I53" s="434">
        <f>IF(I48&lt;E48,E48/I48-1,I48/E48-1)</f>
        <v>5.7618626584143851E-2</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9.0983272133822846E-2</v>
      </c>
      <c r="F54" s="435" t="str">
        <f>IF(OR(E54&gt;=0.3,E54&lt;=-0.3),"超过30%","")</f>
        <v/>
      </c>
      <c r="G54" s="434">
        <f>IF(G47&lt;I47,I47/G47-1,G47/I47-1)</f>
        <v>0.13145275035260928</v>
      </c>
      <c r="H54" s="435" t="str">
        <f>IF(OR(G54&gt;=0.3,G54&lt;=-0.3),"超过30%","")</f>
        <v/>
      </c>
      <c r="I54" s="434">
        <f>IF(I47&lt;E47,E47/I47-1,I47/E47-1)</f>
        <v>3.709449929478148E-2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2006-5</v>
      </c>
      <c r="D58" s="1103">
        <f>EDATE(C58,-1)</f>
        <v>38808</v>
      </c>
      <c r="E58" s="1103">
        <f>EDATE(D58,-1)</f>
        <v>38777</v>
      </c>
      <c r="F58" s="1103">
        <f t="shared" ref="F58:O58" si="19">EDATE(E58,-1)</f>
        <v>38749</v>
      </c>
      <c r="G58" s="1103">
        <f t="shared" si="19"/>
        <v>38718</v>
      </c>
      <c r="H58" s="1103">
        <f t="shared" si="19"/>
        <v>38687</v>
      </c>
      <c r="I58" s="1103">
        <f t="shared" si="19"/>
        <v>38657</v>
      </c>
      <c r="J58" s="1103">
        <f t="shared" si="19"/>
        <v>38626</v>
      </c>
      <c r="K58" s="1103">
        <f t="shared" si="19"/>
        <v>38596</v>
      </c>
      <c r="L58" s="1103">
        <f t="shared" si="19"/>
        <v>38565</v>
      </c>
      <c r="M58" s="1103">
        <f t="shared" si="19"/>
        <v>38534</v>
      </c>
      <c r="N58" s="1103">
        <f t="shared" si="19"/>
        <v>38504</v>
      </c>
      <c r="O58" s="1103">
        <f t="shared" si="19"/>
        <v>38473</v>
      </c>
      <c r="P58" s="3147">
        <f t="shared" ref="P58" si="20">EDATE(O58,-1)</f>
        <v>38443</v>
      </c>
      <c r="Q58" s="3147">
        <f t="shared" ref="Q58" si="21">EDATE(P58,-1)</f>
        <v>38412</v>
      </c>
      <c r="R58" s="3147">
        <f t="shared" ref="R58" si="22">EDATE(Q58,-1)</f>
        <v>38384</v>
      </c>
      <c r="S58" s="3147">
        <f t="shared" ref="S58" si="23">EDATE(R58,-1)</f>
        <v>38353</v>
      </c>
      <c r="T58" s="3147">
        <f t="shared" ref="T58" si="24">EDATE(S58,-1)</f>
        <v>38322</v>
      </c>
      <c r="U58" s="3147">
        <f t="shared" ref="U58" si="25">EDATE(T58,-1)</f>
        <v>38292</v>
      </c>
      <c r="V58" s="3147">
        <f t="shared" ref="V58" si="26">EDATE(U58,-1)</f>
        <v>38261</v>
      </c>
      <c r="W58" s="3147">
        <f t="shared" ref="W58" si="27">EDATE(V58,-1)</f>
        <v>38231</v>
      </c>
      <c r="X58" s="3147">
        <f t="shared" ref="X58" si="28">EDATE(W58,-1)</f>
        <v>38200</v>
      </c>
      <c r="Y58" s="3147">
        <f t="shared" ref="Y58" si="29">EDATE(X58,-1)</f>
        <v>38169</v>
      </c>
      <c r="Z58" s="3147">
        <f t="shared" ref="Z58" si="30">EDATE(Y58,-1)</f>
        <v>38139</v>
      </c>
      <c r="AA58" s="3147">
        <f t="shared" ref="AA58" si="31">EDATE(Z58,-1)</f>
        <v>38108</v>
      </c>
      <c r="AB58" s="3147">
        <f t="shared" ref="AB58" si="32">EDATE(AA58,-1)</f>
        <v>38078</v>
      </c>
    </row>
    <row r="59" spans="1:29" s="102" customFormat="1" ht="15">
      <c r="A59" s="443"/>
      <c r="B59" s="1768"/>
      <c r="C59" s="1101">
        <v>100</v>
      </c>
      <c r="D59" s="445">
        <f>C59-$C$60</f>
        <v>99.7</v>
      </c>
      <c r="E59" s="445">
        <f t="shared" ref="E59:U59" si="33">D59-$C$60</f>
        <v>99.4</v>
      </c>
      <c r="F59" s="445">
        <f t="shared" si="33"/>
        <v>99.100000000000009</v>
      </c>
      <c r="G59" s="445">
        <f t="shared" si="33"/>
        <v>98.800000000000011</v>
      </c>
      <c r="H59" s="445">
        <f t="shared" si="33"/>
        <v>98.500000000000014</v>
      </c>
      <c r="I59" s="445">
        <f t="shared" si="33"/>
        <v>98.200000000000017</v>
      </c>
      <c r="J59" s="445">
        <f t="shared" si="33"/>
        <v>97.90000000000002</v>
      </c>
      <c r="K59" s="445">
        <f t="shared" si="33"/>
        <v>97.600000000000023</v>
      </c>
      <c r="L59" s="445">
        <f t="shared" si="33"/>
        <v>97.300000000000026</v>
      </c>
      <c r="M59" s="445">
        <f t="shared" si="33"/>
        <v>97.000000000000028</v>
      </c>
      <c r="N59" s="445">
        <f t="shared" si="33"/>
        <v>96.700000000000031</v>
      </c>
      <c r="O59" s="445">
        <f t="shared" si="33"/>
        <v>96.400000000000034</v>
      </c>
      <c r="P59" s="445">
        <f t="shared" si="33"/>
        <v>96.100000000000037</v>
      </c>
      <c r="Q59" s="445">
        <f t="shared" si="33"/>
        <v>95.80000000000004</v>
      </c>
      <c r="R59" s="445">
        <f t="shared" si="33"/>
        <v>95.500000000000043</v>
      </c>
      <c r="S59" s="445">
        <f t="shared" si="33"/>
        <v>95.200000000000045</v>
      </c>
      <c r="T59" s="445">
        <f t="shared" si="33"/>
        <v>94.900000000000048</v>
      </c>
      <c r="U59" s="445">
        <f t="shared" si="33"/>
        <v>94.600000000000051</v>
      </c>
      <c r="V59" s="102">
        <f>U59-C60</f>
        <v>94.300000000000054</v>
      </c>
      <c r="W59" s="102">
        <f>V59</f>
        <v>94.300000000000054</v>
      </c>
      <c r="X59" s="102">
        <f>V59</f>
        <v>94.300000000000054</v>
      </c>
      <c r="Y59" s="102">
        <f>X59-C60</f>
        <v>94.000000000000057</v>
      </c>
      <c r="Z59" s="102">
        <f>Y59</f>
        <v>94.000000000000057</v>
      </c>
      <c r="AA59" s="102">
        <f>Y59</f>
        <v>94.000000000000057</v>
      </c>
      <c r="AB59" s="102">
        <f>AA59-C60</f>
        <v>93.70000000000006</v>
      </c>
    </row>
    <row r="60" spans="1:29" s="102" customFormat="1" ht="15.75" thickBot="1">
      <c r="A60" s="449" t="s">
        <v>1714</v>
      </c>
      <c r="B60" s="450"/>
      <c r="C60" s="451">
        <v>0.3</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3414</v>
      </c>
      <c r="D65" s="513" t="s">
        <v>3416</v>
      </c>
      <c r="E65" s="513" t="s">
        <v>3415</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34">D68&amp;"（含）"&amp;"-"&amp;E68</f>
        <v>1（含）-2</v>
      </c>
      <c r="E67" s="478" t="str">
        <f t="shared" si="34"/>
        <v>2（含）-3</v>
      </c>
      <c r="F67" s="478" t="str">
        <f t="shared" si="34"/>
        <v>3（含）-</v>
      </c>
      <c r="G67" s="478" t="str">
        <f t="shared" si="34"/>
        <v>（含）-</v>
      </c>
      <c r="H67" s="478" t="str">
        <f t="shared" si="34"/>
        <v>（含）-</v>
      </c>
      <c r="I67" s="478" t="str">
        <f t="shared" si="34"/>
        <v>（含）-</v>
      </c>
      <c r="J67" s="478" t="str">
        <f t="shared" si="34"/>
        <v>（含）-</v>
      </c>
      <c r="K67" s="478" t="str">
        <f>K68&amp;"（含）"&amp;"-"&amp;L68</f>
        <v>（含）-</v>
      </c>
      <c r="L67" s="478" t="str">
        <f t="shared" si="34"/>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35">C69-$K11</f>
        <v>100</v>
      </c>
      <c r="E69" s="475">
        <f t="shared" si="35"/>
        <v>100</v>
      </c>
      <c r="F69" s="475">
        <f t="shared" si="35"/>
        <v>100</v>
      </c>
      <c r="G69" s="475">
        <f t="shared" si="35"/>
        <v>100</v>
      </c>
      <c r="H69" s="475">
        <f t="shared" si="35"/>
        <v>100</v>
      </c>
      <c r="I69" s="475">
        <f t="shared" si="35"/>
        <v>100</v>
      </c>
      <c r="J69" s="475">
        <f t="shared" si="35"/>
        <v>100</v>
      </c>
      <c r="K69" s="475">
        <f t="shared" si="35"/>
        <v>100</v>
      </c>
      <c r="L69" s="475">
        <f t="shared" si="35"/>
        <v>100</v>
      </c>
      <c r="M69" s="476">
        <f t="shared" si="35"/>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 t="shared" ref="E83:G83" si="36">D83-$K21</f>
        <v>100</v>
      </c>
      <c r="F83" s="581">
        <f t="shared" si="36"/>
        <v>100</v>
      </c>
      <c r="G83" s="581">
        <f t="shared" si="36"/>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1"/>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37">$C$87-($C$86-D86)*$K$25</f>
        <v>100</v>
      </c>
      <c r="E87" s="475">
        <f t="shared" si="37"/>
        <v>100</v>
      </c>
      <c r="F87" s="475">
        <f t="shared" si="37"/>
        <v>100</v>
      </c>
      <c r="G87" s="475">
        <f t="shared" si="37"/>
        <v>100</v>
      </c>
      <c r="H87" s="475">
        <f t="shared" si="37"/>
        <v>100</v>
      </c>
      <c r="I87" s="475">
        <f t="shared" si="37"/>
        <v>100</v>
      </c>
      <c r="J87" s="475">
        <f t="shared" si="37"/>
        <v>100</v>
      </c>
      <c r="K87" s="475">
        <f t="shared" si="37"/>
        <v>100</v>
      </c>
      <c r="L87" s="475">
        <f t="shared" si="37"/>
        <v>100</v>
      </c>
      <c r="M87" s="475">
        <f t="shared" si="37"/>
        <v>100</v>
      </c>
      <c r="N87" s="880"/>
      <c r="O87" s="880"/>
      <c r="P87" s="1771"/>
      <c r="Q87" s="439"/>
    </row>
    <row r="88" spans="1:17" s="102" customFormat="1" ht="15.75" thickTop="1">
      <c r="A88" s="370"/>
      <c r="B88" s="469" t="s">
        <v>1733</v>
      </c>
      <c r="C88" s="3161" t="s">
        <v>3417</v>
      </c>
      <c r="D88" s="3149" t="s">
        <v>3418</v>
      </c>
      <c r="E88" s="3149" t="s">
        <v>3419</v>
      </c>
      <c r="F88" s="3149" t="s">
        <v>3420</v>
      </c>
      <c r="G88" s="3149" t="s">
        <v>3421</v>
      </c>
      <c r="H88" s="3149" t="s">
        <v>3422</v>
      </c>
      <c r="I88" s="3162" t="s">
        <v>3423</v>
      </c>
      <c r="J88" s="3162" t="s">
        <v>3424</v>
      </c>
      <c r="K88" s="3149" t="s">
        <v>3425</v>
      </c>
      <c r="L88" s="3149" t="s">
        <v>3426</v>
      </c>
      <c r="M88" s="511"/>
      <c r="N88" s="878"/>
      <c r="O88" s="878"/>
      <c r="P88" s="1771"/>
      <c r="Q88" s="439"/>
    </row>
    <row r="89" spans="1:17" s="102" customFormat="1" ht="15.75" thickBot="1">
      <c r="A89" s="370"/>
      <c r="B89" s="474"/>
      <c r="C89" s="512">
        <v>100</v>
      </c>
      <c r="D89" s="475">
        <f t="shared" ref="D89:M89" si="38">C89-$K26</f>
        <v>99.5</v>
      </c>
      <c r="E89" s="475">
        <f t="shared" si="38"/>
        <v>99</v>
      </c>
      <c r="F89" s="475">
        <f t="shared" si="38"/>
        <v>98.5</v>
      </c>
      <c r="G89" s="475">
        <f t="shared" si="38"/>
        <v>98</v>
      </c>
      <c r="H89" s="475">
        <f t="shared" si="38"/>
        <v>97.5</v>
      </c>
      <c r="I89" s="475">
        <f t="shared" si="38"/>
        <v>97</v>
      </c>
      <c r="J89" s="475">
        <f t="shared" si="38"/>
        <v>96.5</v>
      </c>
      <c r="K89" s="475">
        <f t="shared" si="38"/>
        <v>96</v>
      </c>
      <c r="L89" s="475">
        <f t="shared" si="38"/>
        <v>95.5</v>
      </c>
      <c r="M89" s="475">
        <f t="shared" si="38"/>
        <v>95</v>
      </c>
      <c r="N89" s="880"/>
      <c r="O89" s="880"/>
      <c r="P89" s="1771"/>
      <c r="Q89" s="439"/>
    </row>
    <row r="90" spans="1:17" s="408" customFormat="1" ht="29.25" thickTop="1">
      <c r="A90" s="484"/>
      <c r="B90" s="469" t="str">
        <f>B27</f>
        <v>楼层</v>
      </c>
      <c r="C90" s="3141" t="str">
        <f>C27</f>
        <v>5/7（中楼层）</v>
      </c>
      <c r="D90" s="485" t="str">
        <f>E27</f>
        <v>8/18（中楼层）</v>
      </c>
      <c r="E90" s="3171" t="str">
        <f>G27</f>
        <v>6/17（低楼层）</v>
      </c>
      <c r="F90" s="485" t="str">
        <f>I27</f>
        <v>14/17（高楼层）</v>
      </c>
      <c r="G90" s="485"/>
      <c r="H90" s="486"/>
      <c r="I90" s="486"/>
      <c r="J90" s="486"/>
      <c r="K90" s="486"/>
      <c r="L90" s="487"/>
      <c r="M90" s="488"/>
      <c r="N90" s="881"/>
      <c r="O90" s="881"/>
      <c r="P90" s="1772"/>
      <c r="Q90" s="490"/>
    </row>
    <row r="91" spans="1:17" s="408" customFormat="1" ht="15.75" thickBot="1">
      <c r="A91" s="484"/>
      <c r="B91" s="474"/>
      <c r="C91" s="3145">
        <v>100.5</v>
      </c>
      <c r="D91" s="3145">
        <v>101</v>
      </c>
      <c r="E91" s="3145">
        <v>100.5</v>
      </c>
      <c r="F91" s="3145">
        <v>102</v>
      </c>
      <c r="G91" s="491"/>
      <c r="H91" s="493"/>
      <c r="I91" s="493"/>
      <c r="J91" s="493"/>
      <c r="K91" s="493"/>
      <c r="L91" s="493"/>
      <c r="M91" s="494"/>
      <c r="N91" s="881"/>
      <c r="O91" s="881"/>
      <c r="P91" s="1772"/>
      <c r="Q91" s="490"/>
    </row>
    <row r="92" spans="1:17" ht="15.75" thickTop="1">
      <c r="A92" s="367"/>
      <c r="B92" s="469" t="str">
        <f>B28</f>
        <v>道路级别</v>
      </c>
      <c r="C92" s="3141" t="s">
        <v>3430</v>
      </c>
      <c r="D92" s="3141" t="s">
        <v>3429</v>
      </c>
      <c r="E92" s="3141" t="s">
        <v>3433</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8" t="s">
        <v>3439</v>
      </c>
      <c r="D100" s="3148" t="s">
        <v>3440</v>
      </c>
      <c r="E100" s="3148" t="s">
        <v>3427</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39">C101-$K32</f>
        <v>99.5</v>
      </c>
      <c r="E101" s="475">
        <f t="shared" si="39"/>
        <v>99</v>
      </c>
      <c r="F101" s="475">
        <f t="shared" si="39"/>
        <v>98.5</v>
      </c>
      <c r="G101" s="475">
        <f t="shared" si="39"/>
        <v>98</v>
      </c>
      <c r="H101" s="475">
        <f t="shared" si="39"/>
        <v>97.5</v>
      </c>
      <c r="I101" s="475">
        <f t="shared" si="39"/>
        <v>97</v>
      </c>
      <c r="J101" s="475">
        <f t="shared" si="39"/>
        <v>96.5</v>
      </c>
      <c r="K101" s="475">
        <f t="shared" si="39"/>
        <v>96</v>
      </c>
      <c r="L101" s="475">
        <f t="shared" si="39"/>
        <v>95.5</v>
      </c>
      <c r="M101" s="475">
        <f t="shared" si="39"/>
        <v>95</v>
      </c>
      <c r="N101" s="880"/>
      <c r="O101" s="880"/>
      <c r="P101" s="1771"/>
      <c r="Q101" s="439"/>
    </row>
    <row r="102" spans="1:17" ht="15.75" thickTop="1">
      <c r="A102" s="367"/>
      <c r="B102" s="469" t="s">
        <v>1735</v>
      </c>
      <c r="C102" s="509" t="str">
        <f>C103&amp;"(含)"&amp;"-"&amp;D103</f>
        <v>0(含)-90</v>
      </c>
      <c r="D102" s="509" t="str">
        <f t="shared" ref="D102:L102" si="40">D103&amp;"(含)"&amp;"-"&amp;E103</f>
        <v>90(含)-140</v>
      </c>
      <c r="E102" s="509" t="str">
        <f t="shared" si="40"/>
        <v>140(含)-200</v>
      </c>
      <c r="F102" s="509" t="str">
        <f t="shared" si="40"/>
        <v>200(含)-300</v>
      </c>
      <c r="G102" s="509" t="str">
        <f t="shared" si="40"/>
        <v>300(含)-</v>
      </c>
      <c r="H102" s="509" t="str">
        <f t="shared" si="40"/>
        <v>(含)-</v>
      </c>
      <c r="I102" s="509" t="str">
        <f t="shared" si="40"/>
        <v>(含)-</v>
      </c>
      <c r="J102" s="509" t="str">
        <f t="shared" si="40"/>
        <v>(含)-</v>
      </c>
      <c r="K102" s="509" t="str">
        <f>K103&amp;"(含)"&amp;"-"&amp;L103</f>
        <v>(含)-5</v>
      </c>
      <c r="L102" s="509" t="str">
        <f t="shared" si="40"/>
        <v>5(含)-</v>
      </c>
      <c r="M102" s="509" t="str">
        <f>M103&amp;"(含)"&amp;"-"&amp;P103</f>
        <v>(含)-</v>
      </c>
      <c r="N102" s="878"/>
      <c r="O102" s="878"/>
      <c r="P102" s="1771"/>
      <c r="Q102" s="439"/>
    </row>
    <row r="103" spans="1:17" s="408" customFormat="1">
      <c r="A103" s="406"/>
      <c r="B103" s="523"/>
      <c r="C103" s="6">
        <v>0</v>
      </c>
      <c r="D103" s="6">
        <v>90</v>
      </c>
      <c r="E103" s="6">
        <v>140</v>
      </c>
      <c r="F103" s="6">
        <v>200</v>
      </c>
      <c r="G103" s="6">
        <v>300</v>
      </c>
      <c r="H103" s="6"/>
      <c r="I103" s="6"/>
      <c r="J103" s="524"/>
      <c r="K103" s="524"/>
      <c r="L103" s="524">
        <v>5</v>
      </c>
      <c r="M103" s="526"/>
      <c r="N103" s="881"/>
      <c r="O103" s="881"/>
      <c r="P103" s="1772"/>
      <c r="Q103" s="490"/>
    </row>
    <row r="104" spans="1:17" s="408" customFormat="1" ht="15.75" thickBot="1">
      <c r="A104" s="484"/>
      <c r="B104" s="474"/>
      <c r="C104" s="467">
        <f>D104+$L$103</f>
        <v>115</v>
      </c>
      <c r="D104" s="467">
        <f>E104+$L$103</f>
        <v>110</v>
      </c>
      <c r="E104" s="467">
        <f>F104+$L$103</f>
        <v>105</v>
      </c>
      <c r="F104" s="467">
        <v>100</v>
      </c>
      <c r="G104" s="467">
        <f>F104-$L$103</f>
        <v>95</v>
      </c>
      <c r="H104" s="467"/>
      <c r="I104" s="3174"/>
      <c r="J104" s="467"/>
      <c r="K104" s="467"/>
      <c r="L104" s="467"/>
      <c r="M104" s="467"/>
      <c r="N104" s="880"/>
      <c r="O104" s="880"/>
      <c r="P104" s="1772"/>
      <c r="Q104" s="490"/>
    </row>
    <row r="105" spans="1:17" ht="15" thickTop="1">
      <c r="A105" s="409"/>
      <c r="B105" s="469" t="s">
        <v>1736</v>
      </c>
      <c r="C105" s="3141" t="s">
        <v>3401</v>
      </c>
      <c r="D105" s="3141" t="s">
        <v>3437</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41">C106-$K34</f>
        <v>99.5</v>
      </c>
      <c r="E106" s="475">
        <f t="shared" si="41"/>
        <v>99</v>
      </c>
      <c r="F106" s="475">
        <f t="shared" si="41"/>
        <v>98.5</v>
      </c>
      <c r="G106" s="475">
        <f t="shared" si="41"/>
        <v>98</v>
      </c>
      <c r="H106" s="475">
        <f t="shared" si="41"/>
        <v>97.5</v>
      </c>
      <c r="I106" s="475">
        <f t="shared" si="41"/>
        <v>97</v>
      </c>
      <c r="J106" s="475">
        <f t="shared" si="41"/>
        <v>96.5</v>
      </c>
      <c r="K106" s="475">
        <f t="shared" si="41"/>
        <v>96</v>
      </c>
      <c r="L106" s="475">
        <f t="shared" si="41"/>
        <v>95.5</v>
      </c>
      <c r="M106" s="475">
        <f t="shared" si="41"/>
        <v>95</v>
      </c>
      <c r="N106" s="880"/>
      <c r="O106" s="880"/>
      <c r="P106" s="1771"/>
      <c r="Q106" s="439"/>
    </row>
    <row r="107" spans="1:17" ht="15" thickTop="1">
      <c r="A107" s="409"/>
      <c r="B107" s="3175" t="s">
        <v>3441</v>
      </c>
      <c r="C107" s="3163" t="s">
        <v>1719</v>
      </c>
      <c r="D107" s="3163" t="s">
        <v>1720</v>
      </c>
      <c r="E107" s="3163" t="s">
        <v>1721</v>
      </c>
      <c r="F107" s="3163" t="s">
        <v>1722</v>
      </c>
      <c r="G107" s="3163" t="s">
        <v>1723</v>
      </c>
      <c r="H107" s="513"/>
      <c r="I107" s="513"/>
      <c r="J107" s="513"/>
      <c r="K107" s="514"/>
      <c r="L107" s="515"/>
      <c r="M107" s="516"/>
      <c r="N107" s="879"/>
      <c r="O107" s="879"/>
      <c r="P107" s="1771"/>
      <c r="Q107" s="439"/>
    </row>
    <row r="108" spans="1:17" ht="15.75" thickBot="1">
      <c r="A108" s="367"/>
      <c r="B108" s="474"/>
      <c r="C108" s="475">
        <v>100</v>
      </c>
      <c r="D108" s="475">
        <f t="shared" ref="D108:M108" si="42">C108-$K35</f>
        <v>97</v>
      </c>
      <c r="E108" s="475">
        <f t="shared" si="42"/>
        <v>94</v>
      </c>
      <c r="F108" s="475">
        <f t="shared" si="42"/>
        <v>91</v>
      </c>
      <c r="G108" s="475">
        <f t="shared" si="42"/>
        <v>88</v>
      </c>
      <c r="H108" s="475">
        <f t="shared" si="42"/>
        <v>85</v>
      </c>
      <c r="I108" s="475">
        <f t="shared" si="42"/>
        <v>82</v>
      </c>
      <c r="J108" s="475">
        <f t="shared" si="42"/>
        <v>79</v>
      </c>
      <c r="K108" s="475">
        <f t="shared" si="42"/>
        <v>76</v>
      </c>
      <c r="L108" s="475">
        <f t="shared" si="42"/>
        <v>73</v>
      </c>
      <c r="M108" s="475">
        <f t="shared" si="42"/>
        <v>70</v>
      </c>
      <c r="N108" s="880"/>
      <c r="O108" s="880"/>
      <c r="P108" s="1771"/>
      <c r="Q108" s="439"/>
    </row>
    <row r="109" spans="1:17" ht="15" thickTop="1">
      <c r="A109" s="409"/>
      <c r="B109" s="469" t="s">
        <v>1737</v>
      </c>
      <c r="C109" s="3141" t="s">
        <v>3402</v>
      </c>
      <c r="D109" s="485"/>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43">C110-$K36</f>
        <v>100</v>
      </c>
      <c r="E110" s="475">
        <f t="shared" si="43"/>
        <v>100</v>
      </c>
      <c r="F110" s="475">
        <f t="shared" si="43"/>
        <v>100</v>
      </c>
      <c r="G110" s="475">
        <f t="shared" si="43"/>
        <v>100</v>
      </c>
      <c r="H110" s="475">
        <f t="shared" si="43"/>
        <v>100</v>
      </c>
      <c r="I110" s="475">
        <f t="shared" si="43"/>
        <v>100</v>
      </c>
      <c r="J110" s="475">
        <f t="shared" si="43"/>
        <v>100</v>
      </c>
      <c r="K110" s="475">
        <f t="shared" si="43"/>
        <v>100</v>
      </c>
      <c r="L110" s="475">
        <f t="shared" si="43"/>
        <v>100</v>
      </c>
      <c r="M110" s="475">
        <f t="shared" si="43"/>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100.5</v>
      </c>
      <c r="E113" s="475">
        <f>D113+$K37</f>
        <v>101</v>
      </c>
      <c r="F113" s="475">
        <f>E113+$K37</f>
        <v>101.5</v>
      </c>
      <c r="G113" s="475">
        <f>F113+$K37</f>
        <v>102</v>
      </c>
      <c r="H113" s="475">
        <f>G113+$K37</f>
        <v>102.5</v>
      </c>
      <c r="I113" s="512"/>
      <c r="J113" s="534"/>
      <c r="K113" s="534"/>
      <c r="L113" s="534"/>
      <c r="M113" s="535"/>
      <c r="N113" s="881"/>
      <c r="O113" s="881"/>
      <c r="P113" s="1772"/>
      <c r="Q113" s="490"/>
    </row>
    <row r="114" spans="1:17" ht="15" thickTop="1">
      <c r="A114" s="409"/>
      <c r="B114" s="469" t="s">
        <v>1738</v>
      </c>
      <c r="C114" s="3141" t="s">
        <v>3403</v>
      </c>
      <c r="D114" s="3141" t="s">
        <v>3435</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44">C115-$K38</f>
        <v>99</v>
      </c>
      <c r="E115" s="475">
        <f t="shared" si="44"/>
        <v>98</v>
      </c>
      <c r="F115" s="475">
        <f t="shared" si="44"/>
        <v>97</v>
      </c>
      <c r="G115" s="475">
        <f t="shared" si="44"/>
        <v>96</v>
      </c>
      <c r="H115" s="475">
        <f t="shared" si="44"/>
        <v>95</v>
      </c>
      <c r="I115" s="475">
        <f t="shared" si="44"/>
        <v>94</v>
      </c>
      <c r="J115" s="475">
        <f t="shared" si="44"/>
        <v>93</v>
      </c>
      <c r="K115" s="475">
        <f t="shared" si="44"/>
        <v>92</v>
      </c>
      <c r="L115" s="475">
        <f t="shared" si="44"/>
        <v>91</v>
      </c>
      <c r="M115" s="475">
        <f t="shared" si="44"/>
        <v>90</v>
      </c>
      <c r="N115" s="880"/>
      <c r="O115" s="880"/>
      <c r="P115" s="1771"/>
      <c r="Q115" s="439"/>
    </row>
    <row r="116" spans="1:17" ht="15" thickTop="1">
      <c r="A116" s="409"/>
      <c r="B116" s="469" t="s">
        <v>1739</v>
      </c>
      <c r="C116" s="3141" t="s">
        <v>3404</v>
      </c>
      <c r="D116" s="3141"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9"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45">C119-$K40</f>
        <v>100</v>
      </c>
      <c r="E119" s="475">
        <f t="shared" si="45"/>
        <v>100</v>
      </c>
      <c r="F119" s="475">
        <f t="shared" si="45"/>
        <v>100</v>
      </c>
      <c r="G119" s="475">
        <f t="shared" si="45"/>
        <v>100</v>
      </c>
      <c r="H119" s="475">
        <f t="shared" si="45"/>
        <v>100</v>
      </c>
      <c r="I119" s="475">
        <f t="shared" si="45"/>
        <v>100</v>
      </c>
      <c r="J119" s="475">
        <f t="shared" si="45"/>
        <v>100</v>
      </c>
      <c r="K119" s="475">
        <f t="shared" si="45"/>
        <v>100</v>
      </c>
      <c r="L119" s="475">
        <f t="shared" si="45"/>
        <v>100</v>
      </c>
      <c r="M119" s="475">
        <f t="shared" si="45"/>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1" t="s">
        <v>3408</v>
      </c>
      <c r="D122" s="3141" t="s">
        <v>3409</v>
      </c>
      <c r="E122" s="485"/>
      <c r="F122" s="513"/>
      <c r="G122" s="513"/>
      <c r="H122" s="513"/>
      <c r="I122" s="513"/>
      <c r="J122" s="513"/>
      <c r="K122" s="514"/>
      <c r="L122" s="515"/>
      <c r="M122" s="516"/>
      <c r="N122" s="879"/>
      <c r="O122" s="879"/>
      <c r="P122" s="1771"/>
      <c r="Q122" s="439"/>
    </row>
    <row r="123" spans="1:17" ht="15.75" thickBot="1">
      <c r="A123" s="367"/>
      <c r="B123" s="474"/>
      <c r="C123" s="475">
        <v>100</v>
      </c>
      <c r="D123" s="475">
        <f t="shared" ref="D123:M123" si="46">C123-$K42</f>
        <v>98</v>
      </c>
      <c r="E123" s="475">
        <f t="shared" si="46"/>
        <v>96</v>
      </c>
      <c r="F123" s="475">
        <f t="shared" si="46"/>
        <v>94</v>
      </c>
      <c r="G123" s="475">
        <f t="shared" si="46"/>
        <v>92</v>
      </c>
      <c r="H123" s="475">
        <f t="shared" si="46"/>
        <v>90</v>
      </c>
      <c r="I123" s="475">
        <f t="shared" si="46"/>
        <v>88</v>
      </c>
      <c r="J123" s="475">
        <f t="shared" si="46"/>
        <v>86</v>
      </c>
      <c r="K123" s="475">
        <f t="shared" si="46"/>
        <v>84</v>
      </c>
      <c r="L123" s="475">
        <f t="shared" si="46"/>
        <v>82</v>
      </c>
      <c r="M123" s="475">
        <f t="shared" si="46"/>
        <v>80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5" thickTop="1">
      <c r="A126" s="406"/>
      <c r="B126" s="469">
        <f>B44</f>
        <v>111</v>
      </c>
      <c r="C126" s="3141">
        <f>C44</f>
        <v>0</v>
      </c>
      <c r="D126" s="3141">
        <f>G44</f>
        <v>0</v>
      </c>
      <c r="E126" s="485">
        <f>E44</f>
        <v>0</v>
      </c>
      <c r="F126" s="485">
        <f>I44</f>
        <v>0</v>
      </c>
      <c r="G126" s="485"/>
      <c r="H126" s="486"/>
      <c r="I126" s="486">
        <v>4</v>
      </c>
      <c r="J126" s="486"/>
      <c r="K126" s="486"/>
      <c r="L126" s="487"/>
      <c r="M126" s="488"/>
      <c r="N126" s="881"/>
      <c r="O126" s="881"/>
      <c r="P126" s="1772"/>
      <c r="Q126" s="490"/>
    </row>
    <row r="127" spans="1:17" s="408" customFormat="1" ht="15.75" thickBot="1">
      <c r="A127" s="484"/>
      <c r="B127" s="474"/>
      <c r="C127" s="491">
        <v>100</v>
      </c>
      <c r="D127" s="467">
        <f>C127-$I$126</f>
        <v>96</v>
      </c>
      <c r="E127" s="467">
        <f>D127-$I$126</f>
        <v>92</v>
      </c>
      <c r="F127" s="467">
        <f t="shared" ref="F127" si="47">E127-$I$126</f>
        <v>88</v>
      </c>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204.54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687" t="s">
        <v>1772</v>
      </c>
      <c r="Q4" s="3688"/>
      <c r="R4" s="3670" t="s">
        <v>1768</v>
      </c>
      <c r="S4" s="3671"/>
      <c r="T4" s="3670" t="s">
        <v>1769</v>
      </c>
      <c r="U4" s="3671"/>
      <c r="V4" s="3695" t="s">
        <v>1770</v>
      </c>
      <c r="W4" s="3695"/>
      <c r="X4" s="1264"/>
      <c r="Y4" s="3670" t="s">
        <v>1772</v>
      </c>
      <c r="Z4" s="3671"/>
      <c r="AA4" s="3665" t="s">
        <v>1768</v>
      </c>
      <c r="AB4" s="3695" t="s">
        <v>1769</v>
      </c>
      <c r="AC4" s="3665" t="s">
        <v>1770</v>
      </c>
    </row>
    <row r="5" spans="1:29" ht="15">
      <c r="A5" s="348"/>
      <c r="B5" s="349"/>
      <c r="C5" s="3679" t="s">
        <v>1673</v>
      </c>
      <c r="D5" s="3676"/>
      <c r="E5" s="3710" t="s">
        <v>1674</v>
      </c>
      <c r="F5" s="3674"/>
      <c r="G5" s="3679" t="s">
        <v>1675</v>
      </c>
      <c r="H5" s="3676"/>
      <c r="I5" s="3679" t="s">
        <v>1676</v>
      </c>
      <c r="J5" s="3676"/>
      <c r="K5" s="537"/>
      <c r="L5" s="2482"/>
      <c r="M5" s="2483"/>
      <c r="N5" s="2483"/>
      <c r="O5" s="2483"/>
      <c r="P5" s="3689"/>
      <c r="Q5" s="3690"/>
      <c r="R5" s="3672"/>
      <c r="S5" s="3673"/>
      <c r="T5" s="3672"/>
      <c r="U5" s="3673"/>
      <c r="V5" s="3695"/>
      <c r="W5" s="3695"/>
      <c r="X5" s="1264"/>
      <c r="Y5" s="3672"/>
      <c r="Z5" s="3673"/>
      <c r="AA5" s="3666"/>
      <c r="AB5" s="3695"/>
      <c r="AC5" s="3666"/>
    </row>
    <row r="6" spans="1:29" ht="15.75" thickBot="1">
      <c r="A6" s="350"/>
      <c r="B6" s="351"/>
      <c r="C6" s="3677" t="s">
        <v>1677</v>
      </c>
      <c r="D6" s="3678"/>
      <c r="E6" s="3680" t="s">
        <v>1677</v>
      </c>
      <c r="F6" s="3681"/>
      <c r="G6" s="3677" t="s">
        <v>1677</v>
      </c>
      <c r="H6" s="3678"/>
      <c r="I6" s="3677" t="s">
        <v>1677</v>
      </c>
      <c r="J6" s="3678"/>
      <c r="K6" s="537" t="s">
        <v>1678</v>
      </c>
      <c r="L6" s="2482"/>
      <c r="M6" s="2483"/>
      <c r="N6" s="2483"/>
      <c r="O6" s="2483"/>
      <c r="P6" s="3691"/>
      <c r="Q6" s="3692"/>
      <c r="R6" s="3672"/>
      <c r="S6" s="3673"/>
      <c r="T6" s="3693"/>
      <c r="U6" s="3694"/>
      <c r="V6" s="3695"/>
      <c r="W6" s="3695"/>
      <c r="X6" s="1264"/>
      <c r="Y6" s="3693"/>
      <c r="Z6" s="3694"/>
      <c r="AA6" s="3667"/>
      <c r="AB6" s="3695"/>
      <c r="AC6" s="3667"/>
    </row>
    <row r="7" spans="1:29" s="102" customFormat="1" ht="15.75" thickBot="1">
      <c r="A7" s="352" t="s">
        <v>1679</v>
      </c>
      <c r="B7" s="353"/>
      <c r="C7" s="354">
        <f>'数据-取费表'!B2</f>
        <v>38867</v>
      </c>
      <c r="D7" s="355">
        <v>100</v>
      </c>
      <c r="E7" s="356"/>
      <c r="F7" s="357">
        <f>SUMIF(58:58,YEAR(E7)&amp;"-"&amp;MONTH(E7),59:59)</f>
        <v>0</v>
      </c>
      <c r="G7" s="356"/>
      <c r="H7" s="355">
        <f>SUMIF(58:58,YEAR(G7)&amp;"-"&amp;MONTH(G7),59:59)</f>
        <v>0</v>
      </c>
      <c r="I7" s="356"/>
      <c r="J7" s="355">
        <f>SUMIF(58:58,YEAR(I7)&amp;"-"&amp;MONTH(I7),59:59)</f>
        <v>0</v>
      </c>
      <c r="K7" s="38"/>
      <c r="L7" s="2484"/>
      <c r="M7" s="2435"/>
      <c r="N7" s="2435"/>
      <c r="O7" s="2435"/>
      <c r="P7" s="3668" t="s">
        <v>1680</v>
      </c>
      <c r="Q7" s="3696"/>
      <c r="R7" s="664" t="s">
        <v>14</v>
      </c>
      <c r="S7" s="665">
        <f t="shared" ref="S7:S15" si="0">F7</f>
        <v>0</v>
      </c>
      <c r="T7" s="664" t="s">
        <v>14</v>
      </c>
      <c r="U7" s="665">
        <f t="shared" ref="U7:U15" si="1">H7</f>
        <v>0</v>
      </c>
      <c r="V7" s="664" t="s">
        <v>14</v>
      </c>
      <c r="W7" s="665">
        <f t="shared" ref="W7:W15" si="2">J7</f>
        <v>0</v>
      </c>
      <c r="X7" s="666"/>
      <c r="Y7" s="3668" t="s">
        <v>1680</v>
      </c>
      <c r="Z7" s="36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668" t="s">
        <v>1683</v>
      </c>
      <c r="Q8" s="3669"/>
      <c r="R8" s="664" t="s">
        <v>14</v>
      </c>
      <c r="S8" s="665">
        <f t="shared" si="0"/>
        <v>100</v>
      </c>
      <c r="T8" s="664" t="s">
        <v>14</v>
      </c>
      <c r="U8" s="665">
        <f t="shared" si="1"/>
        <v>100</v>
      </c>
      <c r="V8" s="664" t="s">
        <v>14</v>
      </c>
      <c r="W8" s="665">
        <f t="shared" si="2"/>
        <v>100</v>
      </c>
      <c r="X8" s="666"/>
      <c r="Y8" s="3668" t="s">
        <v>1683</v>
      </c>
      <c r="Z8" s="36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682"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682"/>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682"/>
      <c r="Q11" s="530" t="str">
        <f t="shared" si="6"/>
        <v>容积率</v>
      </c>
      <c r="R11" s="664" t="s">
        <v>14</v>
      </c>
      <c r="S11" s="665" t="e">
        <f t="shared" si="0"/>
        <v>#N/A</v>
      </c>
      <c r="T11" s="664" t="s">
        <v>14</v>
      </c>
      <c r="U11" s="665" t="e">
        <f t="shared" si="1"/>
        <v>#N/A</v>
      </c>
      <c r="V11" s="664" t="s">
        <v>14</v>
      </c>
      <c r="W11" s="665" t="e">
        <f t="shared" si="2"/>
        <v>#N/A</v>
      </c>
      <c r="X11" s="666"/>
      <c r="Y11" s="36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682"/>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682"/>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682"/>
      <c r="Q14" s="530">
        <f t="shared" si="6"/>
        <v>111</v>
      </c>
      <c r="R14" s="664" t="s">
        <v>14</v>
      </c>
      <c r="S14" s="665">
        <f t="shared" si="0"/>
        <v>100</v>
      </c>
      <c r="T14" s="664" t="s">
        <v>14</v>
      </c>
      <c r="U14" s="665">
        <f t="shared" si="1"/>
        <v>100</v>
      </c>
      <c r="V14" s="664" t="s">
        <v>14</v>
      </c>
      <c r="W14" s="665">
        <f t="shared" si="2"/>
        <v>100</v>
      </c>
      <c r="X14" s="666"/>
      <c r="Y14" s="3612"/>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708" t="s">
        <v>1691</v>
      </c>
      <c r="Q15" s="1262" t="str">
        <f t="shared" si="6"/>
        <v>商业繁华度</v>
      </c>
      <c r="R15" s="667" t="s">
        <v>14</v>
      </c>
      <c r="S15" s="668">
        <f t="shared" si="0"/>
        <v>100</v>
      </c>
      <c r="T15" s="667" t="s">
        <v>14</v>
      </c>
      <c r="U15" s="668">
        <f t="shared" si="1"/>
        <v>100</v>
      </c>
      <c r="V15" s="667" t="s">
        <v>14</v>
      </c>
      <c r="W15" s="668">
        <f t="shared" si="2"/>
        <v>100</v>
      </c>
      <c r="X15" s="1264"/>
      <c r="Y15" s="370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709"/>
      <c r="Q16" s="1262"/>
      <c r="R16" s="667"/>
      <c r="S16" s="668"/>
      <c r="T16" s="667"/>
      <c r="U16" s="668"/>
      <c r="V16" s="667"/>
      <c r="W16" s="668"/>
      <c r="X16" s="1264"/>
      <c r="Y16" s="3702"/>
      <c r="Z16" s="1263"/>
      <c r="AA16" s="1263">
        <v>1</v>
      </c>
      <c r="AB16" s="1263">
        <v>1</v>
      </c>
      <c r="AC16" s="1263">
        <v>1</v>
      </c>
    </row>
    <row r="17" spans="1:29" ht="99.75">
      <c r="A17" s="367"/>
      <c r="B17" s="390" t="s">
        <v>1259</v>
      </c>
      <c r="C17" s="1752" t="str">
        <f>估价对象房地状况!C6</f>
        <v>周边有601路、709路等多条公交线路，综合评价交通便捷度一般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709"/>
      <c r="Q17" s="1262" t="str">
        <f>B17</f>
        <v>交通便捷度</v>
      </c>
      <c r="R17" s="667" t="s">
        <v>14</v>
      </c>
      <c r="S17" s="668">
        <f>F17</f>
        <v>100</v>
      </c>
      <c r="T17" s="667" t="s">
        <v>14</v>
      </c>
      <c r="U17" s="668">
        <f>H17</f>
        <v>100</v>
      </c>
      <c r="V17" s="667" t="s">
        <v>14</v>
      </c>
      <c r="W17" s="668">
        <f>J17</f>
        <v>100</v>
      </c>
      <c r="X17" s="1264"/>
      <c r="Y17" s="370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709"/>
      <c r="Q18" s="1262"/>
      <c r="R18" s="667"/>
      <c r="S18" s="668"/>
      <c r="T18" s="667"/>
      <c r="U18" s="668"/>
      <c r="V18" s="667"/>
      <c r="W18" s="668"/>
      <c r="X18" s="1264"/>
      <c r="Y18" s="3702"/>
      <c r="Z18" s="1263"/>
      <c r="AA18" s="1263">
        <v>1</v>
      </c>
      <c r="AB18" s="1263">
        <v>1</v>
      </c>
      <c r="AC18" s="1263">
        <v>1</v>
      </c>
    </row>
    <row r="19" spans="1:29" ht="356.25">
      <c r="A19" s="367"/>
      <c r="B19" s="390" t="s">
        <v>1775</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709"/>
      <c r="Q19" s="1262" t="str">
        <f>B19</f>
        <v>公共配套设施</v>
      </c>
      <c r="R19" s="667" t="s">
        <v>14</v>
      </c>
      <c r="S19" s="668">
        <f>F19</f>
        <v>100</v>
      </c>
      <c r="T19" s="667" t="s">
        <v>14</v>
      </c>
      <c r="U19" s="668">
        <f>H19</f>
        <v>100</v>
      </c>
      <c r="V19" s="667" t="s">
        <v>14</v>
      </c>
      <c r="W19" s="668">
        <f>J19</f>
        <v>100</v>
      </c>
      <c r="X19" s="1264"/>
      <c r="Y19" s="370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709"/>
      <c r="Q20" s="1262"/>
      <c r="R20" s="667"/>
      <c r="S20" s="668"/>
      <c r="T20" s="667"/>
      <c r="U20" s="668"/>
      <c r="V20" s="667"/>
      <c r="W20" s="668"/>
      <c r="X20" s="1264"/>
      <c r="Y20" s="3702"/>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709"/>
      <c r="Q21" s="1262" t="str">
        <f>B21</f>
        <v>基础设施水平</v>
      </c>
      <c r="R21" s="667" t="s">
        <v>14</v>
      </c>
      <c r="S21" s="668">
        <f>F21</f>
        <v>100</v>
      </c>
      <c r="T21" s="667" t="s">
        <v>14</v>
      </c>
      <c r="U21" s="668">
        <f>H21</f>
        <v>100</v>
      </c>
      <c r="V21" s="667" t="s">
        <v>14</v>
      </c>
      <c r="W21" s="668">
        <f>J21</f>
        <v>100</v>
      </c>
      <c r="X21" s="1264"/>
      <c r="Y21" s="370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8"/>
      <c r="M22" s="2483"/>
      <c r="N22" s="2483"/>
      <c r="O22" s="2483"/>
      <c r="P22" s="3709"/>
      <c r="Q22" s="1262"/>
      <c r="R22" s="667"/>
      <c r="S22" s="668"/>
      <c r="T22" s="667"/>
      <c r="U22" s="668"/>
      <c r="V22" s="667"/>
      <c r="W22" s="668"/>
      <c r="X22" s="1264"/>
      <c r="Y22" s="3702"/>
      <c r="Z22" s="1263"/>
      <c r="AA22" s="1263">
        <v>1</v>
      </c>
      <c r="AB22" s="1263">
        <v>1</v>
      </c>
      <c r="AC22" s="1263">
        <v>1</v>
      </c>
    </row>
    <row r="23" spans="1:29" ht="142.5">
      <c r="A23" s="367"/>
      <c r="B23" s="390" t="s">
        <v>1261</v>
      </c>
      <c r="C23" s="1802" t="str">
        <f>估价对象房地状况!C9</f>
        <v>人文环境：首都师范大学等人文场所；
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709"/>
      <c r="Q23" s="1262" t="str">
        <f>B23</f>
        <v>自然及人文环境</v>
      </c>
      <c r="R23" s="667" t="s">
        <v>14</v>
      </c>
      <c r="S23" s="668">
        <f>F23</f>
        <v>100</v>
      </c>
      <c r="T23" s="667" t="s">
        <v>14</v>
      </c>
      <c r="U23" s="668">
        <f>H23</f>
        <v>100</v>
      </c>
      <c r="V23" s="667" t="s">
        <v>14</v>
      </c>
      <c r="W23" s="668">
        <f>J23</f>
        <v>100</v>
      </c>
      <c r="X23" s="1264"/>
      <c r="Y23" s="3702"/>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709"/>
      <c r="Q24" s="1262"/>
      <c r="R24" s="667"/>
      <c r="S24" s="668"/>
      <c r="T24" s="667"/>
      <c r="U24" s="668"/>
      <c r="V24" s="667"/>
      <c r="W24" s="668"/>
      <c r="X24" s="1264"/>
      <c r="Y24" s="3702"/>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709"/>
      <c r="Q25" s="1262" t="str">
        <f t="shared" ref="Q25:Q46" si="11">B25</f>
        <v>临街状况</v>
      </c>
      <c r="R25" s="667" t="s">
        <v>14</v>
      </c>
      <c r="S25" s="668">
        <f>F25</f>
        <v>100</v>
      </c>
      <c r="T25" s="667" t="s">
        <v>14</v>
      </c>
      <c r="U25" s="668">
        <f>H25</f>
        <v>100</v>
      </c>
      <c r="V25" s="667" t="s">
        <v>14</v>
      </c>
      <c r="W25" s="668">
        <f>J25</f>
        <v>100</v>
      </c>
      <c r="X25" s="1264"/>
      <c r="Y25" s="3702"/>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709"/>
      <c r="Q26" s="1262" t="str">
        <f t="shared" si="11"/>
        <v>平面位置/可视性</v>
      </c>
      <c r="R26" s="667" t="s">
        <v>14</v>
      </c>
      <c r="S26" s="668">
        <f>F26</f>
        <v>100</v>
      </c>
      <c r="T26" s="667" t="s">
        <v>14</v>
      </c>
      <c r="U26" s="668">
        <f>H26</f>
        <v>100</v>
      </c>
      <c r="V26" s="667" t="s">
        <v>14</v>
      </c>
      <c r="W26" s="668">
        <f>J26</f>
        <v>100</v>
      </c>
      <c r="X26" s="1264"/>
      <c r="Y26" s="3702"/>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709"/>
      <c r="Q27" s="530" t="str">
        <f t="shared" si="11"/>
        <v>人流量</v>
      </c>
      <c r="R27" s="664" t="s">
        <v>14</v>
      </c>
      <c r="S27" s="665">
        <f>F27</f>
        <v>100</v>
      </c>
      <c r="T27" s="664" t="s">
        <v>14</v>
      </c>
      <c r="U27" s="665">
        <f>H27</f>
        <v>100</v>
      </c>
      <c r="V27" s="664" t="s">
        <v>14</v>
      </c>
      <c r="W27" s="665">
        <f>J27</f>
        <v>100</v>
      </c>
      <c r="X27" s="666"/>
      <c r="Y27" s="3702"/>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7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70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709"/>
      <c r="Q29" s="1262">
        <f t="shared" si="11"/>
        <v>111</v>
      </c>
      <c r="R29" s="667" t="s">
        <v>14</v>
      </c>
      <c r="S29" s="668">
        <f t="shared" si="12"/>
        <v>100</v>
      </c>
      <c r="T29" s="667" t="s">
        <v>14</v>
      </c>
      <c r="U29" s="668">
        <f t="shared" si="13"/>
        <v>100</v>
      </c>
      <c r="V29" s="667" t="s">
        <v>14</v>
      </c>
      <c r="W29" s="668">
        <f t="shared" si="14"/>
        <v>100</v>
      </c>
      <c r="X29" s="1264"/>
      <c r="Y29" s="370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709"/>
      <c r="Q30" s="1262">
        <f t="shared" si="11"/>
        <v>111</v>
      </c>
      <c r="R30" s="667" t="s">
        <v>14</v>
      </c>
      <c r="S30" s="668">
        <f t="shared" si="12"/>
        <v>100</v>
      </c>
      <c r="T30" s="667" t="s">
        <v>14</v>
      </c>
      <c r="U30" s="668">
        <f t="shared" si="13"/>
        <v>100</v>
      </c>
      <c r="V30" s="667" t="s">
        <v>14</v>
      </c>
      <c r="W30" s="668">
        <f t="shared" si="14"/>
        <v>100</v>
      </c>
      <c r="X30" s="1264"/>
      <c r="Y30" s="370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709"/>
      <c r="Q31" s="1262">
        <f t="shared" si="11"/>
        <v>111</v>
      </c>
      <c r="R31" s="667" t="s">
        <v>14</v>
      </c>
      <c r="S31" s="668">
        <f t="shared" si="12"/>
        <v>100</v>
      </c>
      <c r="T31" s="667" t="s">
        <v>14</v>
      </c>
      <c r="U31" s="668">
        <f t="shared" si="13"/>
        <v>100</v>
      </c>
      <c r="V31" s="667" t="s">
        <v>14</v>
      </c>
      <c r="W31" s="668">
        <f t="shared" si="14"/>
        <v>100</v>
      </c>
      <c r="X31" s="1264"/>
      <c r="Y31" s="3702"/>
      <c r="Z31" s="1263">
        <f t="shared" si="15"/>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703" t="s">
        <v>1696</v>
      </c>
      <c r="Q32" s="1262" t="str">
        <f t="shared" si="11"/>
        <v>商业类型</v>
      </c>
      <c r="R32" s="667" t="s">
        <v>14</v>
      </c>
      <c r="S32" s="668">
        <f t="shared" si="12"/>
        <v>100</v>
      </c>
      <c r="T32" s="667" t="s">
        <v>14</v>
      </c>
      <c r="U32" s="668">
        <f t="shared" si="13"/>
        <v>100</v>
      </c>
      <c r="V32" s="667" t="s">
        <v>14</v>
      </c>
      <c r="W32" s="668">
        <f t="shared" si="14"/>
        <v>100</v>
      </c>
      <c r="X32" s="1264"/>
      <c r="Y32" s="370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704"/>
      <c r="Q33" s="531" t="str">
        <f t="shared" si="11"/>
        <v>项目建筑规模</v>
      </c>
      <c r="R33" s="669" t="s">
        <v>14</v>
      </c>
      <c r="S33" s="670" t="e">
        <f t="shared" si="12"/>
        <v>#N/A</v>
      </c>
      <c r="T33" s="669" t="s">
        <v>14</v>
      </c>
      <c r="U33" s="670" t="e">
        <f t="shared" si="13"/>
        <v>#N/A</v>
      </c>
      <c r="V33" s="669" t="s">
        <v>14</v>
      </c>
      <c r="W33" s="670" t="e">
        <f t="shared" si="14"/>
        <v>#N/A</v>
      </c>
      <c r="X33" s="671"/>
      <c r="Y33" s="370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704"/>
      <c r="Q34" s="1262" t="str">
        <f t="shared" si="11"/>
        <v>建筑结构</v>
      </c>
      <c r="R34" s="667" t="s">
        <v>14</v>
      </c>
      <c r="S34" s="668">
        <f t="shared" si="12"/>
        <v>100</v>
      </c>
      <c r="T34" s="667" t="s">
        <v>14</v>
      </c>
      <c r="U34" s="668">
        <f t="shared" si="13"/>
        <v>100</v>
      </c>
      <c r="V34" s="667" t="s">
        <v>14</v>
      </c>
      <c r="W34" s="668">
        <f t="shared" si="14"/>
        <v>100</v>
      </c>
      <c r="X34" s="1264"/>
      <c r="Y34" s="3706"/>
      <c r="Z34" s="1263" t="str">
        <f t="shared" si="15"/>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704"/>
      <c r="Q35" s="1262" t="str">
        <f t="shared" si="11"/>
        <v>公共部分装修</v>
      </c>
      <c r="R35" s="667" t="s">
        <v>14</v>
      </c>
      <c r="S35" s="668">
        <f t="shared" si="12"/>
        <v>100</v>
      </c>
      <c r="T35" s="667" t="s">
        <v>14</v>
      </c>
      <c r="U35" s="668">
        <f t="shared" si="13"/>
        <v>100</v>
      </c>
      <c r="V35" s="667" t="s">
        <v>14</v>
      </c>
      <c r="W35" s="668">
        <f t="shared" si="14"/>
        <v>100</v>
      </c>
      <c r="X35" s="1264"/>
      <c r="Y35" s="3706"/>
      <c r="Z35" s="1263" t="str">
        <f t="shared" si="15"/>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704"/>
      <c r="Q36" s="1262" t="str">
        <f t="shared" si="11"/>
        <v>成新度</v>
      </c>
      <c r="R36" s="667" t="s">
        <v>14</v>
      </c>
      <c r="S36" s="668" t="e">
        <f t="shared" si="12"/>
        <v>#N/A</v>
      </c>
      <c r="T36" s="667" t="s">
        <v>14</v>
      </c>
      <c r="U36" s="668" t="e">
        <f t="shared" si="13"/>
        <v>#N/A</v>
      </c>
      <c r="V36" s="667" t="s">
        <v>14</v>
      </c>
      <c r="W36" s="668" t="e">
        <f t="shared" si="14"/>
        <v>#N/A</v>
      </c>
      <c r="X36" s="1264"/>
      <c r="Y36" s="3706"/>
      <c r="Z36" s="1263" t="str">
        <f t="shared" si="15"/>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704"/>
      <c r="Q37" s="530" t="str">
        <f t="shared" si="11"/>
        <v>市政基础设施</v>
      </c>
      <c r="R37" s="664" t="s">
        <v>14</v>
      </c>
      <c r="S37" s="665">
        <f t="shared" si="12"/>
        <v>100</v>
      </c>
      <c r="T37" s="664" t="s">
        <v>14</v>
      </c>
      <c r="U37" s="665">
        <f t="shared" si="13"/>
        <v>100</v>
      </c>
      <c r="V37" s="664" t="s">
        <v>14</v>
      </c>
      <c r="W37" s="665">
        <f t="shared" si="14"/>
        <v>100</v>
      </c>
      <c r="X37" s="666"/>
      <c r="Y37" s="3706"/>
      <c r="Z37" s="50" t="str">
        <f t="shared" si="15"/>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704" t="s">
        <v>1696</v>
      </c>
      <c r="Q38" s="1262" t="str">
        <f t="shared" si="11"/>
        <v>业态</v>
      </c>
      <c r="R38" s="667" t="s">
        <v>14</v>
      </c>
      <c r="S38" s="668">
        <f t="shared" si="12"/>
        <v>100</v>
      </c>
      <c r="T38" s="667" t="s">
        <v>14</v>
      </c>
      <c r="U38" s="668">
        <f t="shared" si="13"/>
        <v>100</v>
      </c>
      <c r="V38" s="667" t="s">
        <v>14</v>
      </c>
      <c r="W38" s="668">
        <f t="shared" si="14"/>
        <v>100</v>
      </c>
      <c r="X38" s="1264"/>
      <c r="Y38" s="3706" t="s">
        <v>1696</v>
      </c>
      <c r="Z38" s="1263" t="str">
        <f t="shared" si="15"/>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704"/>
      <c r="Q39" s="1262" t="str">
        <f t="shared" si="11"/>
        <v>层高</v>
      </c>
      <c r="R39" s="667" t="s">
        <v>14</v>
      </c>
      <c r="S39" s="668">
        <f t="shared" si="12"/>
        <v>100</v>
      </c>
      <c r="T39" s="667" t="s">
        <v>14</v>
      </c>
      <c r="U39" s="668">
        <f t="shared" si="13"/>
        <v>100</v>
      </c>
      <c r="V39" s="667" t="s">
        <v>14</v>
      </c>
      <c r="W39" s="668">
        <f t="shared" si="14"/>
        <v>100</v>
      </c>
      <c r="X39" s="1264"/>
      <c r="Y39" s="3706"/>
      <c r="Z39" s="1263" t="str">
        <f t="shared" si="15"/>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704"/>
      <c r="Q40" s="1262" t="str">
        <f t="shared" si="11"/>
        <v>单套建筑面积</v>
      </c>
      <c r="R40" s="667" t="s">
        <v>14</v>
      </c>
      <c r="S40" s="668">
        <f t="shared" si="12"/>
        <v>100</v>
      </c>
      <c r="T40" s="667" t="s">
        <v>14</v>
      </c>
      <c r="U40" s="668">
        <f t="shared" si="13"/>
        <v>100</v>
      </c>
      <c r="V40" s="667" t="s">
        <v>14</v>
      </c>
      <c r="W40" s="668">
        <f t="shared" si="14"/>
        <v>100</v>
      </c>
      <c r="X40" s="1264"/>
      <c r="Y40" s="3706"/>
      <c r="Z40" s="1263" t="str">
        <f t="shared" si="15"/>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704"/>
      <c r="Q41" s="531" t="str">
        <f t="shared" si="11"/>
        <v>进深比</v>
      </c>
      <c r="R41" s="669" t="s">
        <v>14</v>
      </c>
      <c r="S41" s="670">
        <f t="shared" si="12"/>
        <v>100</v>
      </c>
      <c r="T41" s="669" t="s">
        <v>14</v>
      </c>
      <c r="U41" s="670">
        <f t="shared" si="13"/>
        <v>100</v>
      </c>
      <c r="V41" s="669" t="s">
        <v>14</v>
      </c>
      <c r="W41" s="670">
        <f t="shared" si="14"/>
        <v>100</v>
      </c>
      <c r="X41" s="671"/>
      <c r="Y41" s="3706"/>
      <c r="Z41" s="672" t="str">
        <f t="shared" si="15"/>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704"/>
      <c r="Q42" s="1262" t="str">
        <f t="shared" si="11"/>
        <v>内部装修</v>
      </c>
      <c r="R42" s="667" t="s">
        <v>14</v>
      </c>
      <c r="S42" s="668">
        <f t="shared" si="12"/>
        <v>100</v>
      </c>
      <c r="T42" s="667" t="s">
        <v>14</v>
      </c>
      <c r="U42" s="668">
        <f t="shared" si="13"/>
        <v>100</v>
      </c>
      <c r="V42" s="667" t="s">
        <v>14</v>
      </c>
      <c r="W42" s="668">
        <f t="shared" si="14"/>
        <v>100</v>
      </c>
      <c r="X42" s="1264"/>
      <c r="Y42" s="3706"/>
      <c r="Z42" s="1263" t="str">
        <f t="shared" si="15"/>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704"/>
      <c r="Q43" s="1262" t="str">
        <f t="shared" si="11"/>
        <v>内部装修维护情况</v>
      </c>
      <c r="R43" s="667" t="s">
        <v>14</v>
      </c>
      <c r="S43" s="668">
        <f t="shared" si="12"/>
        <v>100</v>
      </c>
      <c r="T43" s="667" t="s">
        <v>14</v>
      </c>
      <c r="U43" s="668">
        <f t="shared" si="13"/>
        <v>100</v>
      </c>
      <c r="V43" s="667" t="s">
        <v>14</v>
      </c>
      <c r="W43" s="668">
        <f t="shared" si="14"/>
        <v>100</v>
      </c>
      <c r="X43" s="1264"/>
      <c r="Y43" s="370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704"/>
      <c r="Q44" s="530">
        <f t="shared" si="11"/>
        <v>111</v>
      </c>
      <c r="R44" s="664" t="s">
        <v>14</v>
      </c>
      <c r="S44" s="665">
        <f t="shared" si="12"/>
        <v>100</v>
      </c>
      <c r="T44" s="664" t="s">
        <v>14</v>
      </c>
      <c r="U44" s="665">
        <f t="shared" si="13"/>
        <v>100</v>
      </c>
      <c r="V44" s="664" t="s">
        <v>14</v>
      </c>
      <c r="W44" s="665">
        <f t="shared" si="14"/>
        <v>100</v>
      </c>
      <c r="X44" s="666"/>
      <c r="Y44" s="37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704"/>
      <c r="Q45" s="1262">
        <f t="shared" si="11"/>
        <v>111</v>
      </c>
      <c r="R45" s="667" t="s">
        <v>14</v>
      </c>
      <c r="S45" s="668">
        <f t="shared" si="12"/>
        <v>100</v>
      </c>
      <c r="T45" s="667" t="s">
        <v>14</v>
      </c>
      <c r="U45" s="668">
        <f t="shared" si="13"/>
        <v>100</v>
      </c>
      <c r="V45" s="667" t="s">
        <v>14</v>
      </c>
      <c r="W45" s="668">
        <f t="shared" si="14"/>
        <v>100</v>
      </c>
      <c r="X45" s="1264"/>
      <c r="Y45" s="3706"/>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705"/>
      <c r="Q46" s="1262">
        <f t="shared" si="11"/>
        <v>111</v>
      </c>
      <c r="R46" s="667" t="s">
        <v>14</v>
      </c>
      <c r="S46" s="668">
        <f t="shared" si="12"/>
        <v>100</v>
      </c>
      <c r="T46" s="667" t="s">
        <v>14</v>
      </c>
      <c r="U46" s="668">
        <f t="shared" si="13"/>
        <v>100</v>
      </c>
      <c r="V46" s="667" t="s">
        <v>14</v>
      </c>
      <c r="W46" s="668">
        <f t="shared" si="14"/>
        <v>100</v>
      </c>
      <c r="X46" s="1264"/>
      <c r="Y46" s="3707"/>
      <c r="Z46" s="1263">
        <f t="shared" si="15"/>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700" t="str">
        <f>A47</f>
        <v>成交单价（元/平方米）</v>
      </c>
      <c r="Q47" s="3700"/>
      <c r="R47" s="3695">
        <f>E47</f>
        <v>0</v>
      </c>
      <c r="S47" s="3695"/>
      <c r="T47" s="3695">
        <f>G47</f>
        <v>0</v>
      </c>
      <c r="U47" s="3695"/>
      <c r="V47" s="3695">
        <f>I47</f>
        <v>0</v>
      </c>
      <c r="W47" s="3695"/>
      <c r="X47" s="385"/>
      <c r="Y47" s="673"/>
      <c r="Z47" s="385"/>
      <c r="AA47" s="385"/>
      <c r="AB47" s="385"/>
      <c r="AC47" s="385"/>
    </row>
    <row r="48" spans="1:29" ht="15.75" thickBot="1">
      <c r="A48" s="423" t="s">
        <v>1790</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700" t="str">
        <f>A48</f>
        <v>比较价值（元/平方米）</v>
      </c>
      <c r="Q48" s="3700"/>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2006-5</v>
      </c>
      <c r="D58" s="1103">
        <f>EDATE(C58,-1)</f>
        <v>38808</v>
      </c>
      <c r="E58" s="1103">
        <f t="shared" ref="E58:N58" si="16">EDATE(D58,-1)</f>
        <v>38777</v>
      </c>
      <c r="F58" s="1103">
        <f t="shared" si="16"/>
        <v>38749</v>
      </c>
      <c r="G58" s="1103">
        <f t="shared" si="16"/>
        <v>38718</v>
      </c>
      <c r="H58" s="1103">
        <f t="shared" si="16"/>
        <v>38687</v>
      </c>
      <c r="I58" s="1103">
        <f t="shared" si="16"/>
        <v>38657</v>
      </c>
      <c r="J58" s="1103">
        <f t="shared" si="16"/>
        <v>38626</v>
      </c>
      <c r="K58" s="1103">
        <f t="shared" si="16"/>
        <v>38596</v>
      </c>
      <c r="L58" s="1103">
        <f t="shared" si="16"/>
        <v>38565</v>
      </c>
      <c r="M58" s="1103">
        <f t="shared" si="16"/>
        <v>38534</v>
      </c>
      <c r="N58" s="1103">
        <f t="shared" si="16"/>
        <v>38504</v>
      </c>
      <c r="O58" s="1103">
        <f>EDATE(N58,-1)</f>
        <v>38473</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204.54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717" t="s">
        <v>1772</v>
      </c>
      <c r="Q4" s="3718"/>
      <c r="R4" s="3712" t="s">
        <v>1768</v>
      </c>
      <c r="S4" s="3713"/>
      <c r="T4" s="3712" t="s">
        <v>1769</v>
      </c>
      <c r="U4" s="3713"/>
      <c r="V4" s="3721" t="s">
        <v>1770</v>
      </c>
      <c r="W4" s="3721"/>
      <c r="X4" s="1805"/>
      <c r="Y4" s="3712" t="s">
        <v>1772</v>
      </c>
      <c r="Z4" s="3713"/>
      <c r="AA4" s="3711" t="s">
        <v>1768</v>
      </c>
      <c r="AB4" s="3711" t="s">
        <v>1769</v>
      </c>
      <c r="AC4" s="3714" t="s">
        <v>1770</v>
      </c>
    </row>
    <row r="5" spans="1:29" ht="15">
      <c r="A5" s="348"/>
      <c r="B5" s="349"/>
      <c r="C5" s="3679" t="s">
        <v>1673</v>
      </c>
      <c r="D5" s="3676"/>
      <c r="E5" s="3710" t="s">
        <v>1674</v>
      </c>
      <c r="F5" s="3674"/>
      <c r="G5" s="3679" t="s">
        <v>1675</v>
      </c>
      <c r="H5" s="3676"/>
      <c r="I5" s="3679" t="s">
        <v>1676</v>
      </c>
      <c r="J5" s="3676"/>
      <c r="K5" s="537"/>
      <c r="L5" s="2482"/>
      <c r="M5" s="2483"/>
      <c r="N5" s="2483"/>
      <c r="O5" s="2483"/>
      <c r="P5" s="3719"/>
      <c r="Q5" s="3690"/>
      <c r="R5" s="3672"/>
      <c r="S5" s="3673"/>
      <c r="T5" s="3672"/>
      <c r="U5" s="3673"/>
      <c r="V5" s="3695"/>
      <c r="W5" s="3695"/>
      <c r="X5" s="1264"/>
      <c r="Y5" s="3672"/>
      <c r="Z5" s="3673"/>
      <c r="AA5" s="3666"/>
      <c r="AB5" s="3666"/>
      <c r="AC5" s="3715"/>
    </row>
    <row r="6" spans="1:29" ht="15.75" thickBot="1">
      <c r="A6" s="350"/>
      <c r="B6" s="351"/>
      <c r="C6" s="3677" t="s">
        <v>1677</v>
      </c>
      <c r="D6" s="3678"/>
      <c r="E6" s="3680" t="s">
        <v>1677</v>
      </c>
      <c r="F6" s="3681"/>
      <c r="G6" s="3677" t="s">
        <v>1677</v>
      </c>
      <c r="H6" s="3678"/>
      <c r="I6" s="3677" t="s">
        <v>1677</v>
      </c>
      <c r="J6" s="3678"/>
      <c r="K6" s="537" t="s">
        <v>1678</v>
      </c>
      <c r="L6" s="2482"/>
      <c r="M6" s="2483"/>
      <c r="N6" s="2483"/>
      <c r="O6" s="2483"/>
      <c r="P6" s="3720"/>
      <c r="Q6" s="3692"/>
      <c r="R6" s="3672"/>
      <c r="S6" s="3673"/>
      <c r="T6" s="3693"/>
      <c r="U6" s="3694"/>
      <c r="V6" s="3695"/>
      <c r="W6" s="3695"/>
      <c r="X6" s="1264"/>
      <c r="Y6" s="3693"/>
      <c r="Z6" s="3694"/>
      <c r="AA6" s="3667"/>
      <c r="AB6" s="3667"/>
      <c r="AC6" s="3716"/>
    </row>
    <row r="7" spans="1:29" s="102" customFormat="1" ht="15.75" thickBot="1">
      <c r="A7" s="352" t="s">
        <v>1679</v>
      </c>
      <c r="B7" s="353"/>
      <c r="C7" s="354">
        <f>'数据-取费表'!B2</f>
        <v>38867</v>
      </c>
      <c r="D7" s="355">
        <v>100</v>
      </c>
      <c r="E7" s="356"/>
      <c r="F7" s="357">
        <f>SUMIF(59:59,YEAR(E7)&amp;"-"&amp;MONTH(E7),60:60)</f>
        <v>0</v>
      </c>
      <c r="G7" s="356"/>
      <c r="H7" s="355">
        <f>SUMIF(59:59,YEAR(G7)&amp;"-"&amp;MONTH(G7),60:60)</f>
        <v>0</v>
      </c>
      <c r="I7" s="356"/>
      <c r="J7" s="355">
        <f>SUMIF(59:59,YEAR(I7)&amp;"-"&amp;MONTH(I7),60:60)</f>
        <v>0</v>
      </c>
      <c r="K7" s="38"/>
      <c r="L7" s="2484"/>
      <c r="M7" s="2435"/>
      <c r="N7" s="2435"/>
      <c r="O7" s="2435"/>
      <c r="P7" s="3722" t="s">
        <v>1680</v>
      </c>
      <c r="Q7" s="3696"/>
      <c r="R7" s="664" t="s">
        <v>14</v>
      </c>
      <c r="S7" s="665">
        <f t="shared" ref="S7:S15" si="0">F7</f>
        <v>0</v>
      </c>
      <c r="T7" s="664" t="s">
        <v>14</v>
      </c>
      <c r="U7" s="665">
        <f t="shared" ref="U7:U15" si="1">H7</f>
        <v>0</v>
      </c>
      <c r="V7" s="664" t="s">
        <v>14</v>
      </c>
      <c r="W7" s="665">
        <f t="shared" ref="W7:W15" si="2">J7</f>
        <v>0</v>
      </c>
      <c r="X7" s="666"/>
      <c r="Y7" s="3668" t="s">
        <v>1680</v>
      </c>
      <c r="Z7" s="366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722" t="s">
        <v>1683</v>
      </c>
      <c r="Q8" s="3669"/>
      <c r="R8" s="664" t="s">
        <v>14</v>
      </c>
      <c r="S8" s="665">
        <f t="shared" si="0"/>
        <v>100</v>
      </c>
      <c r="T8" s="664" t="s">
        <v>14</v>
      </c>
      <c r="U8" s="665">
        <f t="shared" si="1"/>
        <v>100</v>
      </c>
      <c r="V8" s="664" t="s">
        <v>14</v>
      </c>
      <c r="W8" s="665">
        <f t="shared" si="2"/>
        <v>100</v>
      </c>
      <c r="X8" s="666"/>
      <c r="Y8" s="3668" t="s">
        <v>1683</v>
      </c>
      <c r="Z8" s="366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682"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682"/>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682"/>
      <c r="Q11" s="530" t="str">
        <f t="shared" si="6"/>
        <v>容积率</v>
      </c>
      <c r="R11" s="664" t="s">
        <v>14</v>
      </c>
      <c r="S11" s="665">
        <f t="shared" si="0"/>
        <v>100</v>
      </c>
      <c r="T11" s="664" t="s">
        <v>14</v>
      </c>
      <c r="U11" s="665">
        <f t="shared" si="1"/>
        <v>100</v>
      </c>
      <c r="V11" s="664" t="s">
        <v>14</v>
      </c>
      <c r="W11" s="665">
        <f t="shared" si="2"/>
        <v>100</v>
      </c>
      <c r="X11" s="666"/>
      <c r="Y11" s="36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682"/>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682"/>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682"/>
      <c r="Q14" s="530">
        <f t="shared" si="6"/>
        <v>111</v>
      </c>
      <c r="R14" s="664" t="s">
        <v>14</v>
      </c>
      <c r="S14" s="665">
        <f t="shared" si="0"/>
        <v>100</v>
      </c>
      <c r="T14" s="664" t="s">
        <v>14</v>
      </c>
      <c r="U14" s="665">
        <f t="shared" si="1"/>
        <v>100</v>
      </c>
      <c r="V14" s="664" t="s">
        <v>14</v>
      </c>
      <c r="W14" s="665">
        <f t="shared" si="2"/>
        <v>100</v>
      </c>
      <c r="X14" s="666"/>
      <c r="Y14" s="3612"/>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708" t="s">
        <v>1691</v>
      </c>
      <c r="Q15" s="1262" t="str">
        <f t="shared" si="6"/>
        <v>办公集聚程度</v>
      </c>
      <c r="R15" s="667" t="s">
        <v>14</v>
      </c>
      <c r="S15" s="668">
        <f t="shared" si="0"/>
        <v>100</v>
      </c>
      <c r="T15" s="667" t="s">
        <v>14</v>
      </c>
      <c r="U15" s="668">
        <f t="shared" si="1"/>
        <v>100</v>
      </c>
      <c r="V15" s="667" t="s">
        <v>14</v>
      </c>
      <c r="W15" s="668">
        <f t="shared" si="2"/>
        <v>100</v>
      </c>
      <c r="X15" s="1264"/>
      <c r="Y15" s="3701"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709"/>
      <c r="Q16" s="1262"/>
      <c r="R16" s="667"/>
      <c r="S16" s="668"/>
      <c r="T16" s="667"/>
      <c r="U16" s="668"/>
      <c r="V16" s="667"/>
      <c r="W16" s="668"/>
      <c r="X16" s="1264"/>
      <c r="Y16" s="3702"/>
      <c r="Z16" s="1263"/>
      <c r="AA16" s="1263">
        <v>1</v>
      </c>
      <c r="AB16" s="1263">
        <v>1</v>
      </c>
      <c r="AC16" s="1808">
        <v>1</v>
      </c>
    </row>
    <row r="17" spans="1:29" ht="99.75">
      <c r="A17" s="367"/>
      <c r="B17" s="556" t="s">
        <v>1259</v>
      </c>
      <c r="C17" s="1809" t="str">
        <f>估价对象房地状况!C6</f>
        <v>周边有601路、709路等多条公交线路，综合评价交通便捷度一般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709"/>
      <c r="Q17" s="1262" t="str">
        <f>B17</f>
        <v>交通便捷度</v>
      </c>
      <c r="R17" s="667" t="s">
        <v>14</v>
      </c>
      <c r="S17" s="668">
        <f>F17</f>
        <v>100</v>
      </c>
      <c r="T17" s="667" t="s">
        <v>14</v>
      </c>
      <c r="U17" s="668">
        <f>H17</f>
        <v>100</v>
      </c>
      <c r="V17" s="667" t="s">
        <v>14</v>
      </c>
      <c r="W17" s="668">
        <f>J17</f>
        <v>100</v>
      </c>
      <c r="X17" s="1264"/>
      <c r="Y17" s="3702"/>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709"/>
      <c r="Q18" s="1262"/>
      <c r="R18" s="667"/>
      <c r="S18" s="668"/>
      <c r="T18" s="667"/>
      <c r="U18" s="668"/>
      <c r="V18" s="667"/>
      <c r="W18" s="668"/>
      <c r="X18" s="1264"/>
      <c r="Y18" s="3702"/>
      <c r="Z18" s="1263"/>
      <c r="AA18" s="1263">
        <v>1</v>
      </c>
      <c r="AB18" s="1263">
        <v>1</v>
      </c>
      <c r="AC18" s="1808">
        <v>1</v>
      </c>
    </row>
    <row r="19" spans="1:29" ht="313.5">
      <c r="A19" s="367"/>
      <c r="B19" s="556" t="s">
        <v>1809</v>
      </c>
      <c r="C19" s="1809"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709"/>
      <c r="Q19" s="1262" t="str">
        <f>B19</f>
        <v>公共配套设施</v>
      </c>
      <c r="R19" s="667" t="s">
        <v>14</v>
      </c>
      <c r="S19" s="668">
        <f>F19</f>
        <v>100</v>
      </c>
      <c r="T19" s="667" t="s">
        <v>14</v>
      </c>
      <c r="U19" s="668">
        <f>H19</f>
        <v>100</v>
      </c>
      <c r="V19" s="667" t="s">
        <v>14</v>
      </c>
      <c r="W19" s="668">
        <f>J19</f>
        <v>100</v>
      </c>
      <c r="X19" s="1264"/>
      <c r="Y19" s="3702"/>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709"/>
      <c r="Q20" s="1262"/>
      <c r="R20" s="667"/>
      <c r="S20" s="668"/>
      <c r="T20" s="667"/>
      <c r="U20" s="668"/>
      <c r="V20" s="667"/>
      <c r="W20" s="668"/>
      <c r="X20" s="1264"/>
      <c r="Y20" s="3702"/>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709"/>
      <c r="Q21" s="1262" t="str">
        <f>B21</f>
        <v>基础设施水平</v>
      </c>
      <c r="R21" s="667" t="s">
        <v>14</v>
      </c>
      <c r="S21" s="668">
        <f>F21</f>
        <v>100</v>
      </c>
      <c r="T21" s="667" t="s">
        <v>14</v>
      </c>
      <c r="U21" s="668">
        <f>H21</f>
        <v>100</v>
      </c>
      <c r="V21" s="667" t="s">
        <v>14</v>
      </c>
      <c r="W21" s="668">
        <f>J21</f>
        <v>100</v>
      </c>
      <c r="X21" s="1264"/>
      <c r="Y21" s="3702"/>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8"/>
      <c r="M22" s="2483"/>
      <c r="N22" s="2483"/>
      <c r="O22" s="2483"/>
      <c r="P22" s="3709"/>
      <c r="Q22" s="1262"/>
      <c r="R22" s="667"/>
      <c r="S22" s="668"/>
      <c r="T22" s="667"/>
      <c r="U22" s="668"/>
      <c r="V22" s="667"/>
      <c r="W22" s="668"/>
      <c r="X22" s="1264"/>
      <c r="Y22" s="3702"/>
      <c r="Z22" s="1263"/>
      <c r="AA22" s="1263">
        <v>1</v>
      </c>
      <c r="AB22" s="1263">
        <v>1</v>
      </c>
      <c r="AC22" s="1808">
        <v>1</v>
      </c>
    </row>
    <row r="23" spans="1:29" ht="114">
      <c r="A23" s="367"/>
      <c r="B23" s="556" t="s">
        <v>1811</v>
      </c>
      <c r="C23" s="1809" t="str">
        <f>估价对象房地状况!C9</f>
        <v>人文环境：首都师范大学等人文场所；
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709"/>
      <c r="Q23" s="1262" t="str">
        <f>B23</f>
        <v>环境质量</v>
      </c>
      <c r="R23" s="667" t="s">
        <v>14</v>
      </c>
      <c r="S23" s="668">
        <f>F23</f>
        <v>100</v>
      </c>
      <c r="T23" s="667" t="s">
        <v>14</v>
      </c>
      <c r="U23" s="668">
        <f>H23</f>
        <v>100</v>
      </c>
      <c r="V23" s="667" t="s">
        <v>14</v>
      </c>
      <c r="W23" s="668">
        <f>J23</f>
        <v>100</v>
      </c>
      <c r="X23" s="1264"/>
      <c r="Y23" s="3702"/>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709"/>
      <c r="Q24" s="1262"/>
      <c r="R24" s="667"/>
      <c r="S24" s="668"/>
      <c r="T24" s="667"/>
      <c r="U24" s="668"/>
      <c r="V24" s="667"/>
      <c r="W24" s="668"/>
      <c r="X24" s="1264"/>
      <c r="Y24" s="3702"/>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709"/>
      <c r="Q25" s="1262" t="str">
        <f>B25</f>
        <v>毗邻道路的类型与等级</v>
      </c>
      <c r="R25" s="667" t="s">
        <v>14</v>
      </c>
      <c r="S25" s="668">
        <f>F25</f>
        <v>100</v>
      </c>
      <c r="T25" s="667" t="s">
        <v>14</v>
      </c>
      <c r="U25" s="668">
        <f>H25</f>
        <v>100</v>
      </c>
      <c r="V25" s="667" t="s">
        <v>14</v>
      </c>
      <c r="W25" s="668">
        <f>J25</f>
        <v>100</v>
      </c>
      <c r="X25" s="1264"/>
      <c r="Y25" s="3702"/>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709"/>
      <c r="Q26" s="1262"/>
      <c r="R26" s="667"/>
      <c r="S26" s="668"/>
      <c r="T26" s="667"/>
      <c r="U26" s="668"/>
      <c r="V26" s="667"/>
      <c r="W26" s="668"/>
      <c r="X26" s="1264"/>
      <c r="Y26" s="3702"/>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709"/>
      <c r="Q27" s="1262" t="str">
        <f t="shared" ref="Q27:Q47" si="11">B27</f>
        <v>楼层</v>
      </c>
      <c r="R27" s="667" t="s">
        <v>14</v>
      </c>
      <c r="S27" s="668">
        <f>F27</f>
        <v>100</v>
      </c>
      <c r="T27" s="667" t="s">
        <v>14</v>
      </c>
      <c r="U27" s="668">
        <f>H27</f>
        <v>100</v>
      </c>
      <c r="V27" s="667" t="s">
        <v>14</v>
      </c>
      <c r="W27" s="668">
        <f>J27</f>
        <v>100</v>
      </c>
      <c r="X27" s="1264"/>
      <c r="Y27" s="3702"/>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709"/>
      <c r="Q28" s="530" t="str">
        <f t="shared" si="11"/>
        <v>朝向</v>
      </c>
      <c r="R28" s="664" t="s">
        <v>14</v>
      </c>
      <c r="S28" s="665">
        <f>F28</f>
        <v>100</v>
      </c>
      <c r="T28" s="664" t="s">
        <v>14</v>
      </c>
      <c r="U28" s="665">
        <f>H28</f>
        <v>100</v>
      </c>
      <c r="V28" s="664" t="s">
        <v>14</v>
      </c>
      <c r="W28" s="665">
        <f>J28</f>
        <v>100</v>
      </c>
      <c r="X28" s="666"/>
      <c r="Y28" s="3702"/>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709"/>
      <c r="Q29" s="1262">
        <f t="shared" si="11"/>
        <v>111</v>
      </c>
      <c r="R29" s="667" t="s">
        <v>14</v>
      </c>
      <c r="S29" s="668">
        <f t="shared" ref="S29:S47" si="12">F29</f>
        <v>100</v>
      </c>
      <c r="T29" s="667" t="s">
        <v>14</v>
      </c>
      <c r="U29" s="668">
        <f t="shared" ref="U29:U47" si="13">H29</f>
        <v>100</v>
      </c>
      <c r="V29" s="667" t="s">
        <v>14</v>
      </c>
      <c r="W29" s="668">
        <f t="shared" ref="W29:W47" si="14">J29</f>
        <v>100</v>
      </c>
      <c r="X29" s="1264"/>
      <c r="Y29" s="3702"/>
      <c r="Z29" s="1263">
        <f t="shared" ref="Z29:Z47" si="15">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709"/>
      <c r="Q30" s="1262">
        <f t="shared" si="11"/>
        <v>111</v>
      </c>
      <c r="R30" s="667" t="s">
        <v>14</v>
      </c>
      <c r="S30" s="668">
        <f t="shared" si="12"/>
        <v>100</v>
      </c>
      <c r="T30" s="667" t="s">
        <v>14</v>
      </c>
      <c r="U30" s="668">
        <f t="shared" si="13"/>
        <v>100</v>
      </c>
      <c r="V30" s="667" t="s">
        <v>14</v>
      </c>
      <c r="W30" s="668">
        <f t="shared" si="14"/>
        <v>100</v>
      </c>
      <c r="X30" s="1264"/>
      <c r="Y30" s="3702"/>
      <c r="Z30" s="1263">
        <f t="shared" si="15"/>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709"/>
      <c r="Q31" s="1262">
        <f t="shared" si="11"/>
        <v>111</v>
      </c>
      <c r="R31" s="667" t="s">
        <v>14</v>
      </c>
      <c r="S31" s="668">
        <f t="shared" si="12"/>
        <v>100</v>
      </c>
      <c r="T31" s="667" t="s">
        <v>14</v>
      </c>
      <c r="U31" s="668">
        <f t="shared" si="13"/>
        <v>100</v>
      </c>
      <c r="V31" s="667" t="s">
        <v>14</v>
      </c>
      <c r="W31" s="668">
        <f t="shared" si="14"/>
        <v>100</v>
      </c>
      <c r="X31" s="1264"/>
      <c r="Y31" s="3702"/>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709"/>
      <c r="Q32" s="1262">
        <f t="shared" si="11"/>
        <v>111</v>
      </c>
      <c r="R32" s="667" t="s">
        <v>14</v>
      </c>
      <c r="S32" s="668">
        <f t="shared" si="12"/>
        <v>100</v>
      </c>
      <c r="T32" s="667" t="s">
        <v>14</v>
      </c>
      <c r="U32" s="668">
        <f t="shared" si="13"/>
        <v>100</v>
      </c>
      <c r="V32" s="667" t="s">
        <v>14</v>
      </c>
      <c r="W32" s="668">
        <f t="shared" si="14"/>
        <v>100</v>
      </c>
      <c r="X32" s="1264"/>
      <c r="Y32" s="3702"/>
      <c r="Z32" s="1263">
        <f t="shared" si="15"/>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703" t="s">
        <v>1696</v>
      </c>
      <c r="Q33" s="1262" t="str">
        <f t="shared" si="11"/>
        <v>建筑类型</v>
      </c>
      <c r="R33" s="667" t="s">
        <v>14</v>
      </c>
      <c r="S33" s="668">
        <f t="shared" si="12"/>
        <v>100</v>
      </c>
      <c r="T33" s="667" t="s">
        <v>14</v>
      </c>
      <c r="U33" s="668">
        <f t="shared" si="13"/>
        <v>100</v>
      </c>
      <c r="V33" s="667" t="s">
        <v>14</v>
      </c>
      <c r="W33" s="668">
        <f t="shared" si="14"/>
        <v>100</v>
      </c>
      <c r="X33" s="1264"/>
      <c r="Y33" s="3706"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704"/>
      <c r="Q34" s="531" t="str">
        <f t="shared" si="11"/>
        <v>项目建筑规模</v>
      </c>
      <c r="R34" s="669" t="s">
        <v>14</v>
      </c>
      <c r="S34" s="670" t="e">
        <f t="shared" si="12"/>
        <v>#N/A</v>
      </c>
      <c r="T34" s="669" t="s">
        <v>14</v>
      </c>
      <c r="U34" s="670" t="e">
        <f t="shared" si="13"/>
        <v>#N/A</v>
      </c>
      <c r="V34" s="669" t="s">
        <v>14</v>
      </c>
      <c r="W34" s="670" t="e">
        <f t="shared" si="14"/>
        <v>#N/A</v>
      </c>
      <c r="X34" s="671"/>
      <c r="Y34" s="3706"/>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704"/>
      <c r="Q35" s="1262" t="str">
        <f t="shared" si="11"/>
        <v>建筑结构</v>
      </c>
      <c r="R35" s="667" t="s">
        <v>14</v>
      </c>
      <c r="S35" s="668">
        <f t="shared" si="12"/>
        <v>100</v>
      </c>
      <c r="T35" s="667" t="s">
        <v>14</v>
      </c>
      <c r="U35" s="668">
        <f t="shared" si="13"/>
        <v>100</v>
      </c>
      <c r="V35" s="667" t="s">
        <v>14</v>
      </c>
      <c r="W35" s="668">
        <f t="shared" si="14"/>
        <v>100</v>
      </c>
      <c r="X35" s="1264"/>
      <c r="Y35" s="3706"/>
      <c r="Z35" s="1263" t="str">
        <f t="shared" si="15"/>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704"/>
      <c r="Q36" s="1262" t="str">
        <f t="shared" si="11"/>
        <v>公共部分装修</v>
      </c>
      <c r="R36" s="667" t="s">
        <v>14</v>
      </c>
      <c r="S36" s="668">
        <f t="shared" si="12"/>
        <v>100</v>
      </c>
      <c r="T36" s="667" t="s">
        <v>14</v>
      </c>
      <c r="U36" s="668">
        <f t="shared" si="13"/>
        <v>100</v>
      </c>
      <c r="V36" s="667" t="s">
        <v>14</v>
      </c>
      <c r="W36" s="668">
        <f t="shared" si="14"/>
        <v>100</v>
      </c>
      <c r="X36" s="1264"/>
      <c r="Y36" s="3706"/>
      <c r="Z36" s="1263" t="str">
        <f t="shared" si="15"/>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704"/>
      <c r="Q37" s="1262" t="str">
        <f t="shared" si="11"/>
        <v>成新度</v>
      </c>
      <c r="R37" s="667" t="s">
        <v>14</v>
      </c>
      <c r="S37" s="668" t="e">
        <f t="shared" si="12"/>
        <v>#N/A</v>
      </c>
      <c r="T37" s="667" t="s">
        <v>14</v>
      </c>
      <c r="U37" s="668" t="e">
        <f t="shared" si="13"/>
        <v>#N/A</v>
      </c>
      <c r="V37" s="667" t="s">
        <v>14</v>
      </c>
      <c r="W37" s="668" t="e">
        <f t="shared" si="14"/>
        <v>#N/A</v>
      </c>
      <c r="X37" s="1264"/>
      <c r="Y37" s="3706"/>
      <c r="Z37" s="1263" t="str">
        <f t="shared" si="15"/>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704"/>
      <c r="Q38" s="530" t="str">
        <f t="shared" si="11"/>
        <v>写字楼等级</v>
      </c>
      <c r="R38" s="664" t="s">
        <v>14</v>
      </c>
      <c r="S38" s="665">
        <f t="shared" si="12"/>
        <v>100</v>
      </c>
      <c r="T38" s="664" t="s">
        <v>14</v>
      </c>
      <c r="U38" s="665">
        <f t="shared" si="13"/>
        <v>100</v>
      </c>
      <c r="V38" s="664" t="s">
        <v>14</v>
      </c>
      <c r="W38" s="665">
        <f t="shared" si="14"/>
        <v>100</v>
      </c>
      <c r="X38" s="666"/>
      <c r="Y38" s="3706"/>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704" t="s">
        <v>1696</v>
      </c>
      <c r="Q39" s="1262" t="str">
        <f t="shared" si="11"/>
        <v>物业管理</v>
      </c>
      <c r="R39" s="667" t="s">
        <v>14</v>
      </c>
      <c r="S39" s="668">
        <f t="shared" si="12"/>
        <v>100</v>
      </c>
      <c r="T39" s="667" t="s">
        <v>14</v>
      </c>
      <c r="U39" s="668">
        <f t="shared" si="13"/>
        <v>100</v>
      </c>
      <c r="V39" s="667" t="s">
        <v>14</v>
      </c>
      <c r="W39" s="668">
        <f t="shared" si="14"/>
        <v>100</v>
      </c>
      <c r="X39" s="1264"/>
      <c r="Y39" s="3706" t="s">
        <v>1696</v>
      </c>
      <c r="Z39" s="1263" t="str">
        <f t="shared" si="15"/>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704"/>
      <c r="Q40" s="1262" t="str">
        <f t="shared" si="11"/>
        <v>市政基础设施</v>
      </c>
      <c r="R40" s="667" t="s">
        <v>14</v>
      </c>
      <c r="S40" s="668">
        <f t="shared" si="12"/>
        <v>100</v>
      </c>
      <c r="T40" s="667" t="s">
        <v>14</v>
      </c>
      <c r="U40" s="668">
        <f t="shared" si="13"/>
        <v>100</v>
      </c>
      <c r="V40" s="667" t="s">
        <v>14</v>
      </c>
      <c r="W40" s="668">
        <f t="shared" si="14"/>
        <v>100</v>
      </c>
      <c r="X40" s="1264"/>
      <c r="Y40" s="3706"/>
      <c r="Z40" s="1263" t="str">
        <f t="shared" si="15"/>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704"/>
      <c r="Q41" s="1262" t="str">
        <f t="shared" si="11"/>
        <v>层高</v>
      </c>
      <c r="R41" s="667" t="s">
        <v>14</v>
      </c>
      <c r="S41" s="668">
        <f t="shared" si="12"/>
        <v>100</v>
      </c>
      <c r="T41" s="667" t="s">
        <v>14</v>
      </c>
      <c r="U41" s="668">
        <f t="shared" si="13"/>
        <v>100</v>
      </c>
      <c r="V41" s="667" t="s">
        <v>14</v>
      </c>
      <c r="W41" s="668">
        <f t="shared" si="14"/>
        <v>100</v>
      </c>
      <c r="X41" s="1264"/>
      <c r="Y41" s="3706"/>
      <c r="Z41" s="1263" t="str">
        <f t="shared" si="15"/>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704"/>
      <c r="Q42" s="531" t="str">
        <f t="shared" si="11"/>
        <v>单套建筑面积</v>
      </c>
      <c r="R42" s="669" t="s">
        <v>14</v>
      </c>
      <c r="S42" s="670">
        <f t="shared" si="12"/>
        <v>100</v>
      </c>
      <c r="T42" s="669" t="s">
        <v>14</v>
      </c>
      <c r="U42" s="670">
        <f t="shared" si="13"/>
        <v>100</v>
      </c>
      <c r="V42" s="669" t="s">
        <v>14</v>
      </c>
      <c r="W42" s="670">
        <f t="shared" si="14"/>
        <v>100</v>
      </c>
      <c r="X42" s="671"/>
      <c r="Y42" s="3706"/>
      <c r="Z42" s="672" t="str">
        <f t="shared" si="15"/>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704"/>
      <c r="Q43" s="1262" t="str">
        <f t="shared" si="11"/>
        <v>内部装修</v>
      </c>
      <c r="R43" s="667" t="s">
        <v>14</v>
      </c>
      <c r="S43" s="668">
        <f t="shared" si="12"/>
        <v>100</v>
      </c>
      <c r="T43" s="667" t="s">
        <v>14</v>
      </c>
      <c r="U43" s="668">
        <f t="shared" si="13"/>
        <v>100</v>
      </c>
      <c r="V43" s="667" t="s">
        <v>14</v>
      </c>
      <c r="W43" s="668">
        <f t="shared" si="14"/>
        <v>100</v>
      </c>
      <c r="X43" s="1264"/>
      <c r="Y43" s="3706"/>
      <c r="Z43" s="1263" t="str">
        <f t="shared" si="15"/>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704"/>
      <c r="Q44" s="1262" t="str">
        <f t="shared" si="11"/>
        <v>内部装修维护情况</v>
      </c>
      <c r="R44" s="667" t="s">
        <v>14</v>
      </c>
      <c r="S44" s="668">
        <f t="shared" si="12"/>
        <v>100</v>
      </c>
      <c r="T44" s="667" t="s">
        <v>14</v>
      </c>
      <c r="U44" s="668">
        <f t="shared" si="13"/>
        <v>100</v>
      </c>
      <c r="V44" s="667" t="s">
        <v>14</v>
      </c>
      <c r="W44" s="668">
        <f t="shared" si="14"/>
        <v>100</v>
      </c>
      <c r="X44" s="1264"/>
      <c r="Y44" s="3706"/>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704"/>
      <c r="Q45" s="530">
        <f t="shared" si="11"/>
        <v>111</v>
      </c>
      <c r="R45" s="664" t="s">
        <v>14</v>
      </c>
      <c r="S45" s="665">
        <f t="shared" si="12"/>
        <v>100</v>
      </c>
      <c r="T45" s="664" t="s">
        <v>14</v>
      </c>
      <c r="U45" s="665">
        <f t="shared" si="13"/>
        <v>100</v>
      </c>
      <c r="V45" s="664" t="s">
        <v>14</v>
      </c>
      <c r="W45" s="665">
        <f t="shared" si="14"/>
        <v>100</v>
      </c>
      <c r="X45" s="666"/>
      <c r="Y45" s="37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704"/>
      <c r="Q46" s="1262">
        <f t="shared" si="11"/>
        <v>111</v>
      </c>
      <c r="R46" s="667" t="s">
        <v>14</v>
      </c>
      <c r="S46" s="668">
        <f t="shared" si="12"/>
        <v>100</v>
      </c>
      <c r="T46" s="667" t="s">
        <v>14</v>
      </c>
      <c r="U46" s="668">
        <f t="shared" si="13"/>
        <v>100</v>
      </c>
      <c r="V46" s="667" t="s">
        <v>14</v>
      </c>
      <c r="W46" s="668">
        <f t="shared" si="14"/>
        <v>100</v>
      </c>
      <c r="X46" s="1264"/>
      <c r="Y46" s="3706"/>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705"/>
      <c r="Q47" s="1262">
        <f t="shared" si="11"/>
        <v>111</v>
      </c>
      <c r="R47" s="667" t="s">
        <v>14</v>
      </c>
      <c r="S47" s="668">
        <f t="shared" si="12"/>
        <v>100</v>
      </c>
      <c r="T47" s="667" t="s">
        <v>14</v>
      </c>
      <c r="U47" s="668">
        <f t="shared" si="13"/>
        <v>100</v>
      </c>
      <c r="V47" s="667" t="s">
        <v>14</v>
      </c>
      <c r="W47" s="668">
        <f t="shared" si="14"/>
        <v>100</v>
      </c>
      <c r="X47" s="1264"/>
      <c r="Y47" s="3707"/>
      <c r="Z47" s="1263">
        <f t="shared" si="15"/>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682" t="str">
        <f>A48</f>
        <v>成交单价（元/平方米）</v>
      </c>
      <c r="Q48" s="3700"/>
      <c r="R48" s="3695">
        <f>E48</f>
        <v>0</v>
      </c>
      <c r="S48" s="3695"/>
      <c r="T48" s="3695">
        <f>G48</f>
        <v>0</v>
      </c>
      <c r="U48" s="3695"/>
      <c r="V48" s="3695">
        <f>I48</f>
        <v>0</v>
      </c>
      <c r="W48" s="3695"/>
      <c r="X48" s="385"/>
      <c r="Y48" s="673"/>
      <c r="Z48" s="385"/>
      <c r="AA48" s="385"/>
      <c r="AB48" s="385"/>
      <c r="AC48" s="555"/>
    </row>
    <row r="49" spans="1:29" ht="15.75" thickBot="1">
      <c r="A49" s="423" t="s">
        <v>1790</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682" t="str">
        <f>A49</f>
        <v>比较价值（元/平方米）</v>
      </c>
      <c r="Q49" s="3700"/>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2006-5</v>
      </c>
      <c r="D59" s="1103">
        <f>EDATE(C59,-1)</f>
        <v>38808</v>
      </c>
      <c r="E59" s="1103">
        <f>EDATE(D59,-1)</f>
        <v>38777</v>
      </c>
      <c r="F59" s="1103">
        <f t="shared" ref="F59:O59" si="16">EDATE(E59,-1)</f>
        <v>38749</v>
      </c>
      <c r="G59" s="1103">
        <f t="shared" si="16"/>
        <v>38718</v>
      </c>
      <c r="H59" s="1103">
        <f t="shared" si="16"/>
        <v>38687</v>
      </c>
      <c r="I59" s="1103">
        <f t="shared" si="16"/>
        <v>38657</v>
      </c>
      <c r="J59" s="1103">
        <f t="shared" si="16"/>
        <v>38626</v>
      </c>
      <c r="K59" s="1103">
        <f t="shared" si="16"/>
        <v>38596</v>
      </c>
      <c r="L59" s="1103">
        <f t="shared" si="16"/>
        <v>38565</v>
      </c>
      <c r="M59" s="1103">
        <f t="shared" si="16"/>
        <v>38534</v>
      </c>
      <c r="N59" s="1103">
        <f t="shared" si="16"/>
        <v>38504</v>
      </c>
      <c r="O59" s="1103">
        <f t="shared" si="16"/>
        <v>38473</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204.54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683" t="s">
        <v>1767</v>
      </c>
      <c r="D4" s="3684"/>
      <c r="E4" s="3685" t="s">
        <v>1768</v>
      </c>
      <c r="F4" s="3686"/>
      <c r="G4" s="3683" t="s">
        <v>1769</v>
      </c>
      <c r="H4" s="3684"/>
      <c r="I4" s="3683" t="s">
        <v>1770</v>
      </c>
      <c r="J4" s="3684"/>
      <c r="K4" s="537" t="s">
        <v>1771</v>
      </c>
      <c r="L4" s="860"/>
      <c r="M4" s="861"/>
      <c r="N4" s="861"/>
      <c r="O4" s="861"/>
      <c r="P4" s="3687" t="s">
        <v>1772</v>
      </c>
      <c r="Q4" s="3688"/>
      <c r="R4" s="3670" t="s">
        <v>1768</v>
      </c>
      <c r="S4" s="3671"/>
      <c r="T4" s="3670" t="s">
        <v>1769</v>
      </c>
      <c r="U4" s="3671"/>
      <c r="V4" s="3695" t="s">
        <v>1770</v>
      </c>
      <c r="W4" s="3695"/>
      <c r="X4" s="1264"/>
      <c r="Y4" s="3670" t="s">
        <v>1772</v>
      </c>
      <c r="Z4" s="3671"/>
      <c r="AA4" s="3665" t="s">
        <v>1768</v>
      </c>
      <c r="AB4" s="3666" t="s">
        <v>1769</v>
      </c>
      <c r="AC4" s="3665" t="s">
        <v>1770</v>
      </c>
    </row>
    <row r="5" spans="1:29" ht="15">
      <c r="A5" s="348"/>
      <c r="B5" s="349"/>
      <c r="C5" s="3679" t="s">
        <v>1673</v>
      </c>
      <c r="D5" s="3676"/>
      <c r="E5" s="3710" t="s">
        <v>1674</v>
      </c>
      <c r="F5" s="3674"/>
      <c r="G5" s="3679" t="s">
        <v>1675</v>
      </c>
      <c r="H5" s="3676"/>
      <c r="I5" s="3679" t="s">
        <v>1676</v>
      </c>
      <c r="J5" s="3676"/>
      <c r="K5" s="537"/>
      <c r="L5" s="860"/>
      <c r="M5" s="861"/>
      <c r="N5" s="861"/>
      <c r="O5" s="861"/>
      <c r="P5" s="3689"/>
      <c r="Q5" s="3690"/>
      <c r="R5" s="3672"/>
      <c r="S5" s="3673"/>
      <c r="T5" s="3672"/>
      <c r="U5" s="3673"/>
      <c r="V5" s="3695"/>
      <c r="W5" s="3695"/>
      <c r="X5" s="1264"/>
      <c r="Y5" s="3672"/>
      <c r="Z5" s="3673"/>
      <c r="AA5" s="3666"/>
      <c r="AB5" s="3666"/>
      <c r="AC5" s="3666"/>
    </row>
    <row r="6" spans="1:29" ht="15.75" thickBot="1">
      <c r="A6" s="350"/>
      <c r="B6" s="351"/>
      <c r="C6" s="3677" t="s">
        <v>1677</v>
      </c>
      <c r="D6" s="3678"/>
      <c r="E6" s="3680" t="s">
        <v>1677</v>
      </c>
      <c r="F6" s="3681"/>
      <c r="G6" s="3677" t="s">
        <v>1677</v>
      </c>
      <c r="H6" s="3678"/>
      <c r="I6" s="3677" t="s">
        <v>1677</v>
      </c>
      <c r="J6" s="3678"/>
      <c r="K6" s="537" t="s">
        <v>1678</v>
      </c>
      <c r="L6" s="860"/>
      <c r="M6" s="861"/>
      <c r="N6" s="861"/>
      <c r="O6" s="861"/>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c r="F7" s="357">
        <f>SUMIF(52:52,YEAR(E7)&amp;"-"&amp;MONTH(E7),53:53)</f>
        <v>0</v>
      </c>
      <c r="G7" s="356"/>
      <c r="H7" s="355">
        <f>SUMIF(52:52,YEAR(G7)&amp;"-"&amp;MONTH(G7),53:53)</f>
        <v>0</v>
      </c>
      <c r="I7" s="356"/>
      <c r="J7" s="355">
        <f>SUMIF(52:52,YEAR(I7)&amp;"-"&amp;MONTH(I7),53:53)</f>
        <v>0</v>
      </c>
      <c r="K7" s="38"/>
      <c r="L7" s="862"/>
      <c r="M7" s="863"/>
      <c r="N7" s="863"/>
      <c r="O7" s="863"/>
      <c r="P7" s="3668" t="s">
        <v>1680</v>
      </c>
      <c r="Q7" s="3696"/>
      <c r="R7" s="664" t="s">
        <v>14</v>
      </c>
      <c r="S7" s="665">
        <f t="shared" ref="S7:S15" si="0">F7</f>
        <v>0</v>
      </c>
      <c r="T7" s="664" t="s">
        <v>14</v>
      </c>
      <c r="U7" s="665">
        <f t="shared" ref="U7:U15" si="1">H7</f>
        <v>0</v>
      </c>
      <c r="V7" s="664" t="s">
        <v>14</v>
      </c>
      <c r="W7" s="665">
        <f t="shared" ref="W7:W15" si="2">J7</f>
        <v>0</v>
      </c>
      <c r="X7" s="666"/>
      <c r="Y7" s="3668" t="s">
        <v>1680</v>
      </c>
      <c r="Z7" s="36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68" t="s">
        <v>1683</v>
      </c>
      <c r="Q8" s="3669"/>
      <c r="R8" s="664" t="s">
        <v>14</v>
      </c>
      <c r="S8" s="665">
        <f t="shared" si="0"/>
        <v>100</v>
      </c>
      <c r="T8" s="664" t="s">
        <v>14</v>
      </c>
      <c r="U8" s="665">
        <f t="shared" si="1"/>
        <v>100</v>
      </c>
      <c r="V8" s="664" t="s">
        <v>14</v>
      </c>
      <c r="W8" s="665">
        <f t="shared" si="2"/>
        <v>100</v>
      </c>
      <c r="X8" s="666"/>
      <c r="Y8" s="3668" t="s">
        <v>1683</v>
      </c>
      <c r="Z8" s="36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700"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700"/>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700"/>
      <c r="Q11" s="530" t="str">
        <f t="shared" si="6"/>
        <v>容积率</v>
      </c>
      <c r="R11" s="664" t="s">
        <v>14</v>
      </c>
      <c r="S11" s="665">
        <f t="shared" si="0"/>
        <v>100</v>
      </c>
      <c r="T11" s="664" t="s">
        <v>14</v>
      </c>
      <c r="U11" s="665">
        <f t="shared" si="1"/>
        <v>100</v>
      </c>
      <c r="V11" s="664" t="s">
        <v>14</v>
      </c>
      <c r="W11" s="665">
        <f t="shared" si="2"/>
        <v>100</v>
      </c>
      <c r="X11" s="666"/>
      <c r="Y11" s="36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700"/>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700"/>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700"/>
      <c r="Q14" s="530">
        <f t="shared" si="6"/>
        <v>111</v>
      </c>
      <c r="R14" s="664" t="s">
        <v>14</v>
      </c>
      <c r="S14" s="665">
        <f t="shared" si="0"/>
        <v>100</v>
      </c>
      <c r="T14" s="664" t="s">
        <v>14</v>
      </c>
      <c r="U14" s="665">
        <f t="shared" si="1"/>
        <v>100</v>
      </c>
      <c r="V14" s="664" t="s">
        <v>14</v>
      </c>
      <c r="W14" s="665">
        <f t="shared" si="2"/>
        <v>100</v>
      </c>
      <c r="X14" s="666"/>
      <c r="Y14" s="3612"/>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701" t="s">
        <v>1691</v>
      </c>
      <c r="Q15" s="1262" t="str">
        <f t="shared" si="6"/>
        <v>产业集聚程度</v>
      </c>
      <c r="R15" s="667" t="s">
        <v>14</v>
      </c>
      <c r="S15" s="668">
        <f t="shared" si="0"/>
        <v>100</v>
      </c>
      <c r="T15" s="667" t="s">
        <v>14</v>
      </c>
      <c r="U15" s="668">
        <f t="shared" si="1"/>
        <v>100</v>
      </c>
      <c r="V15" s="667" t="s">
        <v>14</v>
      </c>
      <c r="W15" s="668">
        <f t="shared" si="2"/>
        <v>100</v>
      </c>
      <c r="X15" s="1264"/>
      <c r="Y15" s="370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702"/>
      <c r="Q16" s="1262"/>
      <c r="R16" s="667"/>
      <c r="S16" s="668"/>
      <c r="T16" s="667"/>
      <c r="U16" s="668"/>
      <c r="V16" s="667"/>
      <c r="W16" s="668"/>
      <c r="X16" s="1264"/>
      <c r="Y16" s="3702"/>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702"/>
      <c r="Q17" s="1262" t="str">
        <f>B17</f>
        <v>交通便捷度</v>
      </c>
      <c r="R17" s="667" t="s">
        <v>14</v>
      </c>
      <c r="S17" s="668">
        <f>F17</f>
        <v>100</v>
      </c>
      <c r="T17" s="667" t="s">
        <v>14</v>
      </c>
      <c r="U17" s="668">
        <f>H17</f>
        <v>100</v>
      </c>
      <c r="V17" s="667" t="s">
        <v>14</v>
      </c>
      <c r="W17" s="668">
        <f>J17</f>
        <v>100</v>
      </c>
      <c r="X17" s="1264"/>
      <c r="Y17" s="370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702"/>
      <c r="Q18" s="1262"/>
      <c r="R18" s="667"/>
      <c r="S18" s="668"/>
      <c r="T18" s="667"/>
      <c r="U18" s="668"/>
      <c r="V18" s="667"/>
      <c r="W18" s="668"/>
      <c r="X18" s="1264"/>
      <c r="Y18" s="3702"/>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702"/>
      <c r="Q19" s="1262" t="str">
        <f>B19</f>
        <v>公共配套设施</v>
      </c>
      <c r="R19" s="667" t="s">
        <v>14</v>
      </c>
      <c r="S19" s="668">
        <f>F19</f>
        <v>100</v>
      </c>
      <c r="T19" s="667" t="s">
        <v>14</v>
      </c>
      <c r="U19" s="668">
        <f>H19</f>
        <v>100</v>
      </c>
      <c r="V19" s="667" t="s">
        <v>14</v>
      </c>
      <c r="W19" s="668">
        <f>J19</f>
        <v>100</v>
      </c>
      <c r="X19" s="1264"/>
      <c r="Y19" s="370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702"/>
      <c r="Q20" s="1262"/>
      <c r="R20" s="667"/>
      <c r="S20" s="668"/>
      <c r="T20" s="667"/>
      <c r="U20" s="668"/>
      <c r="V20" s="667"/>
      <c r="W20" s="668"/>
      <c r="X20" s="1264"/>
      <c r="Y20" s="3702"/>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702"/>
      <c r="Q21" s="1262" t="str">
        <f>B21</f>
        <v>基础设施水平</v>
      </c>
      <c r="R21" s="667" t="s">
        <v>14</v>
      </c>
      <c r="S21" s="668">
        <f>F21</f>
        <v>100</v>
      </c>
      <c r="T21" s="667" t="s">
        <v>14</v>
      </c>
      <c r="U21" s="668">
        <f>H21</f>
        <v>100</v>
      </c>
      <c r="V21" s="667" t="s">
        <v>14</v>
      </c>
      <c r="W21" s="668">
        <f>J21</f>
        <v>100</v>
      </c>
      <c r="X21" s="1264"/>
      <c r="Y21" s="370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702"/>
      <c r="Q22" s="1262"/>
      <c r="R22" s="667"/>
      <c r="S22" s="668"/>
      <c r="T22" s="667"/>
      <c r="U22" s="668"/>
      <c r="V22" s="667"/>
      <c r="W22" s="668"/>
      <c r="X22" s="1264"/>
      <c r="Y22" s="3702"/>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702"/>
      <c r="Q23" s="1262" t="str">
        <f>B23</f>
        <v>环境质量</v>
      </c>
      <c r="R23" s="667" t="s">
        <v>14</v>
      </c>
      <c r="S23" s="668">
        <f>F23</f>
        <v>100</v>
      </c>
      <c r="T23" s="667" t="s">
        <v>14</v>
      </c>
      <c r="U23" s="668">
        <f>H23</f>
        <v>100</v>
      </c>
      <c r="V23" s="667" t="s">
        <v>14</v>
      </c>
      <c r="W23" s="668">
        <f>J23</f>
        <v>100</v>
      </c>
      <c r="X23" s="1264"/>
      <c r="Y23" s="3702"/>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702"/>
      <c r="Q24" s="1262"/>
      <c r="R24" s="667"/>
      <c r="S24" s="668"/>
      <c r="T24" s="667"/>
      <c r="U24" s="668"/>
      <c r="V24" s="667"/>
      <c r="W24" s="668"/>
      <c r="X24" s="1264"/>
      <c r="Y24" s="370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702"/>
      <c r="Q25" s="1262">
        <f>B25</f>
        <v>111</v>
      </c>
      <c r="R25" s="667" t="s">
        <v>14</v>
      </c>
      <c r="S25" s="668">
        <f>F25</f>
        <v>100</v>
      </c>
      <c r="T25" s="667" t="s">
        <v>14</v>
      </c>
      <c r="U25" s="668">
        <f>H25</f>
        <v>100</v>
      </c>
      <c r="V25" s="667" t="s">
        <v>14</v>
      </c>
      <c r="W25" s="668">
        <f>J25</f>
        <v>100</v>
      </c>
      <c r="X25" s="1264"/>
      <c r="Y25" s="370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702"/>
      <c r="Q26" s="1262">
        <f t="shared" ref="Q26:Q40" si="11">B26</f>
        <v>111</v>
      </c>
      <c r="R26" s="667" t="s">
        <v>14</v>
      </c>
      <c r="S26" s="668">
        <f>F26</f>
        <v>100</v>
      </c>
      <c r="T26" s="667" t="s">
        <v>14</v>
      </c>
      <c r="U26" s="668">
        <f>H26</f>
        <v>100</v>
      </c>
      <c r="V26" s="667" t="s">
        <v>14</v>
      </c>
      <c r="W26" s="668">
        <f>J26</f>
        <v>100</v>
      </c>
      <c r="X26" s="1264"/>
      <c r="Y26" s="370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702"/>
      <c r="Q27" s="530">
        <f t="shared" si="11"/>
        <v>111</v>
      </c>
      <c r="R27" s="664" t="s">
        <v>14</v>
      </c>
      <c r="S27" s="665">
        <f>F27</f>
        <v>100</v>
      </c>
      <c r="T27" s="664" t="s">
        <v>14</v>
      </c>
      <c r="U27" s="665">
        <f>H27</f>
        <v>100</v>
      </c>
      <c r="V27" s="664" t="s">
        <v>14</v>
      </c>
      <c r="W27" s="665">
        <f>J27</f>
        <v>100</v>
      </c>
      <c r="X27" s="666"/>
      <c r="Y27" s="370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702"/>
      <c r="Q28" s="1262">
        <f t="shared" si="11"/>
        <v>111</v>
      </c>
      <c r="R28" s="667" t="s">
        <v>14</v>
      </c>
      <c r="S28" s="668">
        <f t="shared" ref="S28:S40" si="12">F28</f>
        <v>100</v>
      </c>
      <c r="T28" s="667" t="s">
        <v>14</v>
      </c>
      <c r="U28" s="668">
        <f t="shared" ref="U28:U40" si="13">H28</f>
        <v>100</v>
      </c>
      <c r="V28" s="667" t="s">
        <v>14</v>
      </c>
      <c r="W28" s="668">
        <f t="shared" ref="W28:W40" si="14">J28</f>
        <v>100</v>
      </c>
      <c r="X28" s="1264"/>
      <c r="Y28" s="3702"/>
      <c r="Z28" s="1263">
        <f t="shared" ref="Z28:Z40" si="15">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726" t="s">
        <v>1696</v>
      </c>
      <c r="Q29" s="1262" t="str">
        <f t="shared" si="11"/>
        <v>建筑类型</v>
      </c>
      <c r="R29" s="667" t="s">
        <v>14</v>
      </c>
      <c r="S29" s="668">
        <f t="shared" si="12"/>
        <v>100</v>
      </c>
      <c r="T29" s="667" t="s">
        <v>14</v>
      </c>
      <c r="U29" s="668">
        <f t="shared" si="13"/>
        <v>100</v>
      </c>
      <c r="V29" s="667" t="s">
        <v>14</v>
      </c>
      <c r="W29" s="668">
        <f t="shared" si="14"/>
        <v>100</v>
      </c>
      <c r="X29" s="1264"/>
      <c r="Y29" s="370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706"/>
      <c r="Q30" s="531" t="str">
        <f t="shared" si="11"/>
        <v>项目建筑规模</v>
      </c>
      <c r="R30" s="669" t="s">
        <v>14</v>
      </c>
      <c r="S30" s="670" t="e">
        <f t="shared" si="12"/>
        <v>#N/A</v>
      </c>
      <c r="T30" s="669" t="s">
        <v>14</v>
      </c>
      <c r="U30" s="670" t="e">
        <f t="shared" si="13"/>
        <v>#N/A</v>
      </c>
      <c r="V30" s="669" t="s">
        <v>14</v>
      </c>
      <c r="W30" s="670" t="e">
        <f t="shared" si="14"/>
        <v>#N/A</v>
      </c>
      <c r="X30" s="671"/>
      <c r="Y30" s="370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706"/>
      <c r="Q31" s="1262" t="str">
        <f t="shared" si="11"/>
        <v>建筑结构</v>
      </c>
      <c r="R31" s="667" t="s">
        <v>14</v>
      </c>
      <c r="S31" s="668">
        <f t="shared" si="12"/>
        <v>100</v>
      </c>
      <c r="T31" s="667" t="s">
        <v>14</v>
      </c>
      <c r="U31" s="668">
        <f t="shared" si="13"/>
        <v>100</v>
      </c>
      <c r="V31" s="667" t="s">
        <v>14</v>
      </c>
      <c r="W31" s="668">
        <f t="shared" si="14"/>
        <v>100</v>
      </c>
      <c r="X31" s="1264"/>
      <c r="Y31" s="3706"/>
      <c r="Z31" s="1263" t="str">
        <f t="shared" si="15"/>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706"/>
      <c r="Q32" s="1262" t="str">
        <f t="shared" si="11"/>
        <v>公共部分装修</v>
      </c>
      <c r="R32" s="667" t="s">
        <v>14</v>
      </c>
      <c r="S32" s="668">
        <f t="shared" si="12"/>
        <v>100</v>
      </c>
      <c r="T32" s="667" t="s">
        <v>14</v>
      </c>
      <c r="U32" s="668">
        <f t="shared" si="13"/>
        <v>100</v>
      </c>
      <c r="V32" s="667" t="s">
        <v>14</v>
      </c>
      <c r="W32" s="668">
        <f t="shared" si="14"/>
        <v>100</v>
      </c>
      <c r="X32" s="1264"/>
      <c r="Y32" s="3706"/>
      <c r="Z32" s="1263" t="str">
        <f t="shared" si="15"/>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706"/>
      <c r="Q33" s="1262" t="str">
        <f t="shared" si="11"/>
        <v>成新度</v>
      </c>
      <c r="R33" s="667" t="s">
        <v>14</v>
      </c>
      <c r="S33" s="668" t="e">
        <f t="shared" si="12"/>
        <v>#N/A</v>
      </c>
      <c r="T33" s="667" t="s">
        <v>14</v>
      </c>
      <c r="U33" s="668" t="e">
        <f t="shared" si="13"/>
        <v>#N/A</v>
      </c>
      <c r="V33" s="667" t="s">
        <v>14</v>
      </c>
      <c r="W33" s="668" t="e">
        <f t="shared" si="14"/>
        <v>#N/A</v>
      </c>
      <c r="X33" s="1264"/>
      <c r="Y33" s="3706"/>
      <c r="Z33" s="1263" t="str">
        <f t="shared" si="15"/>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706"/>
      <c r="Q34" s="530" t="str">
        <f t="shared" si="11"/>
        <v>物业管理</v>
      </c>
      <c r="R34" s="664" t="s">
        <v>14</v>
      </c>
      <c r="S34" s="665">
        <f t="shared" si="12"/>
        <v>100</v>
      </c>
      <c r="T34" s="664" t="s">
        <v>14</v>
      </c>
      <c r="U34" s="665">
        <f t="shared" si="13"/>
        <v>100</v>
      </c>
      <c r="V34" s="664" t="s">
        <v>14</v>
      </c>
      <c r="W34" s="665">
        <f t="shared" si="14"/>
        <v>100</v>
      </c>
      <c r="X34" s="666"/>
      <c r="Y34" s="370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706" t="s">
        <v>1696</v>
      </c>
      <c r="Q35" s="1262" t="str">
        <f t="shared" si="11"/>
        <v>市政基础设施</v>
      </c>
      <c r="R35" s="667" t="s">
        <v>14</v>
      </c>
      <c r="S35" s="668">
        <f t="shared" si="12"/>
        <v>100</v>
      </c>
      <c r="T35" s="667" t="s">
        <v>14</v>
      </c>
      <c r="U35" s="668">
        <f t="shared" si="13"/>
        <v>100</v>
      </c>
      <c r="V35" s="667" t="s">
        <v>14</v>
      </c>
      <c r="W35" s="668">
        <f t="shared" si="14"/>
        <v>100</v>
      </c>
      <c r="X35" s="1264"/>
      <c r="Y35" s="3706" t="s">
        <v>1696</v>
      </c>
      <c r="Z35" s="1263" t="str">
        <f t="shared" si="15"/>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706"/>
      <c r="Q36" s="1262" t="str">
        <f t="shared" si="11"/>
        <v>内部装修</v>
      </c>
      <c r="R36" s="667" t="s">
        <v>14</v>
      </c>
      <c r="S36" s="668">
        <f t="shared" si="12"/>
        <v>100</v>
      </c>
      <c r="T36" s="667" t="s">
        <v>14</v>
      </c>
      <c r="U36" s="668">
        <f t="shared" si="13"/>
        <v>100</v>
      </c>
      <c r="V36" s="667" t="s">
        <v>14</v>
      </c>
      <c r="W36" s="668">
        <f t="shared" si="14"/>
        <v>100</v>
      </c>
      <c r="X36" s="1264"/>
      <c r="Y36" s="3706"/>
      <c r="Z36" s="1263" t="str">
        <f t="shared" si="15"/>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706"/>
      <c r="Q37" s="1262" t="str">
        <f t="shared" si="11"/>
        <v>内部装修状况</v>
      </c>
      <c r="R37" s="667" t="s">
        <v>14</v>
      </c>
      <c r="S37" s="668">
        <f t="shared" si="12"/>
        <v>100</v>
      </c>
      <c r="T37" s="667" t="s">
        <v>14</v>
      </c>
      <c r="U37" s="668">
        <f t="shared" si="13"/>
        <v>100</v>
      </c>
      <c r="V37" s="667" t="s">
        <v>14</v>
      </c>
      <c r="W37" s="668">
        <f t="shared" si="14"/>
        <v>100</v>
      </c>
      <c r="X37" s="1264"/>
      <c r="Y37" s="370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706"/>
      <c r="Q38" s="531">
        <f t="shared" si="11"/>
        <v>111</v>
      </c>
      <c r="R38" s="669" t="s">
        <v>14</v>
      </c>
      <c r="S38" s="670">
        <f t="shared" si="12"/>
        <v>100</v>
      </c>
      <c r="T38" s="669" t="s">
        <v>14</v>
      </c>
      <c r="U38" s="670">
        <f t="shared" si="13"/>
        <v>100</v>
      </c>
      <c r="V38" s="669" t="s">
        <v>14</v>
      </c>
      <c r="W38" s="670">
        <f t="shared" si="14"/>
        <v>100</v>
      </c>
      <c r="X38" s="671"/>
      <c r="Y38" s="370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706"/>
      <c r="Q39" s="1262">
        <f t="shared" si="11"/>
        <v>111</v>
      </c>
      <c r="R39" s="667" t="s">
        <v>14</v>
      </c>
      <c r="S39" s="668">
        <f t="shared" si="12"/>
        <v>100</v>
      </c>
      <c r="T39" s="667" t="s">
        <v>14</v>
      </c>
      <c r="U39" s="668">
        <f t="shared" si="13"/>
        <v>100</v>
      </c>
      <c r="V39" s="667" t="s">
        <v>14</v>
      </c>
      <c r="W39" s="668">
        <f t="shared" si="14"/>
        <v>100</v>
      </c>
      <c r="X39" s="1264"/>
      <c r="Y39" s="3706"/>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707"/>
      <c r="Q40" s="1262">
        <f t="shared" si="11"/>
        <v>111</v>
      </c>
      <c r="R40" s="667" t="s">
        <v>14</v>
      </c>
      <c r="S40" s="668">
        <f t="shared" si="12"/>
        <v>100</v>
      </c>
      <c r="T40" s="667" t="s">
        <v>14</v>
      </c>
      <c r="U40" s="668">
        <f t="shared" si="13"/>
        <v>100</v>
      </c>
      <c r="V40" s="667" t="s">
        <v>14</v>
      </c>
      <c r="W40" s="668">
        <f t="shared" si="14"/>
        <v>100</v>
      </c>
      <c r="X40" s="1264"/>
      <c r="Y40" s="3707"/>
      <c r="Z40" s="1263">
        <f t="shared" si="15"/>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700" t="str">
        <f>A41</f>
        <v>成交单价（元/平方米）</v>
      </c>
      <c r="Q41" s="3700"/>
      <c r="R41" s="3695">
        <f>E41</f>
        <v>0</v>
      </c>
      <c r="S41" s="3695"/>
      <c r="T41" s="3695">
        <f>G41</f>
        <v>0</v>
      </c>
      <c r="U41" s="3695"/>
      <c r="V41" s="3695">
        <f>I41</f>
        <v>0</v>
      </c>
      <c r="W41" s="3695"/>
      <c r="X41" s="385"/>
      <c r="Y41" s="673"/>
      <c r="Z41" s="385"/>
      <c r="AA41" s="385"/>
      <c r="AB41" s="385"/>
      <c r="AC41" s="385"/>
    </row>
    <row r="42" spans="1:29" ht="15.75" thickBot="1">
      <c r="A42" s="423" t="s">
        <v>1790</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700" t="str">
        <f>A42</f>
        <v>比较价值（元/平方米）</v>
      </c>
      <c r="Q42" s="3700"/>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2006-5</v>
      </c>
      <c r="D52" s="1103">
        <f>EDATE(C52,-1)</f>
        <v>38808</v>
      </c>
      <c r="E52" s="1103">
        <f t="shared" ref="E52:O52" si="16">EDATE(D52,-1)</f>
        <v>38777</v>
      </c>
      <c r="F52" s="1103">
        <f t="shared" si="16"/>
        <v>38749</v>
      </c>
      <c r="G52" s="1103">
        <f t="shared" si="16"/>
        <v>38718</v>
      </c>
      <c r="H52" s="1103">
        <f t="shared" si="16"/>
        <v>38687</v>
      </c>
      <c r="I52" s="1103">
        <f t="shared" si="16"/>
        <v>38657</v>
      </c>
      <c r="J52" s="1103">
        <f t="shared" si="16"/>
        <v>38626</v>
      </c>
      <c r="K52" s="1103">
        <f t="shared" si="16"/>
        <v>38596</v>
      </c>
      <c r="L52" s="1103">
        <f t="shared" si="16"/>
        <v>38565</v>
      </c>
      <c r="M52" s="1103">
        <f t="shared" si="16"/>
        <v>38534</v>
      </c>
      <c r="N52" s="1103">
        <f t="shared" si="16"/>
        <v>38504</v>
      </c>
      <c r="O52" s="1103">
        <f t="shared" si="16"/>
        <v>38473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687" t="s">
        <v>1772</v>
      </c>
      <c r="Q4" s="3688"/>
      <c r="R4" s="3670" t="s">
        <v>1768</v>
      </c>
      <c r="S4" s="3671"/>
      <c r="T4" s="3670" t="s">
        <v>1769</v>
      </c>
      <c r="U4" s="3671"/>
      <c r="V4" s="3695" t="s">
        <v>1770</v>
      </c>
      <c r="W4" s="3695"/>
      <c r="X4" s="1264"/>
      <c r="Y4" s="3670" t="s">
        <v>1772</v>
      </c>
      <c r="Z4" s="3671"/>
      <c r="AA4" s="3665" t="s">
        <v>1768</v>
      </c>
      <c r="AB4" s="3666" t="s">
        <v>1769</v>
      </c>
      <c r="AC4" s="3665" t="s">
        <v>1770</v>
      </c>
    </row>
    <row r="5" spans="1:29" ht="15">
      <c r="A5" s="348"/>
      <c r="B5" s="349"/>
      <c r="C5" s="3679" t="s">
        <v>1673</v>
      </c>
      <c r="D5" s="3676"/>
      <c r="E5" s="3710" t="s">
        <v>1674</v>
      </c>
      <c r="F5" s="3674"/>
      <c r="G5" s="3679" t="s">
        <v>1675</v>
      </c>
      <c r="H5" s="3676"/>
      <c r="I5" s="3679" t="s">
        <v>1676</v>
      </c>
      <c r="J5" s="3676"/>
      <c r="K5" s="537"/>
      <c r="L5" s="2482"/>
      <c r="M5" s="2483"/>
      <c r="N5" s="2483"/>
      <c r="O5" s="2483"/>
      <c r="P5" s="3689"/>
      <c r="Q5" s="3690"/>
      <c r="R5" s="3672"/>
      <c r="S5" s="3673"/>
      <c r="T5" s="3672"/>
      <c r="U5" s="3673"/>
      <c r="V5" s="3695"/>
      <c r="W5" s="3695"/>
      <c r="X5" s="1264"/>
      <c r="Y5" s="3672"/>
      <c r="Z5" s="3673"/>
      <c r="AA5" s="3666"/>
      <c r="AB5" s="3666"/>
      <c r="AC5" s="3666"/>
    </row>
    <row r="6" spans="1:29" ht="15.75" thickBot="1">
      <c r="A6" s="350"/>
      <c r="B6" s="351"/>
      <c r="C6" s="3677" t="s">
        <v>1677</v>
      </c>
      <c r="D6" s="3678"/>
      <c r="E6" s="3680" t="s">
        <v>1677</v>
      </c>
      <c r="F6" s="3681"/>
      <c r="G6" s="3677" t="s">
        <v>1677</v>
      </c>
      <c r="H6" s="3678"/>
      <c r="I6" s="3677" t="s">
        <v>1677</v>
      </c>
      <c r="J6" s="3678"/>
      <c r="K6" s="537" t="s">
        <v>1678</v>
      </c>
      <c r="L6" s="2482"/>
      <c r="M6" s="2483"/>
      <c r="N6" s="2483"/>
      <c r="O6" s="2483"/>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c r="F7" s="357">
        <f>SUMIF(48:48,YEAR(E7)&amp;"-"&amp;MONTH(E7),49:49)</f>
        <v>0</v>
      </c>
      <c r="G7" s="356"/>
      <c r="H7" s="355">
        <f>SUMIF(48:48,YEAR(G7)&amp;"-"&amp;MONTH(G7),49:49)</f>
        <v>0</v>
      </c>
      <c r="I7" s="356"/>
      <c r="J7" s="355">
        <f>SUMIF(48:48,YEAR(I7)&amp;"-"&amp;MONTH(I7),49:49)</f>
        <v>0</v>
      </c>
      <c r="K7" s="38"/>
      <c r="L7" s="2484"/>
      <c r="M7" s="2435"/>
      <c r="N7" s="2435"/>
      <c r="O7" s="2435"/>
      <c r="P7" s="3668" t="s">
        <v>1680</v>
      </c>
      <c r="Q7" s="3696"/>
      <c r="R7" s="664" t="s">
        <v>14</v>
      </c>
      <c r="S7" s="665">
        <f t="shared" ref="S7:S14" si="0">F7</f>
        <v>0</v>
      </c>
      <c r="T7" s="664" t="s">
        <v>14</v>
      </c>
      <c r="U7" s="665">
        <f t="shared" ref="U7:U14" si="1">H7</f>
        <v>0</v>
      </c>
      <c r="V7" s="664" t="s">
        <v>14</v>
      </c>
      <c r="W7" s="665">
        <f t="shared" ref="W7:W14" si="2">J7</f>
        <v>0</v>
      </c>
      <c r="X7" s="666"/>
      <c r="Y7" s="3668" t="s">
        <v>1680</v>
      </c>
      <c r="Z7" s="36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668" t="s">
        <v>1683</v>
      </c>
      <c r="Q8" s="3669"/>
      <c r="R8" s="664" t="s">
        <v>14</v>
      </c>
      <c r="S8" s="665">
        <f t="shared" si="0"/>
        <v>100</v>
      </c>
      <c r="T8" s="664" t="s">
        <v>14</v>
      </c>
      <c r="U8" s="665">
        <f t="shared" si="1"/>
        <v>100</v>
      </c>
      <c r="V8" s="664" t="s">
        <v>14</v>
      </c>
      <c r="W8" s="665">
        <f t="shared" si="2"/>
        <v>100</v>
      </c>
      <c r="X8" s="666"/>
      <c r="Y8" s="3668" t="s">
        <v>1683</v>
      </c>
      <c r="Z8" s="36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700" t="s">
        <v>1686</v>
      </c>
      <c r="Q9" s="530" t="str">
        <f t="shared" ref="Q9:Q14" si="6">B9</f>
        <v>用途</v>
      </c>
      <c r="R9" s="664" t="s">
        <v>14</v>
      </c>
      <c r="S9" s="665">
        <f t="shared" si="0"/>
        <v>100</v>
      </c>
      <c r="T9" s="664" t="s">
        <v>14</v>
      </c>
      <c r="U9" s="665">
        <f t="shared" si="1"/>
        <v>100</v>
      </c>
      <c r="V9" s="664" t="s">
        <v>14</v>
      </c>
      <c r="W9" s="665">
        <f t="shared" si="2"/>
        <v>100</v>
      </c>
      <c r="X9" s="666"/>
      <c r="Y9" s="3612"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700"/>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700"/>
      <c r="Q11" s="530">
        <f t="shared" si="6"/>
        <v>111</v>
      </c>
      <c r="R11" s="664" t="s">
        <v>14</v>
      </c>
      <c r="S11" s="665">
        <f t="shared" si="0"/>
        <v>100</v>
      </c>
      <c r="T11" s="664" t="s">
        <v>14</v>
      </c>
      <c r="U11" s="665">
        <f t="shared" si="1"/>
        <v>100</v>
      </c>
      <c r="V11" s="664" t="s">
        <v>14</v>
      </c>
      <c r="W11" s="665">
        <f t="shared" si="2"/>
        <v>100</v>
      </c>
      <c r="X11" s="666"/>
      <c r="Y11" s="36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700"/>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700"/>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50">
        <f t="shared" si="5"/>
        <v>1</v>
      </c>
    </row>
    <row r="14" spans="1:29" ht="114">
      <c r="A14" s="345" t="s">
        <v>1690</v>
      </c>
      <c r="B14" s="554" t="s">
        <v>1830</v>
      </c>
      <c r="C14" s="1815" t="str">
        <f>IF(B1="工业",估价对象房地状况!G4,估价对象房地状况!C6)</f>
        <v>周边有601路、709路等多条公交线路，综合评价交通便捷度一般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701" t="s">
        <v>1691</v>
      </c>
      <c r="Q14" s="1262" t="str">
        <f t="shared" si="6"/>
        <v>交通便捷度</v>
      </c>
      <c r="R14" s="667" t="s">
        <v>14</v>
      </c>
      <c r="S14" s="668">
        <f t="shared" si="0"/>
        <v>100</v>
      </c>
      <c r="T14" s="667" t="s">
        <v>14</v>
      </c>
      <c r="U14" s="668">
        <f t="shared" si="1"/>
        <v>100</v>
      </c>
      <c r="V14" s="667" t="s">
        <v>14</v>
      </c>
      <c r="W14" s="668">
        <f t="shared" si="2"/>
        <v>100</v>
      </c>
      <c r="X14" s="1264"/>
      <c r="Y14" s="370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702"/>
      <c r="Q15" s="1262"/>
      <c r="R15" s="667"/>
      <c r="S15" s="668"/>
      <c r="T15" s="667"/>
      <c r="U15" s="668"/>
      <c r="V15" s="667"/>
      <c r="W15" s="668"/>
      <c r="X15" s="1264"/>
      <c r="Y15" s="3702"/>
      <c r="Z15" s="1263"/>
      <c r="AA15" s="1263">
        <v>1</v>
      </c>
      <c r="AB15" s="1263">
        <v>1</v>
      </c>
      <c r="AC15" s="1263">
        <v>1</v>
      </c>
    </row>
    <row r="16" spans="1:29" ht="356.25">
      <c r="A16" s="348"/>
      <c r="B16" s="556"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702"/>
      <c r="Q16" s="1262" t="str">
        <f>B16</f>
        <v>公共配套设施</v>
      </c>
      <c r="R16" s="667" t="s">
        <v>14</v>
      </c>
      <c r="S16" s="668">
        <f>F16</f>
        <v>100</v>
      </c>
      <c r="T16" s="667" t="s">
        <v>14</v>
      </c>
      <c r="U16" s="668">
        <f>H16</f>
        <v>100</v>
      </c>
      <c r="V16" s="667" t="s">
        <v>14</v>
      </c>
      <c r="W16" s="668">
        <f>J16</f>
        <v>100</v>
      </c>
      <c r="X16" s="1264"/>
      <c r="Y16" s="3702"/>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702"/>
      <c r="Q17" s="1262"/>
      <c r="R17" s="667"/>
      <c r="S17" s="668"/>
      <c r="T17" s="667"/>
      <c r="U17" s="668"/>
      <c r="V17" s="667"/>
      <c r="W17" s="668"/>
      <c r="X17" s="1264"/>
      <c r="Y17" s="3702"/>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702"/>
      <c r="Q18" s="1262" t="str">
        <f>B18</f>
        <v>基础设施水平</v>
      </c>
      <c r="R18" s="667" t="s">
        <v>14</v>
      </c>
      <c r="S18" s="668">
        <f>F18</f>
        <v>100</v>
      </c>
      <c r="T18" s="667" t="s">
        <v>14</v>
      </c>
      <c r="U18" s="668">
        <f>H18</f>
        <v>100</v>
      </c>
      <c r="V18" s="667" t="s">
        <v>14</v>
      </c>
      <c r="W18" s="668">
        <f>J18</f>
        <v>100</v>
      </c>
      <c r="X18" s="1264"/>
      <c r="Y18" s="3702"/>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8"/>
      <c r="M19" s="2483"/>
      <c r="N19" s="2483"/>
      <c r="O19" s="2483"/>
      <c r="P19" s="3702"/>
      <c r="Q19" s="1262"/>
      <c r="R19" s="667"/>
      <c r="S19" s="668"/>
      <c r="T19" s="667"/>
      <c r="U19" s="668"/>
      <c r="V19" s="667"/>
      <c r="W19" s="668"/>
      <c r="X19" s="1264"/>
      <c r="Y19" s="3702"/>
      <c r="Z19" s="1263"/>
      <c r="AA19" s="1263">
        <v>1</v>
      </c>
      <c r="AB19" s="1263">
        <v>1</v>
      </c>
      <c r="AC19" s="1263">
        <v>1</v>
      </c>
    </row>
    <row r="20" spans="1:29" ht="142.5">
      <c r="A20" s="348"/>
      <c r="B20" s="556" t="s">
        <v>1831</v>
      </c>
      <c r="C20" s="1752" t="str">
        <f>IF(B1="工业",估价对象房地状况!G7,估价对象房地状况!C9)</f>
        <v>人文环境：首都师范大学等人文场所；
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702"/>
      <c r="Q20" s="1262" t="str">
        <f>B20</f>
        <v>自然及人文环境</v>
      </c>
      <c r="R20" s="667" t="s">
        <v>14</v>
      </c>
      <c r="S20" s="668">
        <f>F20</f>
        <v>100</v>
      </c>
      <c r="T20" s="667" t="s">
        <v>14</v>
      </c>
      <c r="U20" s="668">
        <f>H20</f>
        <v>100</v>
      </c>
      <c r="V20" s="667" t="s">
        <v>14</v>
      </c>
      <c r="W20" s="668">
        <f>J20</f>
        <v>100</v>
      </c>
      <c r="X20" s="1264"/>
      <c r="Y20" s="370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702"/>
      <c r="Q21" s="1262"/>
      <c r="R21" s="667"/>
      <c r="S21" s="668"/>
      <c r="T21" s="667"/>
      <c r="U21" s="668"/>
      <c r="V21" s="667"/>
      <c r="W21" s="668"/>
      <c r="X21" s="1264"/>
      <c r="Y21" s="3702"/>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702"/>
      <c r="Q22" s="1262" t="str">
        <f>B22</f>
        <v>楼层</v>
      </c>
      <c r="R22" s="667" t="s">
        <v>14</v>
      </c>
      <c r="S22" s="668">
        <f>F22</f>
        <v>100</v>
      </c>
      <c r="T22" s="667" t="s">
        <v>14</v>
      </c>
      <c r="U22" s="668">
        <f>H22</f>
        <v>100</v>
      </c>
      <c r="V22" s="667" t="s">
        <v>14</v>
      </c>
      <c r="W22" s="668">
        <f>J22</f>
        <v>100</v>
      </c>
      <c r="X22" s="1264"/>
      <c r="Y22" s="370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702"/>
      <c r="Q23" s="1262">
        <f>B23</f>
        <v>111</v>
      </c>
      <c r="R23" s="667" t="s">
        <v>14</v>
      </c>
      <c r="S23" s="668">
        <f>F23</f>
        <v>100</v>
      </c>
      <c r="T23" s="667" t="s">
        <v>14</v>
      </c>
      <c r="U23" s="668">
        <f>H23</f>
        <v>100</v>
      </c>
      <c r="V23" s="667" t="s">
        <v>14</v>
      </c>
      <c r="W23" s="668">
        <f>J23</f>
        <v>100</v>
      </c>
      <c r="X23" s="1264"/>
      <c r="Y23" s="370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702"/>
      <c r="Q24" s="1262">
        <f t="shared" ref="Q24:Q36" si="11">B24</f>
        <v>111</v>
      </c>
      <c r="R24" s="667" t="s">
        <v>14</v>
      </c>
      <c r="S24" s="668">
        <f>F24</f>
        <v>100</v>
      </c>
      <c r="T24" s="667" t="s">
        <v>14</v>
      </c>
      <c r="U24" s="668">
        <f>H24</f>
        <v>100</v>
      </c>
      <c r="V24" s="667" t="s">
        <v>14</v>
      </c>
      <c r="W24" s="668">
        <f>J24</f>
        <v>100</v>
      </c>
      <c r="X24" s="1264"/>
      <c r="Y24" s="370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702"/>
      <c r="Q25" s="530">
        <f t="shared" si="11"/>
        <v>111</v>
      </c>
      <c r="R25" s="664" t="s">
        <v>14</v>
      </c>
      <c r="S25" s="665">
        <f>F25</f>
        <v>100</v>
      </c>
      <c r="T25" s="664" t="s">
        <v>14</v>
      </c>
      <c r="U25" s="665">
        <f>H25</f>
        <v>100</v>
      </c>
      <c r="V25" s="664" t="s">
        <v>14</v>
      </c>
      <c r="W25" s="665">
        <f>J25</f>
        <v>100</v>
      </c>
      <c r="X25" s="666"/>
      <c r="Y25" s="3702"/>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72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706" t="s">
        <v>1696</v>
      </c>
      <c r="Z26" s="1263" t="str">
        <f t="shared" ref="Z26:Z36" si="15">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706"/>
      <c r="Q27" s="531" t="str">
        <f t="shared" si="11"/>
        <v>项目停车位配比</v>
      </c>
      <c r="R27" s="669" t="s">
        <v>14</v>
      </c>
      <c r="S27" s="670">
        <f t="shared" si="12"/>
        <v>100</v>
      </c>
      <c r="T27" s="669" t="s">
        <v>14</v>
      </c>
      <c r="U27" s="670">
        <f t="shared" si="13"/>
        <v>100</v>
      </c>
      <c r="V27" s="669" t="s">
        <v>14</v>
      </c>
      <c r="W27" s="670">
        <f t="shared" si="14"/>
        <v>100</v>
      </c>
      <c r="X27" s="671"/>
      <c r="Y27" s="3706"/>
      <c r="Z27" s="672" t="str">
        <f t="shared" si="15"/>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706"/>
      <c r="Q28" s="1262" t="str">
        <f t="shared" si="11"/>
        <v>公共部分装修</v>
      </c>
      <c r="R28" s="667" t="s">
        <v>14</v>
      </c>
      <c r="S28" s="668">
        <f t="shared" si="12"/>
        <v>100</v>
      </c>
      <c r="T28" s="667" t="s">
        <v>14</v>
      </c>
      <c r="U28" s="668">
        <f t="shared" si="13"/>
        <v>100</v>
      </c>
      <c r="V28" s="667" t="s">
        <v>14</v>
      </c>
      <c r="W28" s="668">
        <f t="shared" si="14"/>
        <v>100</v>
      </c>
      <c r="X28" s="1264"/>
      <c r="Y28" s="3706"/>
      <c r="Z28" s="1263" t="str">
        <f t="shared" si="15"/>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706"/>
      <c r="Q29" s="1262" t="str">
        <f t="shared" si="11"/>
        <v>成新率</v>
      </c>
      <c r="R29" s="667" t="s">
        <v>14</v>
      </c>
      <c r="S29" s="668" t="e">
        <f t="shared" si="12"/>
        <v>#N/A</v>
      </c>
      <c r="T29" s="667" t="s">
        <v>14</v>
      </c>
      <c r="U29" s="668" t="e">
        <f t="shared" si="13"/>
        <v>#N/A</v>
      </c>
      <c r="V29" s="667" t="s">
        <v>14</v>
      </c>
      <c r="W29" s="668" t="e">
        <f t="shared" si="14"/>
        <v>#N/A</v>
      </c>
      <c r="X29" s="1264"/>
      <c r="Y29" s="3706"/>
      <c r="Z29" s="1263" t="str">
        <f t="shared" si="15"/>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706"/>
      <c r="Q30" s="1262" t="str">
        <f t="shared" si="11"/>
        <v>物业等级</v>
      </c>
      <c r="R30" s="667" t="s">
        <v>14</v>
      </c>
      <c r="S30" s="668">
        <f t="shared" si="12"/>
        <v>100</v>
      </c>
      <c r="T30" s="667" t="s">
        <v>14</v>
      </c>
      <c r="U30" s="668">
        <f t="shared" si="13"/>
        <v>100</v>
      </c>
      <c r="V30" s="667" t="s">
        <v>14</v>
      </c>
      <c r="W30" s="668">
        <f t="shared" si="14"/>
        <v>100</v>
      </c>
      <c r="X30" s="1264"/>
      <c r="Y30" s="3706"/>
      <c r="Z30" s="1263" t="str">
        <f t="shared" si="15"/>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706"/>
      <c r="Q31" s="530" t="str">
        <f t="shared" si="11"/>
        <v>停车位面积</v>
      </c>
      <c r="R31" s="664" t="s">
        <v>14</v>
      </c>
      <c r="S31" s="665" t="e">
        <f t="shared" si="12"/>
        <v>#N/A</v>
      </c>
      <c r="T31" s="664" t="s">
        <v>14</v>
      </c>
      <c r="U31" s="665" t="e">
        <f t="shared" si="13"/>
        <v>#N/A</v>
      </c>
      <c r="V31" s="664" t="s">
        <v>14</v>
      </c>
      <c r="W31" s="665" t="e">
        <f t="shared" si="14"/>
        <v>#N/A</v>
      </c>
      <c r="X31" s="666"/>
      <c r="Y31" s="370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706" t="s">
        <v>1696</v>
      </c>
      <c r="Q32" s="1262" t="str">
        <f t="shared" si="11"/>
        <v>车位类型</v>
      </c>
      <c r="R32" s="667" t="s">
        <v>14</v>
      </c>
      <c r="S32" s="668">
        <f t="shared" si="12"/>
        <v>100</v>
      </c>
      <c r="T32" s="667" t="s">
        <v>14</v>
      </c>
      <c r="U32" s="668">
        <f t="shared" si="13"/>
        <v>100</v>
      </c>
      <c r="V32" s="667" t="s">
        <v>14</v>
      </c>
      <c r="W32" s="668">
        <f t="shared" si="14"/>
        <v>100</v>
      </c>
      <c r="X32" s="1264"/>
      <c r="Y32" s="3706" t="s">
        <v>1696</v>
      </c>
      <c r="Z32" s="1263" t="str">
        <f t="shared" si="15"/>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706"/>
      <c r="Q33" s="1262" t="str">
        <f t="shared" si="11"/>
        <v>是否直接入户</v>
      </c>
      <c r="R33" s="667" t="s">
        <v>14</v>
      </c>
      <c r="S33" s="668">
        <f t="shared" si="12"/>
        <v>100</v>
      </c>
      <c r="T33" s="667" t="s">
        <v>14</v>
      </c>
      <c r="U33" s="668">
        <f t="shared" si="13"/>
        <v>100</v>
      </c>
      <c r="V33" s="667" t="s">
        <v>14</v>
      </c>
      <c r="W33" s="668">
        <f t="shared" si="14"/>
        <v>100</v>
      </c>
      <c r="X33" s="1264"/>
      <c r="Y33" s="370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706"/>
      <c r="Q34" s="1262">
        <f t="shared" si="11"/>
        <v>111</v>
      </c>
      <c r="R34" s="667" t="s">
        <v>14</v>
      </c>
      <c r="S34" s="668">
        <f t="shared" si="12"/>
        <v>100</v>
      </c>
      <c r="T34" s="667" t="s">
        <v>14</v>
      </c>
      <c r="U34" s="668">
        <f t="shared" si="13"/>
        <v>100</v>
      </c>
      <c r="V34" s="667" t="s">
        <v>14</v>
      </c>
      <c r="W34" s="668">
        <f t="shared" si="14"/>
        <v>100</v>
      </c>
      <c r="X34" s="1264"/>
      <c r="Y34" s="370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706"/>
      <c r="Q35" s="531">
        <f t="shared" si="11"/>
        <v>111</v>
      </c>
      <c r="R35" s="669" t="s">
        <v>14</v>
      </c>
      <c r="S35" s="670">
        <f t="shared" si="12"/>
        <v>100</v>
      </c>
      <c r="T35" s="669" t="s">
        <v>14</v>
      </c>
      <c r="U35" s="670">
        <f t="shared" si="13"/>
        <v>100</v>
      </c>
      <c r="V35" s="669" t="s">
        <v>14</v>
      </c>
      <c r="W35" s="670">
        <f t="shared" si="14"/>
        <v>100</v>
      </c>
      <c r="X35" s="671"/>
      <c r="Y35" s="370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706"/>
      <c r="Q36" s="1262">
        <f t="shared" si="11"/>
        <v>111</v>
      </c>
      <c r="R36" s="667" t="s">
        <v>14</v>
      </c>
      <c r="S36" s="668">
        <f t="shared" si="12"/>
        <v>100</v>
      </c>
      <c r="T36" s="667" t="s">
        <v>14</v>
      </c>
      <c r="U36" s="668">
        <f t="shared" si="13"/>
        <v>100</v>
      </c>
      <c r="V36" s="667" t="s">
        <v>14</v>
      </c>
      <c r="W36" s="668">
        <f t="shared" si="14"/>
        <v>100</v>
      </c>
      <c r="X36" s="1264"/>
      <c r="Y36" s="3706"/>
      <c r="Z36" s="1263">
        <f t="shared" si="15"/>
        <v>111</v>
      </c>
      <c r="AA36" s="1263">
        <f t="shared" si="3"/>
        <v>1</v>
      </c>
      <c r="AB36" s="1263">
        <f t="shared" si="4"/>
        <v>1</v>
      </c>
      <c r="AC36" s="1263">
        <f t="shared" si="5"/>
        <v>1</v>
      </c>
    </row>
    <row r="37" spans="1:29" ht="15">
      <c r="A37" s="416" t="s">
        <v>1841</v>
      </c>
      <c r="B37" s="1817" t="s">
        <v>3354</v>
      </c>
      <c r="C37" s="1081" t="s">
        <v>0</v>
      </c>
      <c r="D37" s="418"/>
      <c r="E37" s="419"/>
      <c r="F37" s="420"/>
      <c r="G37" s="421"/>
      <c r="H37" s="422"/>
      <c r="I37" s="419"/>
      <c r="J37" s="422"/>
      <c r="K37" s="545"/>
      <c r="L37" s="2490"/>
      <c r="M37" s="2483"/>
      <c r="N37" s="2483"/>
      <c r="O37" s="2483"/>
      <c r="P37" s="3700" t="str">
        <f>A37</f>
        <v>成交单价</v>
      </c>
      <c r="Q37" s="3700"/>
      <c r="R37" s="3695">
        <f>E37</f>
        <v>0</v>
      </c>
      <c r="S37" s="3695"/>
      <c r="T37" s="3695">
        <f>G37</f>
        <v>0</v>
      </c>
      <c r="U37" s="3695"/>
      <c r="V37" s="3695">
        <f>I37</f>
        <v>0</v>
      </c>
      <c r="W37" s="3695"/>
      <c r="X37" s="385"/>
      <c r="Y37" s="673"/>
      <c r="Z37" s="385"/>
      <c r="AA37" s="385"/>
      <c r="AB37" s="385"/>
      <c r="AC37" s="385"/>
    </row>
    <row r="38" spans="1:29" ht="15.75" thickBot="1">
      <c r="A38" s="423" t="s">
        <v>1842</v>
      </c>
      <c r="B38" s="424" t="str">
        <f>B37</f>
        <v>元/平方米</v>
      </c>
      <c r="C38" s="1082" t="e">
        <f>R39</f>
        <v>#DIV/0!</v>
      </c>
      <c r="D38" s="2137" t="s">
        <v>2135</v>
      </c>
      <c r="E38" s="1083" t="e">
        <f>R38</f>
        <v>#DIV/0!</v>
      </c>
      <c r="F38" s="2138"/>
      <c r="G38" s="1082" t="e">
        <f>T38</f>
        <v>#DIV/0!</v>
      </c>
      <c r="H38" s="2138"/>
      <c r="I38" s="1083" t="e">
        <f>V38</f>
        <v>#DIV/0!</v>
      </c>
      <c r="J38" s="2138"/>
      <c r="K38" s="2140">
        <f>F38+H38+J38</f>
        <v>0</v>
      </c>
      <c r="L38" s="2490"/>
      <c r="M38" s="2483"/>
      <c r="N38" s="2483"/>
      <c r="O38" s="2483"/>
      <c r="P38" s="3700" t="str">
        <f>A38</f>
        <v>比较价值（元/平方米）</v>
      </c>
      <c r="Q38" s="3700"/>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2006-5</v>
      </c>
      <c r="D48" s="1103">
        <f>EDATE(C48,-1)</f>
        <v>38808</v>
      </c>
      <c r="E48" s="1103">
        <f t="shared" ref="E48:O48" si="16">EDATE(D48,-1)</f>
        <v>38777</v>
      </c>
      <c r="F48" s="1103">
        <f t="shared" si="16"/>
        <v>38749</v>
      </c>
      <c r="G48" s="1103">
        <f t="shared" si="16"/>
        <v>38718</v>
      </c>
      <c r="H48" s="1103">
        <f t="shared" si="16"/>
        <v>38687</v>
      </c>
      <c r="I48" s="1103">
        <f t="shared" si="16"/>
        <v>38657</v>
      </c>
      <c r="J48" s="1103">
        <f t="shared" si="16"/>
        <v>38626</v>
      </c>
      <c r="K48" s="1103">
        <f t="shared" si="16"/>
        <v>38596</v>
      </c>
      <c r="L48" s="1103">
        <f t="shared" si="16"/>
        <v>38565</v>
      </c>
      <c r="M48" s="1103">
        <f t="shared" si="16"/>
        <v>38534</v>
      </c>
      <c r="N48" s="1103">
        <f t="shared" si="16"/>
        <v>38504</v>
      </c>
      <c r="O48" s="1103">
        <f t="shared" si="16"/>
        <v>38473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估价对象为北京市房地产，为所有。根据《国有土地使用证》[]，估价对象（分摊）出让国有建设用地使用权面积为0平方米，建筑面积为204.54平方米。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估价对象为北京市房地产,属开发建设的，该项目尚在开发建设中。根据《国有土地使用证》[]，估价对象（分摊）出让国有建设用地使用权面积为0平方米，规划建筑面积为204.54平方米。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2006年5月30日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3334</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687" t="s">
        <v>1772</v>
      </c>
      <c r="Q4" s="3688"/>
      <c r="R4" s="3670" t="s">
        <v>1768</v>
      </c>
      <c r="S4" s="3671"/>
      <c r="T4" s="3670" t="s">
        <v>1769</v>
      </c>
      <c r="U4" s="3671"/>
      <c r="V4" s="3695" t="s">
        <v>1770</v>
      </c>
      <c r="W4" s="3695"/>
      <c r="X4" s="1264"/>
      <c r="Y4" s="3670" t="s">
        <v>1772</v>
      </c>
      <c r="Z4" s="3671"/>
      <c r="AA4" s="3665" t="s">
        <v>1768</v>
      </c>
      <c r="AB4" s="3666" t="s">
        <v>1769</v>
      </c>
      <c r="AC4" s="3665" t="s">
        <v>1770</v>
      </c>
    </row>
    <row r="5" spans="1:29" ht="15">
      <c r="A5" s="348"/>
      <c r="B5" s="349"/>
      <c r="C5" s="3679" t="s">
        <v>1673</v>
      </c>
      <c r="D5" s="3676"/>
      <c r="E5" s="3710" t="s">
        <v>1674</v>
      </c>
      <c r="F5" s="3674"/>
      <c r="G5" s="3679" t="s">
        <v>1675</v>
      </c>
      <c r="H5" s="3676"/>
      <c r="I5" s="3679" t="s">
        <v>1676</v>
      </c>
      <c r="J5" s="3676"/>
      <c r="K5" s="537"/>
      <c r="L5" s="2482"/>
      <c r="M5" s="2483"/>
      <c r="N5" s="2483"/>
      <c r="O5" s="2483"/>
      <c r="P5" s="3689"/>
      <c r="Q5" s="3690"/>
      <c r="R5" s="3672"/>
      <c r="S5" s="3673"/>
      <c r="T5" s="3672"/>
      <c r="U5" s="3673"/>
      <c r="V5" s="3695"/>
      <c r="W5" s="3695"/>
      <c r="X5" s="1264"/>
      <c r="Y5" s="3672"/>
      <c r="Z5" s="3673"/>
      <c r="AA5" s="3666"/>
      <c r="AB5" s="3666"/>
      <c r="AC5" s="3666"/>
    </row>
    <row r="6" spans="1:29" ht="15.75" thickBot="1">
      <c r="A6" s="350"/>
      <c r="B6" s="351"/>
      <c r="C6" s="3677" t="s">
        <v>1677</v>
      </c>
      <c r="D6" s="3678"/>
      <c r="E6" s="3680" t="s">
        <v>1677</v>
      </c>
      <c r="F6" s="3681"/>
      <c r="G6" s="3677" t="s">
        <v>1677</v>
      </c>
      <c r="H6" s="3678"/>
      <c r="I6" s="3677" t="s">
        <v>1677</v>
      </c>
      <c r="J6" s="3678"/>
      <c r="K6" s="537" t="s">
        <v>1678</v>
      </c>
      <c r="L6" s="2482"/>
      <c r="M6" s="2483"/>
      <c r="N6" s="2483"/>
      <c r="O6" s="2483"/>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c r="F7" s="357">
        <f>SUMIF(46:46,YEAR(E7)&amp;"-"&amp;MONTH(E7),47:47)</f>
        <v>0</v>
      </c>
      <c r="G7" s="1818"/>
      <c r="H7" s="355">
        <f>SUMIF(46:46,YEAR(G7)&amp;"-"&amp;MONTH(G7),47:47)</f>
        <v>0</v>
      </c>
      <c r="I7" s="356"/>
      <c r="J7" s="355">
        <f>SUMIF(46:46,YEAR(I7)&amp;"-"&amp;MONTH(I7),47:47)</f>
        <v>0</v>
      </c>
      <c r="K7" s="38"/>
      <c r="L7" s="2484"/>
      <c r="M7" s="2435"/>
      <c r="N7" s="2435"/>
      <c r="O7" s="2435"/>
      <c r="P7" s="3668" t="s">
        <v>1680</v>
      </c>
      <c r="Q7" s="3696"/>
      <c r="R7" s="664" t="s">
        <v>14</v>
      </c>
      <c r="S7" s="665">
        <f t="shared" ref="S7:S14" si="0">F7</f>
        <v>0</v>
      </c>
      <c r="T7" s="664" t="s">
        <v>14</v>
      </c>
      <c r="U7" s="665">
        <f t="shared" ref="U7:U14" si="1">H7</f>
        <v>0</v>
      </c>
      <c r="V7" s="664" t="s">
        <v>14</v>
      </c>
      <c r="W7" s="665">
        <f t="shared" ref="W7:W14" si="2">J7</f>
        <v>0</v>
      </c>
      <c r="X7" s="666"/>
      <c r="Y7" s="3668" t="s">
        <v>1680</v>
      </c>
      <c r="Z7" s="36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668" t="s">
        <v>1683</v>
      </c>
      <c r="Q8" s="3669"/>
      <c r="R8" s="664" t="s">
        <v>14</v>
      </c>
      <c r="S8" s="665">
        <f t="shared" si="0"/>
        <v>100</v>
      </c>
      <c r="T8" s="664" t="s">
        <v>14</v>
      </c>
      <c r="U8" s="665">
        <f t="shared" si="1"/>
        <v>100</v>
      </c>
      <c r="V8" s="664" t="s">
        <v>14</v>
      </c>
      <c r="W8" s="665">
        <f t="shared" si="2"/>
        <v>100</v>
      </c>
      <c r="X8" s="666"/>
      <c r="Y8" s="3668" t="s">
        <v>1683</v>
      </c>
      <c r="Z8" s="36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700" t="s">
        <v>1686</v>
      </c>
      <c r="Q9" s="530" t="str">
        <f t="shared" ref="Q9:Q14" si="6">B9</f>
        <v>用途</v>
      </c>
      <c r="R9" s="664" t="s">
        <v>14</v>
      </c>
      <c r="S9" s="665">
        <f t="shared" si="0"/>
        <v>100</v>
      </c>
      <c r="T9" s="664" t="s">
        <v>14</v>
      </c>
      <c r="U9" s="665">
        <f t="shared" si="1"/>
        <v>100</v>
      </c>
      <c r="V9" s="664" t="s">
        <v>14</v>
      </c>
      <c r="W9" s="665">
        <f t="shared" si="2"/>
        <v>100</v>
      </c>
      <c r="X9" s="666"/>
      <c r="Y9" s="3612"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700"/>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700"/>
      <c r="Q11" s="530">
        <f t="shared" si="6"/>
        <v>111</v>
      </c>
      <c r="R11" s="664" t="s">
        <v>14</v>
      </c>
      <c r="S11" s="665">
        <f t="shared" si="0"/>
        <v>100</v>
      </c>
      <c r="T11" s="664" t="s">
        <v>14</v>
      </c>
      <c r="U11" s="665">
        <f t="shared" si="1"/>
        <v>100</v>
      </c>
      <c r="V11" s="664" t="s">
        <v>14</v>
      </c>
      <c r="W11" s="665">
        <f t="shared" si="2"/>
        <v>100</v>
      </c>
      <c r="X11" s="666"/>
      <c r="Y11" s="36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700"/>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700"/>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50">
        <f t="shared" si="5"/>
        <v>1</v>
      </c>
    </row>
    <row r="14" spans="1:29" ht="114">
      <c r="A14" s="379" t="s">
        <v>1690</v>
      </c>
      <c r="B14" s="58" t="s">
        <v>1830</v>
      </c>
      <c r="C14" s="1815" t="str">
        <f>IF(B1="工业",估价对象房地状况!G4,估价对象房地状况!C6)</f>
        <v>周边有601路、709路等多条公交线路，综合评价交通便捷度一般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701" t="s">
        <v>1691</v>
      </c>
      <c r="Q14" s="1262" t="str">
        <f t="shared" si="6"/>
        <v>交通便捷度</v>
      </c>
      <c r="R14" s="667" t="s">
        <v>14</v>
      </c>
      <c r="S14" s="668">
        <f t="shared" si="0"/>
        <v>100</v>
      </c>
      <c r="T14" s="667" t="s">
        <v>14</v>
      </c>
      <c r="U14" s="668">
        <f t="shared" si="1"/>
        <v>100</v>
      </c>
      <c r="V14" s="667" t="s">
        <v>14</v>
      </c>
      <c r="W14" s="668">
        <f t="shared" si="2"/>
        <v>100</v>
      </c>
      <c r="X14" s="1264"/>
      <c r="Y14" s="370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702"/>
      <c r="Q15" s="1262"/>
      <c r="R15" s="667"/>
      <c r="S15" s="668"/>
      <c r="T15" s="667"/>
      <c r="U15" s="668"/>
      <c r="V15" s="667"/>
      <c r="W15" s="668"/>
      <c r="X15" s="1264"/>
      <c r="Y15" s="3702"/>
      <c r="Z15" s="1263"/>
      <c r="AA15" s="1263">
        <v>1</v>
      </c>
      <c r="AB15" s="1263">
        <v>1</v>
      </c>
      <c r="AC15" s="1263">
        <v>1</v>
      </c>
    </row>
    <row r="16" spans="1:29" ht="356.25">
      <c r="A16" s="367"/>
      <c r="B16" s="390"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702"/>
      <c r="Q16" s="1262" t="str">
        <f>B16</f>
        <v>公共配套设施</v>
      </c>
      <c r="R16" s="667" t="s">
        <v>14</v>
      </c>
      <c r="S16" s="668">
        <f>F16</f>
        <v>100</v>
      </c>
      <c r="T16" s="667" t="s">
        <v>14</v>
      </c>
      <c r="U16" s="668">
        <f>H16</f>
        <v>100</v>
      </c>
      <c r="V16" s="667" t="s">
        <v>14</v>
      </c>
      <c r="W16" s="668">
        <f>J16</f>
        <v>100</v>
      </c>
      <c r="X16" s="1264"/>
      <c r="Y16" s="3702"/>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702"/>
      <c r="Q17" s="1262"/>
      <c r="R17" s="667"/>
      <c r="S17" s="668"/>
      <c r="T17" s="667"/>
      <c r="U17" s="668"/>
      <c r="V17" s="667"/>
      <c r="W17" s="668"/>
      <c r="X17" s="1264"/>
      <c r="Y17" s="3702"/>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702"/>
      <c r="Q18" s="1262" t="str">
        <f>B18</f>
        <v>基础设施水平</v>
      </c>
      <c r="R18" s="667" t="s">
        <v>14</v>
      </c>
      <c r="S18" s="668">
        <f>F18</f>
        <v>100</v>
      </c>
      <c r="T18" s="667" t="s">
        <v>14</v>
      </c>
      <c r="U18" s="668">
        <f>H18</f>
        <v>100</v>
      </c>
      <c r="V18" s="667" t="s">
        <v>14</v>
      </c>
      <c r="W18" s="668">
        <f>J18</f>
        <v>100</v>
      </c>
      <c r="X18" s="1264"/>
      <c r="Y18" s="3702"/>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8"/>
      <c r="M19" s="2483"/>
      <c r="N19" s="2483"/>
      <c r="O19" s="2538"/>
      <c r="P19" s="3702"/>
      <c r="Q19" s="1262"/>
      <c r="R19" s="667"/>
      <c r="S19" s="668"/>
      <c r="T19" s="667"/>
      <c r="U19" s="668"/>
      <c r="V19" s="667"/>
      <c r="W19" s="668"/>
      <c r="X19" s="1264"/>
      <c r="Y19" s="3702"/>
      <c r="Z19" s="1263"/>
      <c r="AA19" s="1263">
        <v>1</v>
      </c>
      <c r="AB19" s="1263">
        <v>1</v>
      </c>
      <c r="AC19" s="1263">
        <v>1</v>
      </c>
    </row>
    <row r="20" spans="1:29" ht="142.5">
      <c r="A20" s="367"/>
      <c r="B20" s="390" t="s">
        <v>1831</v>
      </c>
      <c r="C20" s="1752" t="str">
        <f>IF(B1="工业",估价对象房地状况!G7,估价对象房地状况!C9)</f>
        <v>人文环境：首都师范大学等人文场所；
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702"/>
      <c r="Q20" s="1262" t="str">
        <f>B20</f>
        <v>自然及人文环境</v>
      </c>
      <c r="R20" s="667" t="s">
        <v>14</v>
      </c>
      <c r="S20" s="668">
        <f>F20</f>
        <v>100</v>
      </c>
      <c r="T20" s="667" t="s">
        <v>14</v>
      </c>
      <c r="U20" s="668">
        <f>H20</f>
        <v>100</v>
      </c>
      <c r="V20" s="667" t="s">
        <v>14</v>
      </c>
      <c r="W20" s="668">
        <f>J20</f>
        <v>100</v>
      </c>
      <c r="X20" s="1264"/>
      <c r="Y20" s="370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702"/>
      <c r="Q21" s="1262"/>
      <c r="R21" s="667"/>
      <c r="S21" s="668"/>
      <c r="T21" s="667"/>
      <c r="U21" s="668"/>
      <c r="V21" s="667"/>
      <c r="W21" s="668"/>
      <c r="X21" s="1264"/>
      <c r="Y21" s="3702"/>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702"/>
      <c r="Q22" s="1262" t="str">
        <f>B22</f>
        <v>楼层</v>
      </c>
      <c r="R22" s="667" t="s">
        <v>14</v>
      </c>
      <c r="S22" s="668">
        <f>F22</f>
        <v>100</v>
      </c>
      <c r="T22" s="667" t="s">
        <v>14</v>
      </c>
      <c r="U22" s="668">
        <f>H22</f>
        <v>100</v>
      </c>
      <c r="V22" s="667" t="s">
        <v>14</v>
      </c>
      <c r="W22" s="668">
        <f>J22</f>
        <v>100</v>
      </c>
      <c r="X22" s="1264"/>
      <c r="Y22" s="370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702"/>
      <c r="Q23" s="1262">
        <f>B23</f>
        <v>111</v>
      </c>
      <c r="R23" s="667" t="s">
        <v>14</v>
      </c>
      <c r="S23" s="668">
        <f>F23</f>
        <v>100</v>
      </c>
      <c r="T23" s="667" t="s">
        <v>14</v>
      </c>
      <c r="U23" s="668">
        <f>H23</f>
        <v>100</v>
      </c>
      <c r="V23" s="667" t="s">
        <v>14</v>
      </c>
      <c r="W23" s="668">
        <f>J23</f>
        <v>100</v>
      </c>
      <c r="X23" s="1264"/>
      <c r="Y23" s="370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702"/>
      <c r="Q24" s="1262">
        <f t="shared" ref="Q24:Q34" si="11">B24</f>
        <v>111</v>
      </c>
      <c r="R24" s="667" t="s">
        <v>14</v>
      </c>
      <c r="S24" s="668">
        <f>F24</f>
        <v>100</v>
      </c>
      <c r="T24" s="667" t="s">
        <v>14</v>
      </c>
      <c r="U24" s="668">
        <f>H24</f>
        <v>100</v>
      </c>
      <c r="V24" s="667" t="s">
        <v>14</v>
      </c>
      <c r="W24" s="668">
        <f>J24</f>
        <v>100</v>
      </c>
      <c r="X24" s="1264"/>
      <c r="Y24" s="3702"/>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702"/>
      <c r="Q25" s="530">
        <f t="shared" si="11"/>
        <v>111</v>
      </c>
      <c r="R25" s="664" t="s">
        <v>14</v>
      </c>
      <c r="S25" s="665">
        <f>F25</f>
        <v>100</v>
      </c>
      <c r="T25" s="664" t="s">
        <v>14</v>
      </c>
      <c r="U25" s="665">
        <f>H25</f>
        <v>100</v>
      </c>
      <c r="V25" s="664" t="s">
        <v>14</v>
      </c>
      <c r="W25" s="665">
        <f>J25</f>
        <v>100</v>
      </c>
      <c r="X25" s="666"/>
      <c r="Y25" s="3702"/>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72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706" t="s">
        <v>1696</v>
      </c>
      <c r="Z26" s="1263" t="str">
        <f t="shared" ref="Z26:Z34" si="15">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706"/>
      <c r="Q27" s="531" t="str">
        <f t="shared" si="11"/>
        <v>成新率</v>
      </c>
      <c r="R27" s="669" t="s">
        <v>14</v>
      </c>
      <c r="S27" s="670" t="e">
        <f t="shared" si="12"/>
        <v>#N/A</v>
      </c>
      <c r="T27" s="669" t="s">
        <v>14</v>
      </c>
      <c r="U27" s="670" t="e">
        <f t="shared" si="13"/>
        <v>#N/A</v>
      </c>
      <c r="V27" s="669" t="s">
        <v>14</v>
      </c>
      <c r="W27" s="670" t="e">
        <f t="shared" si="14"/>
        <v>#N/A</v>
      </c>
      <c r="X27" s="671"/>
      <c r="Y27" s="3706"/>
      <c r="Z27" s="672" t="str">
        <f t="shared" si="15"/>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706"/>
      <c r="Q28" s="1262" t="str">
        <f t="shared" si="11"/>
        <v>物业等级</v>
      </c>
      <c r="R28" s="667" t="s">
        <v>14</v>
      </c>
      <c r="S28" s="668">
        <f t="shared" si="12"/>
        <v>100</v>
      </c>
      <c r="T28" s="667" t="s">
        <v>14</v>
      </c>
      <c r="U28" s="668">
        <f t="shared" si="13"/>
        <v>100</v>
      </c>
      <c r="V28" s="667" t="s">
        <v>14</v>
      </c>
      <c r="W28" s="668">
        <f t="shared" si="14"/>
        <v>100</v>
      </c>
      <c r="X28" s="1264"/>
      <c r="Y28" s="3706"/>
      <c r="Z28" s="1263" t="str">
        <f t="shared" si="15"/>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706"/>
      <c r="Q29" s="1262" t="str">
        <f t="shared" si="11"/>
        <v>有无电梯</v>
      </c>
      <c r="R29" s="667" t="s">
        <v>14</v>
      </c>
      <c r="S29" s="668">
        <f t="shared" si="12"/>
        <v>100</v>
      </c>
      <c r="T29" s="667" t="s">
        <v>14</v>
      </c>
      <c r="U29" s="668">
        <f t="shared" si="13"/>
        <v>100</v>
      </c>
      <c r="V29" s="667" t="s">
        <v>14</v>
      </c>
      <c r="W29" s="668">
        <f t="shared" si="14"/>
        <v>100</v>
      </c>
      <c r="X29" s="1264"/>
      <c r="Y29" s="3706"/>
      <c r="Z29" s="1263" t="str">
        <f t="shared" si="15"/>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706"/>
      <c r="Q30" s="1262" t="str">
        <f t="shared" si="11"/>
        <v>建筑面积</v>
      </c>
      <c r="R30" s="667" t="s">
        <v>14</v>
      </c>
      <c r="S30" s="668" t="e">
        <f t="shared" si="12"/>
        <v>#N/A</v>
      </c>
      <c r="T30" s="667" t="s">
        <v>14</v>
      </c>
      <c r="U30" s="668" t="e">
        <f t="shared" si="13"/>
        <v>#N/A</v>
      </c>
      <c r="V30" s="667" t="s">
        <v>14</v>
      </c>
      <c r="W30" s="668" t="e">
        <f t="shared" si="14"/>
        <v>#N/A</v>
      </c>
      <c r="X30" s="1264"/>
      <c r="Y30" s="3706"/>
      <c r="Z30" s="1263" t="str">
        <f t="shared" si="15"/>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706"/>
      <c r="Q31" s="530" t="str">
        <f t="shared" si="11"/>
        <v>是否封闭</v>
      </c>
      <c r="R31" s="664" t="s">
        <v>14</v>
      </c>
      <c r="S31" s="665">
        <f t="shared" si="12"/>
        <v>100</v>
      </c>
      <c r="T31" s="664" t="s">
        <v>14</v>
      </c>
      <c r="U31" s="665">
        <f t="shared" si="13"/>
        <v>100</v>
      </c>
      <c r="V31" s="664" t="s">
        <v>14</v>
      </c>
      <c r="W31" s="665">
        <f t="shared" si="14"/>
        <v>100</v>
      </c>
      <c r="X31" s="666"/>
      <c r="Y31" s="37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706" t="s">
        <v>1696</v>
      </c>
      <c r="Q32" s="1262">
        <f t="shared" si="11"/>
        <v>111</v>
      </c>
      <c r="R32" s="667" t="s">
        <v>14</v>
      </c>
      <c r="S32" s="668">
        <f t="shared" si="12"/>
        <v>100</v>
      </c>
      <c r="T32" s="667" t="s">
        <v>14</v>
      </c>
      <c r="U32" s="668">
        <f t="shared" si="13"/>
        <v>100</v>
      </c>
      <c r="V32" s="667" t="s">
        <v>14</v>
      </c>
      <c r="W32" s="668">
        <f t="shared" si="14"/>
        <v>100</v>
      </c>
      <c r="X32" s="1264"/>
      <c r="Y32" s="370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706"/>
      <c r="Q33" s="1262">
        <f t="shared" si="11"/>
        <v>111</v>
      </c>
      <c r="R33" s="667" t="s">
        <v>14</v>
      </c>
      <c r="S33" s="668">
        <f t="shared" si="12"/>
        <v>100</v>
      </c>
      <c r="T33" s="667" t="s">
        <v>14</v>
      </c>
      <c r="U33" s="668">
        <f t="shared" si="13"/>
        <v>100</v>
      </c>
      <c r="V33" s="667" t="s">
        <v>14</v>
      </c>
      <c r="W33" s="668">
        <f t="shared" si="14"/>
        <v>100</v>
      </c>
      <c r="X33" s="1264"/>
      <c r="Y33" s="3706"/>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706"/>
      <c r="Q34" s="1262">
        <f t="shared" si="11"/>
        <v>111</v>
      </c>
      <c r="R34" s="667" t="s">
        <v>14</v>
      </c>
      <c r="S34" s="668">
        <f t="shared" si="12"/>
        <v>100</v>
      </c>
      <c r="T34" s="667" t="s">
        <v>14</v>
      </c>
      <c r="U34" s="668">
        <f t="shared" si="13"/>
        <v>100</v>
      </c>
      <c r="V34" s="667" t="s">
        <v>14</v>
      </c>
      <c r="W34" s="668">
        <f t="shared" si="14"/>
        <v>100</v>
      </c>
      <c r="X34" s="1264"/>
      <c r="Y34" s="3706"/>
      <c r="Z34" s="1263">
        <f t="shared" si="15"/>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700" t="str">
        <f>A35</f>
        <v>成交单价（元/平方米）</v>
      </c>
      <c r="Q35" s="3700"/>
      <c r="R35" s="3695">
        <f>E35</f>
        <v>0</v>
      </c>
      <c r="S35" s="3695"/>
      <c r="T35" s="3695">
        <f>G35</f>
        <v>0</v>
      </c>
      <c r="U35" s="3695"/>
      <c r="V35" s="3695">
        <f>I35</f>
        <v>0</v>
      </c>
      <c r="W35" s="3695"/>
      <c r="X35" s="385"/>
      <c r="Y35" s="673"/>
      <c r="Z35" s="385"/>
      <c r="AA35" s="385"/>
      <c r="AB35" s="385"/>
      <c r="AC35" s="385"/>
    </row>
    <row r="36" spans="1:30" ht="15.75" thickBot="1">
      <c r="A36" s="423" t="s">
        <v>1790</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700" t="str">
        <f>A36</f>
        <v>比较价值（元/平方米）</v>
      </c>
      <c r="Q36" s="3700"/>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2006-5</v>
      </c>
      <c r="D46" s="1103">
        <f>EDATE(C46,-1)</f>
        <v>38808</v>
      </c>
      <c r="E46" s="1103">
        <f t="shared" ref="E46:O46" si="16">EDATE(D46,-1)</f>
        <v>38777</v>
      </c>
      <c r="F46" s="1103">
        <f t="shared" si="16"/>
        <v>38749</v>
      </c>
      <c r="G46" s="1103">
        <f t="shared" si="16"/>
        <v>38718</v>
      </c>
      <c r="H46" s="1103">
        <f t="shared" si="16"/>
        <v>38687</v>
      </c>
      <c r="I46" s="1103">
        <f t="shared" si="16"/>
        <v>38657</v>
      </c>
      <c r="J46" s="1103">
        <f t="shared" si="16"/>
        <v>38626</v>
      </c>
      <c r="K46" s="1103">
        <f t="shared" si="16"/>
        <v>38596</v>
      </c>
      <c r="L46" s="1103">
        <f t="shared" si="16"/>
        <v>38565</v>
      </c>
      <c r="M46" s="1103">
        <f t="shared" si="16"/>
        <v>38534</v>
      </c>
      <c r="N46" s="1103">
        <f t="shared" si="16"/>
        <v>38504</v>
      </c>
      <c r="O46" s="1103">
        <f t="shared" si="16"/>
        <v>38473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687" t="s">
        <v>1772</v>
      </c>
      <c r="Q4" s="3688"/>
      <c r="R4" s="3670" t="s">
        <v>1768</v>
      </c>
      <c r="S4" s="3671"/>
      <c r="T4" s="3670" t="s">
        <v>1769</v>
      </c>
      <c r="U4" s="3671"/>
      <c r="V4" s="3695" t="s">
        <v>1770</v>
      </c>
      <c r="W4" s="3695"/>
      <c r="X4" s="1264"/>
      <c r="Y4" s="3670" t="s">
        <v>1772</v>
      </c>
      <c r="Z4" s="3671"/>
      <c r="AA4" s="3665" t="s">
        <v>1768</v>
      </c>
      <c r="AB4" s="3666" t="s">
        <v>1769</v>
      </c>
      <c r="AC4" s="3665" t="s">
        <v>1770</v>
      </c>
    </row>
    <row r="5" spans="1:29" ht="15">
      <c r="A5" s="348"/>
      <c r="B5" s="349"/>
      <c r="C5" s="3679" t="s">
        <v>1673</v>
      </c>
      <c r="D5" s="3676"/>
      <c r="E5" s="3710" t="s">
        <v>1674</v>
      </c>
      <c r="F5" s="3674"/>
      <c r="G5" s="3679" t="s">
        <v>1675</v>
      </c>
      <c r="H5" s="3676"/>
      <c r="I5" s="3679" t="s">
        <v>1676</v>
      </c>
      <c r="J5" s="3676"/>
      <c r="K5" s="537"/>
      <c r="L5" s="2482"/>
      <c r="M5" s="2483"/>
      <c r="N5" s="2483"/>
      <c r="O5" s="2483"/>
      <c r="P5" s="3689"/>
      <c r="Q5" s="3690"/>
      <c r="R5" s="3672"/>
      <c r="S5" s="3673"/>
      <c r="T5" s="3672"/>
      <c r="U5" s="3673"/>
      <c r="V5" s="3695"/>
      <c r="W5" s="3695"/>
      <c r="X5" s="1264"/>
      <c r="Y5" s="3672"/>
      <c r="Z5" s="3673"/>
      <c r="AA5" s="3666"/>
      <c r="AB5" s="3666"/>
      <c r="AC5" s="3666"/>
    </row>
    <row r="6" spans="1:29" ht="15.75" thickBot="1">
      <c r="A6" s="350"/>
      <c r="B6" s="351"/>
      <c r="C6" s="3677" t="s">
        <v>1677</v>
      </c>
      <c r="D6" s="3678"/>
      <c r="E6" s="3680" t="s">
        <v>1677</v>
      </c>
      <c r="F6" s="3681"/>
      <c r="G6" s="3677" t="s">
        <v>1677</v>
      </c>
      <c r="H6" s="3678"/>
      <c r="I6" s="3677" t="s">
        <v>1677</v>
      </c>
      <c r="J6" s="3678"/>
      <c r="K6" s="537" t="s">
        <v>1678</v>
      </c>
      <c r="L6" s="2482"/>
      <c r="M6" s="2483"/>
      <c r="N6" s="2483"/>
      <c r="O6" s="2483"/>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668" t="s">
        <v>1680</v>
      </c>
      <c r="Q7" s="3696"/>
      <c r="R7" s="664" t="s">
        <v>14</v>
      </c>
      <c r="S7" s="665">
        <f t="shared" ref="S7:S15" si="0">F7</f>
        <v>0</v>
      </c>
      <c r="T7" s="664" t="s">
        <v>14</v>
      </c>
      <c r="U7" s="665">
        <f t="shared" ref="U7:U15" si="1">H7</f>
        <v>0</v>
      </c>
      <c r="V7" s="664" t="s">
        <v>14</v>
      </c>
      <c r="W7" s="665">
        <f t="shared" ref="W7:W15" si="2">J7</f>
        <v>0</v>
      </c>
      <c r="X7" s="666"/>
      <c r="Y7" s="3668" t="s">
        <v>1680</v>
      </c>
      <c r="Z7" s="366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668" t="s">
        <v>1683</v>
      </c>
      <c r="Q8" s="3669"/>
      <c r="R8" s="664" t="s">
        <v>14</v>
      </c>
      <c r="S8" s="665">
        <f t="shared" si="0"/>
        <v>0</v>
      </c>
      <c r="T8" s="664" t="s">
        <v>14</v>
      </c>
      <c r="U8" s="665">
        <f t="shared" si="1"/>
        <v>0</v>
      </c>
      <c r="V8" s="664" t="s">
        <v>14</v>
      </c>
      <c r="W8" s="665">
        <f t="shared" si="2"/>
        <v>0</v>
      </c>
      <c r="X8" s="666"/>
      <c r="Y8" s="3668" t="s">
        <v>1683</v>
      </c>
      <c r="Z8" s="3669"/>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700"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700"/>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700"/>
      <c r="Q11" s="530" t="str">
        <f t="shared" si="6"/>
        <v>容积率</v>
      </c>
      <c r="R11" s="664" t="s">
        <v>14</v>
      </c>
      <c r="S11" s="665" t="e">
        <f t="shared" si="0"/>
        <v>#N/A</v>
      </c>
      <c r="T11" s="664" t="s">
        <v>14</v>
      </c>
      <c r="U11" s="665" t="e">
        <f t="shared" si="1"/>
        <v>#N/A</v>
      </c>
      <c r="V11" s="664" t="s">
        <v>14</v>
      </c>
      <c r="W11" s="665" t="e">
        <f t="shared" si="2"/>
        <v>#N/A</v>
      </c>
      <c r="X11" s="666"/>
      <c r="Y11" s="3612"/>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700"/>
      <c r="Q12" s="530" t="str">
        <f t="shared" si="6"/>
        <v>配建</v>
      </c>
      <c r="R12" s="664" t="s">
        <v>14</v>
      </c>
      <c r="S12" s="665">
        <f t="shared" si="0"/>
        <v>100</v>
      </c>
      <c r="T12" s="664" t="s">
        <v>14</v>
      </c>
      <c r="U12" s="665">
        <f t="shared" si="1"/>
        <v>100</v>
      </c>
      <c r="V12" s="664" t="s">
        <v>14</v>
      </c>
      <c r="W12" s="665">
        <f t="shared" si="2"/>
        <v>100</v>
      </c>
      <c r="X12" s="666"/>
      <c r="Y12" s="36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700"/>
      <c r="Q13" s="530">
        <f t="shared" si="6"/>
        <v>111</v>
      </c>
      <c r="R13" s="664" t="s">
        <v>14</v>
      </c>
      <c r="S13" s="665">
        <f t="shared" si="0"/>
        <v>100</v>
      </c>
      <c r="T13" s="664" t="s">
        <v>14</v>
      </c>
      <c r="U13" s="665">
        <f t="shared" si="1"/>
        <v>100</v>
      </c>
      <c r="V13" s="664" t="s">
        <v>14</v>
      </c>
      <c r="W13" s="665">
        <f t="shared" si="2"/>
        <v>100</v>
      </c>
      <c r="X13" s="666"/>
      <c r="Y13" s="3612"/>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700"/>
      <c r="Q14" s="530">
        <f t="shared" si="6"/>
        <v>111</v>
      </c>
      <c r="R14" s="664" t="s">
        <v>14</v>
      </c>
      <c r="S14" s="665">
        <f t="shared" si="0"/>
        <v>100</v>
      </c>
      <c r="T14" s="664" t="s">
        <v>14</v>
      </c>
      <c r="U14" s="665">
        <f t="shared" si="1"/>
        <v>100</v>
      </c>
      <c r="V14" s="664" t="s">
        <v>14</v>
      </c>
      <c r="W14" s="665">
        <f t="shared" si="2"/>
        <v>100</v>
      </c>
      <c r="X14" s="666"/>
      <c r="Y14" s="3612"/>
      <c r="Z14" s="50">
        <f t="shared" si="7"/>
        <v>111</v>
      </c>
      <c r="AA14" s="50">
        <f>D14/F14</f>
        <v>1</v>
      </c>
      <c r="AB14" s="50">
        <f>D14/H14</f>
        <v>1</v>
      </c>
      <c r="AC14" s="50">
        <f>D14/J14</f>
        <v>1</v>
      </c>
    </row>
    <row r="15" spans="1:29" ht="85.5">
      <c r="A15" s="379" t="s">
        <v>1690</v>
      </c>
      <c r="B15" s="58" t="s">
        <v>1257</v>
      </c>
      <c r="C15" s="1748" t="str">
        <f>估价对象房地状况!C15</f>
        <v>周边有中海雅园、北洼西里等住宅小区，居住社区成熟度较好。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701" t="s">
        <v>1691</v>
      </c>
      <c r="Q15" s="1262" t="str">
        <f t="shared" si="6"/>
        <v>居住社区成熟度</v>
      </c>
      <c r="R15" s="667" t="s">
        <v>14</v>
      </c>
      <c r="S15" s="668">
        <f t="shared" si="0"/>
        <v>100</v>
      </c>
      <c r="T15" s="667" t="s">
        <v>14</v>
      </c>
      <c r="U15" s="668">
        <f t="shared" si="1"/>
        <v>100</v>
      </c>
      <c r="V15" s="667" t="s">
        <v>14</v>
      </c>
      <c r="W15" s="668">
        <f t="shared" si="2"/>
        <v>100</v>
      </c>
      <c r="X15" s="1264"/>
      <c r="Y15" s="370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8"/>
      <c r="M16" s="2483"/>
      <c r="N16" s="2483"/>
      <c r="O16" s="2538"/>
      <c r="P16" s="3702"/>
      <c r="Q16" s="1262"/>
      <c r="R16" s="667"/>
      <c r="S16" s="668"/>
      <c r="T16" s="667"/>
      <c r="U16" s="668"/>
      <c r="V16" s="667"/>
      <c r="W16" s="668"/>
      <c r="X16" s="1264"/>
      <c r="Y16" s="3702"/>
      <c r="Z16" s="1263"/>
      <c r="AA16" s="1263">
        <v>1</v>
      </c>
      <c r="AB16" s="1263">
        <v>1</v>
      </c>
      <c r="AC16" s="1263">
        <v>1</v>
      </c>
    </row>
    <row r="17" spans="1:29" ht="71.25">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702"/>
      <c r="Q17" s="1262" t="str">
        <f>B17</f>
        <v>商业繁华度</v>
      </c>
      <c r="R17" s="667" t="s">
        <v>14</v>
      </c>
      <c r="S17" s="668">
        <f>F17</f>
        <v>100</v>
      </c>
      <c r="T17" s="667" t="s">
        <v>14</v>
      </c>
      <c r="U17" s="668">
        <f>H17</f>
        <v>100</v>
      </c>
      <c r="V17" s="667" t="s">
        <v>14</v>
      </c>
      <c r="W17" s="668">
        <f>J17</f>
        <v>100</v>
      </c>
      <c r="X17" s="1264"/>
      <c r="Y17" s="3702"/>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8"/>
      <c r="M18" s="2483"/>
      <c r="N18" s="2483"/>
      <c r="O18" s="2538"/>
      <c r="P18" s="3702"/>
      <c r="Q18" s="1262"/>
      <c r="R18" s="667"/>
      <c r="S18" s="668"/>
      <c r="T18" s="667"/>
      <c r="U18" s="668"/>
      <c r="V18" s="667"/>
      <c r="W18" s="668"/>
      <c r="X18" s="1264"/>
      <c r="Y18" s="3702"/>
      <c r="Z18" s="1263"/>
      <c r="AA18" s="1263">
        <v>1</v>
      </c>
      <c r="AB18" s="1263">
        <v>1</v>
      </c>
      <c r="AC18" s="1263">
        <v>1</v>
      </c>
    </row>
    <row r="19" spans="1:29" ht="71.25">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702"/>
      <c r="Q19" s="1262" t="str">
        <f>B19</f>
        <v>办公集聚程度</v>
      </c>
      <c r="R19" s="667" t="s">
        <v>14</v>
      </c>
      <c r="S19" s="668">
        <f>F19</f>
        <v>100</v>
      </c>
      <c r="T19" s="667" t="s">
        <v>14</v>
      </c>
      <c r="U19" s="668">
        <f>H19</f>
        <v>100</v>
      </c>
      <c r="V19" s="667" t="s">
        <v>14</v>
      </c>
      <c r="W19" s="668">
        <f>J19</f>
        <v>100</v>
      </c>
      <c r="X19" s="1264"/>
      <c r="Y19" s="3702"/>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8"/>
      <c r="M20" s="2483"/>
      <c r="N20" s="2483"/>
      <c r="O20" s="2538"/>
      <c r="P20" s="3702"/>
      <c r="Q20" s="1262"/>
      <c r="R20" s="667"/>
      <c r="S20" s="668"/>
      <c r="T20" s="667"/>
      <c r="U20" s="668"/>
      <c r="V20" s="667"/>
      <c r="W20" s="668"/>
      <c r="X20" s="1264"/>
      <c r="Y20" s="3702"/>
      <c r="Z20" s="1263"/>
      <c r="AA20" s="1263">
        <v>1</v>
      </c>
      <c r="AB20" s="1263">
        <v>1</v>
      </c>
      <c r="AC20" s="1263">
        <v>1</v>
      </c>
    </row>
    <row r="21" spans="1:29" ht="114">
      <c r="A21" s="367"/>
      <c r="B21" s="390" t="s">
        <v>1830</v>
      </c>
      <c r="C21" s="1752" t="str">
        <f>估价对象房地状况!C18</f>
        <v>周边有601路、709路等多条公交线路，综合评价交通便捷度一般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702"/>
      <c r="Q21" s="1262" t="str">
        <f>B21</f>
        <v>交通便捷度</v>
      </c>
      <c r="R21" s="667" t="s">
        <v>14</v>
      </c>
      <c r="S21" s="668">
        <f>F21</f>
        <v>100</v>
      </c>
      <c r="T21" s="667" t="s">
        <v>14</v>
      </c>
      <c r="U21" s="668">
        <f>H21</f>
        <v>100</v>
      </c>
      <c r="V21" s="667" t="s">
        <v>14</v>
      </c>
      <c r="W21" s="668">
        <f>J21</f>
        <v>100</v>
      </c>
      <c r="X21" s="1264"/>
      <c r="Y21" s="3702"/>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8"/>
      <c r="M22" s="2483"/>
      <c r="N22" s="2483"/>
      <c r="O22" s="2538"/>
      <c r="P22" s="3702"/>
      <c r="Q22" s="1262"/>
      <c r="R22" s="667"/>
      <c r="S22" s="668"/>
      <c r="T22" s="667"/>
      <c r="U22" s="668"/>
      <c r="V22" s="667"/>
      <c r="W22" s="668"/>
      <c r="X22" s="1264"/>
      <c r="Y22" s="3702"/>
      <c r="Z22" s="1263"/>
      <c r="AA22" s="1263">
        <v>1</v>
      </c>
      <c r="AB22" s="1263">
        <v>1</v>
      </c>
      <c r="AC22" s="1263">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702"/>
      <c r="Q23" s="1262" t="str">
        <f t="shared" ref="Q23:Q37" si="8">B23</f>
        <v>区域土地利用方向</v>
      </c>
      <c r="R23" s="667" t="s">
        <v>14</v>
      </c>
      <c r="S23" s="668">
        <f>F23</f>
        <v>100</v>
      </c>
      <c r="T23" s="667" t="s">
        <v>14</v>
      </c>
      <c r="U23" s="668">
        <f>H23</f>
        <v>100</v>
      </c>
      <c r="V23" s="667" t="s">
        <v>14</v>
      </c>
      <c r="W23" s="668">
        <f>J23</f>
        <v>100</v>
      </c>
      <c r="X23" s="1264"/>
      <c r="Y23" s="3702"/>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8"/>
      <c r="M24" s="2483"/>
      <c r="N24" s="2483"/>
      <c r="O24" s="2538"/>
      <c r="P24" s="3702"/>
      <c r="Q24" s="1262"/>
      <c r="R24" s="667"/>
      <c r="S24" s="668"/>
      <c r="T24" s="667"/>
      <c r="U24" s="668"/>
      <c r="V24" s="667"/>
      <c r="W24" s="668"/>
      <c r="X24" s="1264"/>
      <c r="Y24" s="3702"/>
      <c r="Z24" s="1263"/>
      <c r="AA24" s="1263"/>
      <c r="AB24" s="1263"/>
      <c r="AC24" s="1263"/>
    </row>
    <row r="25" spans="1:29" ht="142.5">
      <c r="A25" s="348"/>
      <c r="B25" s="586" t="s">
        <v>1869</v>
      </c>
      <c r="C25" s="1802" t="str">
        <f>估价对象房地状况!C20</f>
        <v>人文环境：首都师范大学等人文场所；
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702"/>
      <c r="Q25" s="1262" t="str">
        <f t="shared" si="8"/>
        <v>自然及人文环境状况</v>
      </c>
      <c r="R25" s="667" t="s">
        <v>14</v>
      </c>
      <c r="S25" s="668">
        <f>F25</f>
        <v>100</v>
      </c>
      <c r="T25" s="667" t="s">
        <v>14</v>
      </c>
      <c r="U25" s="668">
        <f>H25</f>
        <v>100</v>
      </c>
      <c r="V25" s="667" t="s">
        <v>14</v>
      </c>
      <c r="W25" s="668">
        <f>J25</f>
        <v>100</v>
      </c>
      <c r="X25" s="1264"/>
      <c r="Y25" s="3702"/>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8"/>
      <c r="M26" s="2483"/>
      <c r="N26" s="2483"/>
      <c r="O26" s="2538"/>
      <c r="P26" s="3702"/>
      <c r="Q26" s="1262"/>
      <c r="R26" s="667"/>
      <c r="S26" s="668"/>
      <c r="T26" s="667"/>
      <c r="U26" s="668"/>
      <c r="V26" s="667"/>
      <c r="W26" s="668"/>
      <c r="X26" s="1264"/>
      <c r="Y26" s="3702"/>
      <c r="Z26" s="1263"/>
      <c r="AA26" s="1263">
        <v>1</v>
      </c>
      <c r="AB26" s="1263">
        <v>1</v>
      </c>
      <c r="AC26" s="1263">
        <v>1</v>
      </c>
    </row>
    <row r="27" spans="1:29" s="102" customFormat="1" ht="356.25">
      <c r="A27" s="443"/>
      <c r="B27" s="586" t="s">
        <v>1775</v>
      </c>
      <c r="C27" s="1752" t="str">
        <f>估价对象房地状况!C21</f>
        <v>银行：等金融机构；
医院：中国人民解放军第304医院等医疗机构；
学校：首都师范大学、首都师范大学附属中学等教育机构；
商业：社区级商业设施；
综合评价公共服务设施齐备度一般。</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702"/>
      <c r="Q27" s="530" t="str">
        <f t="shared" si="8"/>
        <v>公共配套设施</v>
      </c>
      <c r="R27" s="664" t="s">
        <v>14</v>
      </c>
      <c r="S27" s="665">
        <f>F27</f>
        <v>100</v>
      </c>
      <c r="T27" s="664" t="s">
        <v>14</v>
      </c>
      <c r="U27" s="665">
        <f>H27</f>
        <v>100</v>
      </c>
      <c r="V27" s="664" t="s">
        <v>14</v>
      </c>
      <c r="W27" s="665">
        <f>J27</f>
        <v>100</v>
      </c>
      <c r="X27" s="666"/>
      <c r="Y27" s="3702"/>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4"/>
      <c r="M28" s="2435"/>
      <c r="N28" s="2435"/>
      <c r="O28" s="2536"/>
      <c r="P28" s="3702"/>
      <c r="Q28" s="530"/>
      <c r="R28" s="664"/>
      <c r="S28" s="665"/>
      <c r="T28" s="664"/>
      <c r="U28" s="665"/>
      <c r="V28" s="664"/>
      <c r="W28" s="665"/>
      <c r="X28" s="666"/>
      <c r="Y28" s="3702"/>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702"/>
      <c r="Q29" s="530" t="str">
        <f t="shared" ref="Q29" si="9">B29</f>
        <v>基础设施水平</v>
      </c>
      <c r="R29" s="664" t="s">
        <v>14</v>
      </c>
      <c r="S29" s="665">
        <f>F29</f>
        <v>100</v>
      </c>
      <c r="T29" s="664" t="s">
        <v>14</v>
      </c>
      <c r="U29" s="665">
        <f>H29</f>
        <v>100</v>
      </c>
      <c r="V29" s="664" t="s">
        <v>14</v>
      </c>
      <c r="W29" s="665">
        <f>J29</f>
        <v>100</v>
      </c>
      <c r="X29" s="666"/>
      <c r="Y29" s="3702"/>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4"/>
      <c r="M30" s="2435"/>
      <c r="N30" s="2435"/>
      <c r="O30" s="2536"/>
      <c r="P30" s="3702"/>
      <c r="Q30" s="530"/>
      <c r="R30" s="664"/>
      <c r="S30" s="665"/>
      <c r="T30" s="664"/>
      <c r="U30" s="665"/>
      <c r="V30" s="664"/>
      <c r="W30" s="665"/>
      <c r="X30" s="666"/>
      <c r="Y30" s="3702"/>
      <c r="Z30" s="50"/>
      <c r="AA30" s="1263">
        <v>1</v>
      </c>
      <c r="AB30" s="1263">
        <v>1</v>
      </c>
      <c r="AC30" s="1263">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70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702"/>
      <c r="Z31" s="1263" t="str">
        <f t="shared" ref="Z31:Z45" si="13">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702"/>
      <c r="Q32" s="1262" t="str">
        <f t="shared" si="8"/>
        <v>毗邻道路的类型与等级</v>
      </c>
      <c r="R32" s="667" t="s">
        <v>14</v>
      </c>
      <c r="S32" s="668">
        <f t="shared" si="10"/>
        <v>100</v>
      </c>
      <c r="T32" s="667" t="s">
        <v>14</v>
      </c>
      <c r="U32" s="668">
        <f t="shared" si="11"/>
        <v>100</v>
      </c>
      <c r="V32" s="667" t="s">
        <v>14</v>
      </c>
      <c r="W32" s="668">
        <f t="shared" si="12"/>
        <v>100</v>
      </c>
      <c r="X32" s="1264"/>
      <c r="Y32" s="3702"/>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702"/>
      <c r="Q33" s="1262"/>
      <c r="R33" s="667"/>
      <c r="S33" s="668"/>
      <c r="T33" s="667"/>
      <c r="U33" s="668"/>
      <c r="V33" s="667"/>
      <c r="W33" s="668"/>
      <c r="X33" s="1264"/>
      <c r="Y33" s="3702"/>
      <c r="Z33" s="1263"/>
      <c r="AA33" s="1263">
        <v>1</v>
      </c>
      <c r="AB33" s="1263">
        <v>1</v>
      </c>
      <c r="AC33" s="1263">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702"/>
      <c r="Q34" s="1262" t="str">
        <f t="shared" si="8"/>
        <v>土地级别</v>
      </c>
      <c r="R34" s="667" t="s">
        <v>14</v>
      </c>
      <c r="S34" s="668">
        <f t="shared" si="10"/>
        <v>100</v>
      </c>
      <c r="T34" s="667" t="s">
        <v>14</v>
      </c>
      <c r="U34" s="668">
        <f t="shared" si="11"/>
        <v>100</v>
      </c>
      <c r="V34" s="667" t="s">
        <v>14</v>
      </c>
      <c r="W34" s="668">
        <f t="shared" si="12"/>
        <v>100</v>
      </c>
      <c r="X34" s="1264"/>
      <c r="Y34" s="370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702"/>
      <c r="Q35" s="1262">
        <f t="shared" si="8"/>
        <v>111</v>
      </c>
      <c r="R35" s="667" t="s">
        <v>14</v>
      </c>
      <c r="S35" s="668">
        <f t="shared" si="10"/>
        <v>100</v>
      </c>
      <c r="T35" s="667" t="s">
        <v>14</v>
      </c>
      <c r="U35" s="668">
        <f t="shared" si="11"/>
        <v>100</v>
      </c>
      <c r="V35" s="667" t="s">
        <v>14</v>
      </c>
      <c r="W35" s="668">
        <f t="shared" si="12"/>
        <v>100</v>
      </c>
      <c r="X35" s="1264"/>
      <c r="Y35" s="370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726" t="s">
        <v>1696</v>
      </c>
      <c r="Q36" s="1262">
        <f t="shared" si="8"/>
        <v>111</v>
      </c>
      <c r="R36" s="667" t="s">
        <v>14</v>
      </c>
      <c r="S36" s="668">
        <f t="shared" si="10"/>
        <v>100</v>
      </c>
      <c r="T36" s="667" t="s">
        <v>14</v>
      </c>
      <c r="U36" s="668">
        <f t="shared" si="11"/>
        <v>100</v>
      </c>
      <c r="V36" s="667" t="s">
        <v>14</v>
      </c>
      <c r="W36" s="668">
        <f t="shared" si="12"/>
        <v>100</v>
      </c>
      <c r="X36" s="1264"/>
      <c r="Y36" s="370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706"/>
      <c r="Q37" s="1262">
        <f t="shared" si="8"/>
        <v>111</v>
      </c>
      <c r="R37" s="669" t="s">
        <v>14</v>
      </c>
      <c r="S37" s="670">
        <f t="shared" si="10"/>
        <v>100</v>
      </c>
      <c r="T37" s="669" t="s">
        <v>14</v>
      </c>
      <c r="U37" s="670">
        <f t="shared" si="11"/>
        <v>100</v>
      </c>
      <c r="V37" s="669" t="s">
        <v>14</v>
      </c>
      <c r="W37" s="670">
        <f t="shared" si="12"/>
        <v>100</v>
      </c>
      <c r="X37" s="671"/>
      <c r="Y37" s="3706"/>
      <c r="Z37" s="672">
        <f t="shared" si="13"/>
        <v>111</v>
      </c>
      <c r="AA37" s="1263">
        <f t="shared" si="3"/>
        <v>1</v>
      </c>
      <c r="AB37" s="1263">
        <f t="shared" si="4"/>
        <v>1</v>
      </c>
      <c r="AC37" s="1263">
        <f t="shared" si="5"/>
        <v>1</v>
      </c>
    </row>
    <row r="38" spans="1:29" ht="15">
      <c r="A38" s="409" t="s">
        <v>1694</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706"/>
      <c r="Q38" s="1262" t="str">
        <f>B38</f>
        <v>宗地面积</v>
      </c>
      <c r="R38" s="667" t="s">
        <v>14</v>
      </c>
      <c r="S38" s="668" t="e">
        <f t="shared" si="10"/>
        <v>#N/A</v>
      </c>
      <c r="T38" s="667" t="s">
        <v>14</v>
      </c>
      <c r="U38" s="668" t="e">
        <f t="shared" si="11"/>
        <v>#N/A</v>
      </c>
      <c r="V38" s="667" t="s">
        <v>14</v>
      </c>
      <c r="W38" s="668" t="e">
        <f t="shared" si="12"/>
        <v>#N/A</v>
      </c>
      <c r="X38" s="1264"/>
      <c r="Y38" s="3706"/>
      <c r="Z38" s="1263" t="str">
        <f t="shared" si="13"/>
        <v>宗地面积</v>
      </c>
      <c r="AA38" s="1263" t="e">
        <f t="shared" si="3"/>
        <v>#N/A</v>
      </c>
      <c r="AB38" s="1263" t="e">
        <f t="shared" si="4"/>
        <v>#N/A</v>
      </c>
      <c r="AC38" s="1263" t="e">
        <f t="shared" si="5"/>
        <v>#N/A</v>
      </c>
    </row>
    <row r="39" spans="1:29" ht="15">
      <c r="A39" s="409"/>
      <c r="B39" s="364" t="s">
        <v>1872</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706"/>
      <c r="Q39" s="1262" t="str">
        <f t="shared" ref="Q39:Q45" si="14">B39</f>
        <v>宗地形状</v>
      </c>
      <c r="R39" s="667" t="s">
        <v>14</v>
      </c>
      <c r="S39" s="668">
        <f t="shared" si="10"/>
        <v>100</v>
      </c>
      <c r="T39" s="667" t="s">
        <v>14</v>
      </c>
      <c r="U39" s="668">
        <f t="shared" si="11"/>
        <v>100</v>
      </c>
      <c r="V39" s="667" t="s">
        <v>14</v>
      </c>
      <c r="W39" s="668">
        <f t="shared" si="12"/>
        <v>100</v>
      </c>
      <c r="X39" s="1264"/>
      <c r="Y39" s="3706"/>
      <c r="Z39" s="1263" t="str">
        <f t="shared" si="13"/>
        <v>宗地形状</v>
      </c>
      <c r="AA39" s="1263">
        <f t="shared" si="3"/>
        <v>1</v>
      </c>
      <c r="AB39" s="1263">
        <f t="shared" si="4"/>
        <v>1</v>
      </c>
      <c r="AC39" s="1263">
        <f t="shared" si="5"/>
        <v>1</v>
      </c>
    </row>
    <row r="40" spans="1:29" ht="15">
      <c r="A40" s="409"/>
      <c r="B40" s="364" t="s">
        <v>1873</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706"/>
      <c r="Q40" s="1262" t="str">
        <f t="shared" si="14"/>
        <v>临街宽度及深度</v>
      </c>
      <c r="R40" s="667" t="s">
        <v>14</v>
      </c>
      <c r="S40" s="668">
        <f t="shared" si="10"/>
        <v>100</v>
      </c>
      <c r="T40" s="667" t="s">
        <v>14</v>
      </c>
      <c r="U40" s="668">
        <f t="shared" si="11"/>
        <v>100</v>
      </c>
      <c r="V40" s="667" t="s">
        <v>14</v>
      </c>
      <c r="W40" s="668">
        <f t="shared" si="12"/>
        <v>100</v>
      </c>
      <c r="X40" s="1264"/>
      <c r="Y40" s="3706"/>
      <c r="Z40" s="1263" t="str">
        <f t="shared" si="13"/>
        <v>临街宽度及深度</v>
      </c>
      <c r="AA40" s="1263">
        <f t="shared" si="3"/>
        <v>1</v>
      </c>
      <c r="AB40" s="1263">
        <f t="shared" si="4"/>
        <v>1</v>
      </c>
      <c r="AC40" s="1263">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706"/>
      <c r="Q41" s="1262" t="str">
        <f t="shared" si="14"/>
        <v>宗地开发程度</v>
      </c>
      <c r="R41" s="664" t="s">
        <v>14</v>
      </c>
      <c r="S41" s="665">
        <f t="shared" si="10"/>
        <v>100</v>
      </c>
      <c r="T41" s="664" t="s">
        <v>14</v>
      </c>
      <c r="U41" s="665">
        <f t="shared" si="11"/>
        <v>100</v>
      </c>
      <c r="V41" s="664" t="s">
        <v>14</v>
      </c>
      <c r="W41" s="665">
        <f t="shared" si="12"/>
        <v>100</v>
      </c>
      <c r="X41" s="666"/>
      <c r="Y41" s="3706"/>
      <c r="Z41" s="50" t="str">
        <f t="shared" si="13"/>
        <v>宗地开发程度</v>
      </c>
      <c r="AA41" s="50">
        <f t="shared" si="3"/>
        <v>1</v>
      </c>
      <c r="AB41" s="50">
        <f t="shared" si="4"/>
        <v>1</v>
      </c>
      <c r="AC41" s="50">
        <f t="shared" si="5"/>
        <v>1</v>
      </c>
    </row>
    <row r="42" spans="1:29" ht="15">
      <c r="A42" s="409"/>
      <c r="B42" s="364" t="s">
        <v>1875</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706" t="s">
        <v>1696</v>
      </c>
      <c r="Q42" s="1262" t="str">
        <f t="shared" si="14"/>
        <v>工程地质条件</v>
      </c>
      <c r="R42" s="667" t="s">
        <v>14</v>
      </c>
      <c r="S42" s="668">
        <f t="shared" si="10"/>
        <v>100</v>
      </c>
      <c r="T42" s="667" t="s">
        <v>14</v>
      </c>
      <c r="U42" s="668">
        <f t="shared" si="11"/>
        <v>100</v>
      </c>
      <c r="V42" s="667" t="s">
        <v>14</v>
      </c>
      <c r="W42" s="668">
        <f t="shared" si="12"/>
        <v>100</v>
      </c>
      <c r="X42" s="1264"/>
      <c r="Y42" s="370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706"/>
      <c r="Q43" s="1262">
        <f t="shared" si="14"/>
        <v>111</v>
      </c>
      <c r="R43" s="667" t="s">
        <v>14</v>
      </c>
      <c r="S43" s="668">
        <f t="shared" si="10"/>
        <v>100</v>
      </c>
      <c r="T43" s="667" t="s">
        <v>14</v>
      </c>
      <c r="U43" s="668">
        <f t="shared" si="11"/>
        <v>100</v>
      </c>
      <c r="V43" s="667" t="s">
        <v>14</v>
      </c>
      <c r="W43" s="668">
        <f t="shared" si="12"/>
        <v>100</v>
      </c>
      <c r="X43" s="1264"/>
      <c r="Y43" s="370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706"/>
      <c r="Q44" s="1262">
        <f t="shared" si="14"/>
        <v>111</v>
      </c>
      <c r="R44" s="667" t="s">
        <v>14</v>
      </c>
      <c r="S44" s="668">
        <f t="shared" si="10"/>
        <v>100</v>
      </c>
      <c r="T44" s="667" t="s">
        <v>14</v>
      </c>
      <c r="U44" s="668">
        <f t="shared" si="11"/>
        <v>100</v>
      </c>
      <c r="V44" s="667" t="s">
        <v>14</v>
      </c>
      <c r="W44" s="668">
        <f t="shared" si="12"/>
        <v>100</v>
      </c>
      <c r="X44" s="1264"/>
      <c r="Y44" s="3706"/>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706"/>
      <c r="Q45" s="1262">
        <f t="shared" si="14"/>
        <v>111</v>
      </c>
      <c r="R45" s="669" t="s">
        <v>14</v>
      </c>
      <c r="S45" s="670">
        <f t="shared" si="10"/>
        <v>100</v>
      </c>
      <c r="T45" s="669" t="s">
        <v>14</v>
      </c>
      <c r="U45" s="670">
        <f t="shared" si="11"/>
        <v>100</v>
      </c>
      <c r="V45" s="669" t="s">
        <v>14</v>
      </c>
      <c r="W45" s="670">
        <f t="shared" si="12"/>
        <v>100</v>
      </c>
      <c r="X45" s="671"/>
      <c r="Y45" s="3706"/>
      <c r="Z45" s="672">
        <f t="shared" si="13"/>
        <v>111</v>
      </c>
      <c r="AA45" s="1263">
        <f t="shared" si="3"/>
        <v>1</v>
      </c>
      <c r="AB45" s="1263">
        <f t="shared" si="4"/>
        <v>1</v>
      </c>
      <c r="AC45" s="1263">
        <f t="shared" si="5"/>
        <v>1</v>
      </c>
    </row>
    <row r="46" spans="1:29" ht="15">
      <c r="A46" s="416" t="s">
        <v>1841</v>
      </c>
      <c r="B46" s="1826" t="s">
        <v>1876</v>
      </c>
      <c r="C46" s="602" t="s">
        <v>0</v>
      </c>
      <c r="D46" s="418"/>
      <c r="E46" s="419"/>
      <c r="F46" s="420"/>
      <c r="G46" s="421"/>
      <c r="H46" s="422"/>
      <c r="I46" s="419"/>
      <c r="J46" s="422"/>
      <c r="K46" s="674"/>
      <c r="L46" s="2490"/>
      <c r="M46" s="2483"/>
      <c r="N46" s="2483"/>
      <c r="O46" s="2483"/>
      <c r="P46" s="3700" t="str">
        <f>A46</f>
        <v>成交单价</v>
      </c>
      <c r="Q46" s="3700"/>
      <c r="R46" s="3695">
        <f>E46</f>
        <v>0</v>
      </c>
      <c r="S46" s="3695"/>
      <c r="T46" s="3695">
        <f>G46</f>
        <v>0</v>
      </c>
      <c r="U46" s="3695"/>
      <c r="V46" s="3695">
        <f>I46</f>
        <v>0</v>
      </c>
      <c r="W46" s="3695"/>
      <c r="X46" s="385"/>
      <c r="Y46" s="673"/>
      <c r="Z46" s="385"/>
      <c r="AA46" s="385"/>
      <c r="AB46" s="385"/>
      <c r="AC46" s="385"/>
    </row>
    <row r="47" spans="1:29" ht="15.75" thickBot="1">
      <c r="A47" s="423" t="s">
        <v>1790</v>
      </c>
      <c r="B47" s="603"/>
      <c r="C47" s="426" t="e">
        <f>R48</f>
        <v>#DIV/0!</v>
      </c>
      <c r="D47" s="2137" t="s">
        <v>2135</v>
      </c>
      <c r="E47" s="426" t="e">
        <f>R47</f>
        <v>#DIV/0!</v>
      </c>
      <c r="F47" s="2138"/>
      <c r="G47" s="425" t="e">
        <f>T47</f>
        <v>#DIV/0!</v>
      </c>
      <c r="H47" s="2138"/>
      <c r="I47" s="426" t="e">
        <f>V47</f>
        <v>#DIV/0!</v>
      </c>
      <c r="J47" s="2138"/>
      <c r="K47" s="2140">
        <f>F47+H47+J47</f>
        <v>0</v>
      </c>
      <c r="L47" s="2490"/>
      <c r="M47" s="2483"/>
      <c r="N47" s="2483"/>
      <c r="O47" s="2483"/>
      <c r="P47" s="3700" t="str">
        <f>A47</f>
        <v>比较价值（元/平方米）</v>
      </c>
      <c r="Q47" s="3700"/>
      <c r="R47" s="3728" t="e">
        <f>ROUND(PRODUCT(R46,AA7:AA45),0)</f>
        <v>#DIV/0!</v>
      </c>
      <c r="S47" s="3728"/>
      <c r="T47" s="3728" t="e">
        <f>ROUND(PRODUCT(T46,AB7:AB45),0)</f>
        <v>#DIV/0!</v>
      </c>
      <c r="U47" s="3728"/>
      <c r="V47" s="3728" t="e">
        <f>ROUND(PRODUCT(V46,AC7:AC45),0)</f>
        <v>#DIV/0!</v>
      </c>
      <c r="W47" s="3728"/>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0"/>
      <c r="M48" s="2483"/>
      <c r="N48" s="2483"/>
      <c r="O48" s="2483"/>
      <c r="P48" s="3697" t="str">
        <f>A48</f>
        <v>估价对象XX用房的比较价值（楼面单价，元/平方米）</v>
      </c>
      <c r="Q48" s="3698"/>
      <c r="R48" s="3729" t="e">
        <f>ROUND(IF(D47="简单平均",AVERAGE(R47:W47),R47*F47+T47*H47+V47*J47),0)</f>
        <v>#DIV/0!</v>
      </c>
      <c r="S48" s="3729"/>
      <c r="T48" s="3729"/>
      <c r="U48" s="3729"/>
      <c r="V48" s="3729"/>
      <c r="W48" s="372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7" t="s">
        <v>1883</v>
      </c>
      <c r="G55" s="3683" t="s">
        <v>1884</v>
      </c>
      <c r="H55" s="3730"/>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90">
        <v>1</v>
      </c>
      <c r="E56" s="610">
        <f>'数据-汇总表'!E8+'数据-汇总表'!E9</f>
        <v>204.54</v>
      </c>
      <c r="F56" s="833" t="e">
        <f t="shared" ref="F56:F64" si="15">ROUND(B56*E56/10000,0)</f>
        <v>#DIV/0!</v>
      </c>
      <c r="G56" s="3682"/>
      <c r="H56" s="3700"/>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v>
      </c>
      <c r="D57" s="891">
        <v>0.25</v>
      </c>
      <c r="E57" s="614"/>
      <c r="F57" s="833" t="e">
        <f t="shared" si="15"/>
        <v>#DIV/0!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v>
      </c>
      <c r="D60" s="891">
        <v>0.25</v>
      </c>
      <c r="E60" s="209">
        <f>'数据-汇总表'!E11</f>
        <v>0</v>
      </c>
      <c r="F60" s="833" t="e">
        <f t="shared" si="15"/>
        <v>#DIV/0!</v>
      </c>
      <c r="G60" s="1831"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0.2</v>
      </c>
      <c r="D62" s="891">
        <v>0.25</v>
      </c>
      <c r="E62" s="209">
        <f>'数据-汇总表'!E13</f>
        <v>0</v>
      </c>
      <c r="F62" s="833" t="e">
        <f t="shared" si="15"/>
        <v>#DIV/0!</v>
      </c>
      <c r="G62" s="839" t="s">
        <v>1897</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v>
      </c>
      <c r="D63" s="891">
        <v>0.25</v>
      </c>
      <c r="E63" s="209">
        <f>'数据-汇总表'!E14</f>
        <v>0</v>
      </c>
      <c r="F63" s="833" t="e">
        <f t="shared" si="15"/>
        <v>#DIV/0!</v>
      </c>
      <c r="G63" s="1831"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t="e">
        <f t="shared" si="17"/>
        <v>#DIV/0!</v>
      </c>
      <c r="C64" s="163">
        <f t="shared" si="16"/>
        <v>0</v>
      </c>
      <c r="D64" s="891">
        <v>0.25</v>
      </c>
      <c r="E64" s="209">
        <f>'数据-汇总表'!E15</f>
        <v>0</v>
      </c>
      <c r="F64" s="833" t="e">
        <f t="shared" si="15"/>
        <v>#DIV/0!</v>
      </c>
      <c r="G64" s="1832"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204.54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2006-5-1</v>
      </c>
      <c r="D67" s="656">
        <f>EDATE(C67,-3)</f>
        <v>38749</v>
      </c>
      <c r="E67" s="656">
        <f>EDATE(D67,-3)</f>
        <v>38657</v>
      </c>
      <c r="F67" s="656">
        <f t="shared" ref="F67:O67" si="18">EDATE(E67,-3)</f>
        <v>38565</v>
      </c>
      <c r="G67" s="656">
        <f t="shared" si="18"/>
        <v>38473</v>
      </c>
      <c r="H67" s="656">
        <f t="shared" si="18"/>
        <v>38384</v>
      </c>
      <c r="I67" s="656">
        <f t="shared" si="18"/>
        <v>38292</v>
      </c>
      <c r="J67" s="656">
        <f t="shared" si="18"/>
        <v>38200</v>
      </c>
      <c r="K67" s="656">
        <f t="shared" si="18"/>
        <v>38108</v>
      </c>
      <c r="L67" s="656">
        <f t="shared" si="18"/>
        <v>38018</v>
      </c>
      <c r="M67" s="656">
        <f t="shared" si="18"/>
        <v>37926</v>
      </c>
      <c r="N67" s="656">
        <f t="shared" si="18"/>
        <v>37834</v>
      </c>
      <c r="O67" s="656">
        <f t="shared" si="18"/>
        <v>37742</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1901</v>
      </c>
      <c r="B69" s="1046"/>
      <c r="C69" s="1100" t="str">
        <f>YEAR(C67)&amp;"-"&amp;ROUNDUP(MONTH(C67)/3,0)</f>
        <v>2006-2</v>
      </c>
      <c r="D69" s="1100" t="str">
        <f>YEAR(D67)&amp;"-"&amp;ROUNDUP(MONTH(D67)/3,0)</f>
        <v>2006-1</v>
      </c>
      <c r="E69" s="1100" t="str">
        <f t="shared" ref="E69:O69" si="19">YEAR(E67)&amp;"-"&amp;ROUNDUP(MONTH(E67)/3,0)</f>
        <v>2005-4</v>
      </c>
      <c r="F69" s="1100" t="str">
        <f t="shared" si="19"/>
        <v>2005-3</v>
      </c>
      <c r="G69" s="1100" t="str">
        <f t="shared" si="19"/>
        <v>2005-2</v>
      </c>
      <c r="H69" s="1100" t="str">
        <f t="shared" si="19"/>
        <v>2005-1</v>
      </c>
      <c r="I69" s="1100" t="str">
        <f t="shared" si="19"/>
        <v>2004-4</v>
      </c>
      <c r="J69" s="1100" t="str">
        <f t="shared" si="19"/>
        <v>2004-3</v>
      </c>
      <c r="K69" s="1100" t="str">
        <f t="shared" si="19"/>
        <v>2004-2</v>
      </c>
      <c r="L69" s="1100" t="str">
        <f t="shared" si="19"/>
        <v>2004-1</v>
      </c>
      <c r="M69" s="1100" t="str">
        <f t="shared" si="19"/>
        <v>2003-4</v>
      </c>
      <c r="N69" s="1100" t="str">
        <f t="shared" si="19"/>
        <v>2003-3</v>
      </c>
      <c r="O69" s="1100" t="str">
        <f t="shared" si="19"/>
        <v>2003-2</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683" t="s">
        <v>1767</v>
      </c>
      <c r="D4" s="3684"/>
      <c r="E4" s="3685" t="s">
        <v>1768</v>
      </c>
      <c r="F4" s="3686"/>
      <c r="G4" s="3683" t="s">
        <v>1769</v>
      </c>
      <c r="H4" s="3684"/>
      <c r="I4" s="3683" t="s">
        <v>1770</v>
      </c>
      <c r="J4" s="3684"/>
      <c r="K4" s="537" t="s">
        <v>1771</v>
      </c>
      <c r="L4" s="2482"/>
      <c r="M4" s="2483"/>
      <c r="N4" s="2483"/>
      <c r="O4" s="2483"/>
      <c r="P4" s="3687" t="s">
        <v>1772</v>
      </c>
      <c r="Q4" s="3688"/>
      <c r="R4" s="3670" t="s">
        <v>1768</v>
      </c>
      <c r="S4" s="3671"/>
      <c r="T4" s="3670" t="s">
        <v>1769</v>
      </c>
      <c r="U4" s="3671"/>
      <c r="V4" s="3695" t="s">
        <v>1770</v>
      </c>
      <c r="W4" s="3695"/>
      <c r="X4" s="1264"/>
      <c r="Y4" s="3670" t="s">
        <v>1772</v>
      </c>
      <c r="Z4" s="3671"/>
      <c r="AA4" s="3665" t="s">
        <v>1768</v>
      </c>
      <c r="AB4" s="3666" t="s">
        <v>1769</v>
      </c>
      <c r="AC4" s="3665" t="s">
        <v>1770</v>
      </c>
    </row>
    <row r="5" spans="1:29" ht="15">
      <c r="A5" s="348"/>
      <c r="B5" s="349"/>
      <c r="C5" s="3679" t="s">
        <v>1673</v>
      </c>
      <c r="D5" s="3676"/>
      <c r="E5" s="3710" t="s">
        <v>1674</v>
      </c>
      <c r="F5" s="3674"/>
      <c r="G5" s="3679" t="s">
        <v>1675</v>
      </c>
      <c r="H5" s="3676"/>
      <c r="I5" s="3679" t="s">
        <v>1676</v>
      </c>
      <c r="J5" s="3676"/>
      <c r="K5" s="537"/>
      <c r="L5" s="2482"/>
      <c r="M5" s="2483"/>
      <c r="N5" s="2483"/>
      <c r="O5" s="2483"/>
      <c r="P5" s="3689"/>
      <c r="Q5" s="3690"/>
      <c r="R5" s="3672"/>
      <c r="S5" s="3673"/>
      <c r="T5" s="3672"/>
      <c r="U5" s="3673"/>
      <c r="V5" s="3695"/>
      <c r="W5" s="3695"/>
      <c r="X5" s="1264"/>
      <c r="Y5" s="3672"/>
      <c r="Z5" s="3673"/>
      <c r="AA5" s="3666"/>
      <c r="AB5" s="3666"/>
      <c r="AC5" s="3666"/>
    </row>
    <row r="6" spans="1:29" ht="15.75" thickBot="1">
      <c r="A6" s="350"/>
      <c r="B6" s="351"/>
      <c r="C6" s="3731" t="s">
        <v>1916</v>
      </c>
      <c r="D6" s="3732"/>
      <c r="E6" s="3733" t="s">
        <v>1916</v>
      </c>
      <c r="F6" s="3734"/>
      <c r="G6" s="3731" t="s">
        <v>1916</v>
      </c>
      <c r="H6" s="3732"/>
      <c r="I6" s="3731" t="s">
        <v>1916</v>
      </c>
      <c r="J6" s="3732"/>
      <c r="K6" s="537" t="s">
        <v>1678</v>
      </c>
      <c r="L6" s="2482"/>
      <c r="M6" s="2483"/>
      <c r="N6" s="2483"/>
      <c r="O6" s="2483"/>
      <c r="P6" s="3691"/>
      <c r="Q6" s="3692"/>
      <c r="R6" s="3672"/>
      <c r="S6" s="3673"/>
      <c r="T6" s="3693"/>
      <c r="U6" s="3694"/>
      <c r="V6" s="3695"/>
      <c r="W6" s="3695"/>
      <c r="X6" s="1264"/>
      <c r="Y6" s="3693"/>
      <c r="Z6" s="3694"/>
      <c r="AA6" s="3667"/>
      <c r="AB6" s="3667"/>
      <c r="AC6" s="3667"/>
    </row>
    <row r="7" spans="1:29" s="102" customFormat="1" ht="15.75" thickBot="1">
      <c r="A7" s="352" t="s">
        <v>1679</v>
      </c>
      <c r="B7" s="353"/>
      <c r="C7" s="354">
        <f>'数据-取费表'!B2</f>
        <v>38867</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668" t="s">
        <v>1680</v>
      </c>
      <c r="Q7" s="3696"/>
      <c r="R7" s="664" t="s">
        <v>14</v>
      </c>
      <c r="S7" s="665">
        <f t="shared" ref="S7:S15" si="0">F7</f>
        <v>0</v>
      </c>
      <c r="T7" s="664" t="s">
        <v>14</v>
      </c>
      <c r="U7" s="665">
        <f t="shared" ref="U7:U15" si="1">H7</f>
        <v>0</v>
      </c>
      <c r="V7" s="664" t="s">
        <v>14</v>
      </c>
      <c r="W7" s="665">
        <f t="shared" ref="W7:W15" si="2">J7</f>
        <v>0</v>
      </c>
      <c r="X7" s="666"/>
      <c r="Y7" s="3668" t="s">
        <v>1680</v>
      </c>
      <c r="Z7" s="366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668" t="s">
        <v>1683</v>
      </c>
      <c r="Q8" s="3669"/>
      <c r="R8" s="664" t="s">
        <v>14</v>
      </c>
      <c r="S8" s="665">
        <f t="shared" si="0"/>
        <v>0</v>
      </c>
      <c r="T8" s="664" t="s">
        <v>14</v>
      </c>
      <c r="U8" s="665">
        <f t="shared" si="1"/>
        <v>0</v>
      </c>
      <c r="V8" s="664" t="s">
        <v>14</v>
      </c>
      <c r="W8" s="665">
        <f t="shared" si="2"/>
        <v>0</v>
      </c>
      <c r="X8" s="666"/>
      <c r="Y8" s="3668" t="s">
        <v>1683</v>
      </c>
      <c r="Z8" s="3669"/>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700" t="s">
        <v>1686</v>
      </c>
      <c r="Q9" s="530" t="str">
        <f t="shared" ref="Q9:Q15" si="6">B9</f>
        <v>用途</v>
      </c>
      <c r="R9" s="664" t="s">
        <v>14</v>
      </c>
      <c r="S9" s="665">
        <f t="shared" si="0"/>
        <v>100</v>
      </c>
      <c r="T9" s="664" t="s">
        <v>14</v>
      </c>
      <c r="U9" s="665">
        <f t="shared" si="1"/>
        <v>100</v>
      </c>
      <c r="V9" s="664" t="s">
        <v>14</v>
      </c>
      <c r="W9" s="665">
        <f t="shared" si="2"/>
        <v>100</v>
      </c>
      <c r="X9" s="666"/>
      <c r="Y9" s="36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700"/>
      <c r="Q10" s="530" t="str">
        <f t="shared" si="6"/>
        <v>土地使用年限（年）</v>
      </c>
      <c r="R10" s="664" t="s">
        <v>14</v>
      </c>
      <c r="S10" s="665">
        <f t="shared" si="0"/>
        <v>100</v>
      </c>
      <c r="T10" s="664" t="s">
        <v>14</v>
      </c>
      <c r="U10" s="665">
        <f t="shared" si="1"/>
        <v>100</v>
      </c>
      <c r="V10" s="664" t="s">
        <v>14</v>
      </c>
      <c r="W10" s="665">
        <f t="shared" si="2"/>
        <v>100</v>
      </c>
      <c r="X10" s="666"/>
      <c r="Y10" s="361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700"/>
      <c r="Q11" s="530" t="str">
        <f t="shared" si="6"/>
        <v>容积率</v>
      </c>
      <c r="R11" s="664" t="s">
        <v>14</v>
      </c>
      <c r="S11" s="665" t="e">
        <f t="shared" si="0"/>
        <v>#N/A</v>
      </c>
      <c r="T11" s="664" t="s">
        <v>14</v>
      </c>
      <c r="U11" s="665" t="e">
        <f t="shared" si="1"/>
        <v>#N/A</v>
      </c>
      <c r="V11" s="664" t="s">
        <v>14</v>
      </c>
      <c r="W11" s="665" t="e">
        <f t="shared" si="2"/>
        <v>#N/A</v>
      </c>
      <c r="X11" s="666"/>
      <c r="Y11" s="36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700"/>
      <c r="Q12" s="530">
        <f t="shared" si="6"/>
        <v>111</v>
      </c>
      <c r="R12" s="664" t="s">
        <v>14</v>
      </c>
      <c r="S12" s="665">
        <f t="shared" si="0"/>
        <v>100</v>
      </c>
      <c r="T12" s="664" t="s">
        <v>14</v>
      </c>
      <c r="U12" s="665">
        <f t="shared" si="1"/>
        <v>100</v>
      </c>
      <c r="V12" s="664" t="s">
        <v>14</v>
      </c>
      <c r="W12" s="665">
        <f t="shared" si="2"/>
        <v>100</v>
      </c>
      <c r="X12" s="666"/>
      <c r="Y12" s="36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700"/>
      <c r="Q13" s="530">
        <f t="shared" si="6"/>
        <v>111</v>
      </c>
      <c r="R13" s="664" t="s">
        <v>14</v>
      </c>
      <c r="S13" s="665">
        <f t="shared" si="0"/>
        <v>100</v>
      </c>
      <c r="T13" s="664" t="s">
        <v>14</v>
      </c>
      <c r="U13" s="665">
        <f t="shared" si="1"/>
        <v>100</v>
      </c>
      <c r="V13" s="664" t="s">
        <v>14</v>
      </c>
      <c r="W13" s="665">
        <f t="shared" si="2"/>
        <v>100</v>
      </c>
      <c r="X13" s="666"/>
      <c r="Y13" s="3612"/>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700"/>
      <c r="Q14" s="530">
        <f t="shared" si="6"/>
        <v>111</v>
      </c>
      <c r="R14" s="664" t="s">
        <v>14</v>
      </c>
      <c r="S14" s="665">
        <f t="shared" si="0"/>
        <v>100</v>
      </c>
      <c r="T14" s="664" t="s">
        <v>14</v>
      </c>
      <c r="U14" s="665">
        <f t="shared" si="1"/>
        <v>100</v>
      </c>
      <c r="V14" s="664" t="s">
        <v>14</v>
      </c>
      <c r="W14" s="665">
        <f t="shared" si="2"/>
        <v>100</v>
      </c>
      <c r="X14" s="666"/>
      <c r="Y14" s="3612"/>
      <c r="Z14" s="50">
        <f t="shared" si="7"/>
        <v>111</v>
      </c>
      <c r="AA14" s="50">
        <f t="shared" si="3"/>
        <v>1</v>
      </c>
      <c r="AB14" s="50">
        <f t="shared" si="4"/>
        <v>1</v>
      </c>
      <c r="AC14" s="50">
        <f t="shared" si="5"/>
        <v>1</v>
      </c>
    </row>
    <row r="15" spans="1:29" ht="57">
      <c r="A15" s="379" t="s">
        <v>1690</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701" t="s">
        <v>1691</v>
      </c>
      <c r="Q15" s="1262" t="str">
        <f t="shared" si="6"/>
        <v>产业集聚程度</v>
      </c>
      <c r="R15" s="667" t="s">
        <v>14</v>
      </c>
      <c r="S15" s="668">
        <f t="shared" si="0"/>
        <v>100</v>
      </c>
      <c r="T15" s="667" t="s">
        <v>14</v>
      </c>
      <c r="U15" s="668">
        <f t="shared" si="1"/>
        <v>100</v>
      </c>
      <c r="V15" s="667" t="s">
        <v>14</v>
      </c>
      <c r="W15" s="668">
        <f t="shared" si="2"/>
        <v>100</v>
      </c>
      <c r="X15" s="1264"/>
      <c r="Y15" s="3701"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702"/>
      <c r="Q16" s="1262"/>
      <c r="R16" s="667"/>
      <c r="S16" s="668"/>
      <c r="T16" s="667"/>
      <c r="U16" s="668"/>
      <c r="V16" s="667"/>
      <c r="W16" s="668"/>
      <c r="X16" s="1264"/>
      <c r="Y16" s="3702"/>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702"/>
      <c r="Q17" s="1262" t="str">
        <f>B17</f>
        <v>交通便捷度</v>
      </c>
      <c r="R17" s="667" t="s">
        <v>14</v>
      </c>
      <c r="S17" s="668">
        <f>F17</f>
        <v>100</v>
      </c>
      <c r="T17" s="667" t="s">
        <v>14</v>
      </c>
      <c r="U17" s="668">
        <f>H17</f>
        <v>100</v>
      </c>
      <c r="V17" s="667" t="s">
        <v>14</v>
      </c>
      <c r="W17" s="668">
        <f>J17</f>
        <v>100</v>
      </c>
      <c r="X17" s="1264"/>
      <c r="Y17" s="3702"/>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702"/>
      <c r="Q18" s="1262"/>
      <c r="R18" s="667"/>
      <c r="S18" s="668"/>
      <c r="T18" s="667"/>
      <c r="U18" s="668"/>
      <c r="V18" s="667"/>
      <c r="W18" s="668"/>
      <c r="X18" s="1264"/>
      <c r="Y18" s="3702"/>
      <c r="Z18" s="1263"/>
      <c r="AA18" s="1263">
        <v>1</v>
      </c>
      <c r="AB18" s="1263">
        <v>1</v>
      </c>
      <c r="AC18" s="1263">
        <v>1</v>
      </c>
    </row>
    <row r="19" spans="1:29" ht="15">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702"/>
      <c r="Q19" s="1262" t="str">
        <f t="shared" ref="Q19:Q33" si="8">B19</f>
        <v>区域土地利用方向</v>
      </c>
      <c r="R19" s="667" t="s">
        <v>14</v>
      </c>
      <c r="S19" s="668">
        <f>F19</f>
        <v>100</v>
      </c>
      <c r="T19" s="667" t="s">
        <v>14</v>
      </c>
      <c r="U19" s="668">
        <f>H19</f>
        <v>100</v>
      </c>
      <c r="V19" s="667" t="s">
        <v>14</v>
      </c>
      <c r="W19" s="668">
        <f>J19</f>
        <v>100</v>
      </c>
      <c r="X19" s="1264"/>
      <c r="Y19" s="3702"/>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702"/>
      <c r="Q20" s="1262"/>
      <c r="R20" s="667"/>
      <c r="S20" s="668"/>
      <c r="T20" s="667"/>
      <c r="U20" s="668"/>
      <c r="V20" s="667"/>
      <c r="W20" s="668"/>
      <c r="X20" s="1264"/>
      <c r="Y20" s="3702"/>
      <c r="Z20" s="1263"/>
      <c r="AA20" s="1263"/>
      <c r="AB20" s="1263"/>
      <c r="AC20" s="1263"/>
    </row>
    <row r="21" spans="1:29" ht="71.25">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702"/>
      <c r="Q21" s="1262" t="str">
        <f t="shared" si="8"/>
        <v>环境状况</v>
      </c>
      <c r="R21" s="667" t="s">
        <v>14</v>
      </c>
      <c r="S21" s="668">
        <f>F21</f>
        <v>100</v>
      </c>
      <c r="T21" s="667" t="s">
        <v>14</v>
      </c>
      <c r="U21" s="668">
        <f>H21</f>
        <v>100</v>
      </c>
      <c r="V21" s="667" t="s">
        <v>14</v>
      </c>
      <c r="W21" s="668">
        <f>J21</f>
        <v>100</v>
      </c>
      <c r="X21" s="1264"/>
      <c r="Y21" s="3702"/>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702"/>
      <c r="Q22" s="1262"/>
      <c r="R22" s="667"/>
      <c r="S22" s="668"/>
      <c r="T22" s="667"/>
      <c r="U22" s="668"/>
      <c r="V22" s="667"/>
      <c r="W22" s="668"/>
      <c r="X22" s="1264"/>
      <c r="Y22" s="3702"/>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702"/>
      <c r="Q23" s="530" t="str">
        <f t="shared" si="8"/>
        <v>公共配套设施</v>
      </c>
      <c r="R23" s="664" t="s">
        <v>14</v>
      </c>
      <c r="S23" s="665">
        <f>F23</f>
        <v>100</v>
      </c>
      <c r="T23" s="664" t="s">
        <v>14</v>
      </c>
      <c r="U23" s="665">
        <f>H23</f>
        <v>100</v>
      </c>
      <c r="V23" s="664" t="s">
        <v>14</v>
      </c>
      <c r="W23" s="665">
        <f>J23</f>
        <v>100</v>
      </c>
      <c r="X23" s="666"/>
      <c r="Y23" s="3702"/>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702"/>
      <c r="Q24" s="530"/>
      <c r="R24" s="664"/>
      <c r="S24" s="665"/>
      <c r="T24" s="664"/>
      <c r="U24" s="665"/>
      <c r="V24" s="664"/>
      <c r="W24" s="665"/>
      <c r="X24" s="666"/>
      <c r="Y24" s="3702"/>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702"/>
      <c r="Q25" s="530" t="str">
        <f t="shared" ref="Q25" si="9">B25</f>
        <v>基础设施水平</v>
      </c>
      <c r="R25" s="664" t="s">
        <v>14</v>
      </c>
      <c r="S25" s="665">
        <f>F25</f>
        <v>100</v>
      </c>
      <c r="T25" s="664" t="s">
        <v>14</v>
      </c>
      <c r="U25" s="665">
        <f>H25</f>
        <v>100</v>
      </c>
      <c r="V25" s="664" t="s">
        <v>14</v>
      </c>
      <c r="W25" s="665">
        <f>J25</f>
        <v>100</v>
      </c>
      <c r="X25" s="666"/>
      <c r="Y25" s="3702"/>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702"/>
      <c r="Q26" s="530"/>
      <c r="R26" s="664"/>
      <c r="S26" s="665"/>
      <c r="T26" s="664"/>
      <c r="U26" s="665"/>
      <c r="V26" s="664"/>
      <c r="W26" s="665"/>
      <c r="X26" s="666"/>
      <c r="Y26" s="370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70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702"/>
      <c r="Z27" s="1263" t="str">
        <f t="shared" ref="Z27:Z40" si="13">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702"/>
      <c r="Q28" s="1262" t="str">
        <f t="shared" si="8"/>
        <v>毗邻道路的类型与等级</v>
      </c>
      <c r="R28" s="667" t="s">
        <v>14</v>
      </c>
      <c r="S28" s="668">
        <f t="shared" si="10"/>
        <v>100</v>
      </c>
      <c r="T28" s="667" t="s">
        <v>14</v>
      </c>
      <c r="U28" s="668">
        <f t="shared" si="11"/>
        <v>100</v>
      </c>
      <c r="V28" s="667" t="s">
        <v>14</v>
      </c>
      <c r="W28" s="668">
        <f t="shared" si="12"/>
        <v>100</v>
      </c>
      <c r="X28" s="1264"/>
      <c r="Y28" s="3702"/>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702"/>
      <c r="Q29" s="1262"/>
      <c r="R29" s="667"/>
      <c r="S29" s="668"/>
      <c r="T29" s="667"/>
      <c r="U29" s="668"/>
      <c r="V29" s="667"/>
      <c r="W29" s="668"/>
      <c r="X29" s="1264"/>
      <c r="Y29" s="3702"/>
      <c r="Z29" s="1263"/>
      <c r="AA29" s="1263">
        <v>1</v>
      </c>
      <c r="AB29" s="1263">
        <v>1</v>
      </c>
      <c r="AC29" s="1263">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702"/>
      <c r="Q30" s="1262" t="str">
        <f t="shared" si="8"/>
        <v>土地级别</v>
      </c>
      <c r="R30" s="667" t="s">
        <v>14</v>
      </c>
      <c r="S30" s="668">
        <f t="shared" si="10"/>
        <v>100</v>
      </c>
      <c r="T30" s="667" t="s">
        <v>14</v>
      </c>
      <c r="U30" s="668">
        <f t="shared" si="11"/>
        <v>100</v>
      </c>
      <c r="V30" s="667" t="s">
        <v>14</v>
      </c>
      <c r="W30" s="668">
        <f t="shared" si="12"/>
        <v>100</v>
      </c>
      <c r="X30" s="1264"/>
      <c r="Y30" s="3702"/>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702"/>
      <c r="Q31" s="1262">
        <f t="shared" si="8"/>
        <v>111</v>
      </c>
      <c r="R31" s="667" t="s">
        <v>14</v>
      </c>
      <c r="S31" s="668">
        <f t="shared" si="10"/>
        <v>100</v>
      </c>
      <c r="T31" s="667" t="s">
        <v>14</v>
      </c>
      <c r="U31" s="668">
        <f t="shared" si="11"/>
        <v>100</v>
      </c>
      <c r="V31" s="667" t="s">
        <v>14</v>
      </c>
      <c r="W31" s="668">
        <f t="shared" si="12"/>
        <v>100</v>
      </c>
      <c r="X31" s="1264"/>
      <c r="Y31" s="3702"/>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726" t="s">
        <v>1696</v>
      </c>
      <c r="Q32" s="1262">
        <f t="shared" si="8"/>
        <v>111</v>
      </c>
      <c r="R32" s="667" t="s">
        <v>14</v>
      </c>
      <c r="S32" s="668">
        <f t="shared" si="10"/>
        <v>100</v>
      </c>
      <c r="T32" s="667" t="s">
        <v>14</v>
      </c>
      <c r="U32" s="668">
        <f t="shared" si="11"/>
        <v>100</v>
      </c>
      <c r="V32" s="667" t="s">
        <v>14</v>
      </c>
      <c r="W32" s="668">
        <f t="shared" si="12"/>
        <v>100</v>
      </c>
      <c r="X32" s="1264"/>
      <c r="Y32" s="3706" t="s">
        <v>1696</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706"/>
      <c r="Q33" s="1262">
        <f t="shared" si="8"/>
        <v>111</v>
      </c>
      <c r="R33" s="669" t="s">
        <v>14</v>
      </c>
      <c r="S33" s="670">
        <f t="shared" si="10"/>
        <v>100</v>
      </c>
      <c r="T33" s="669" t="s">
        <v>14</v>
      </c>
      <c r="U33" s="670">
        <f t="shared" si="11"/>
        <v>100</v>
      </c>
      <c r="V33" s="669" t="s">
        <v>14</v>
      </c>
      <c r="W33" s="670">
        <f t="shared" si="12"/>
        <v>100</v>
      </c>
      <c r="X33" s="671"/>
      <c r="Y33" s="3706"/>
      <c r="Z33" s="672">
        <f t="shared" si="13"/>
        <v>111</v>
      </c>
      <c r="AA33" s="1263">
        <f t="shared" si="3"/>
        <v>1</v>
      </c>
      <c r="AB33" s="1263">
        <f t="shared" si="4"/>
        <v>1</v>
      </c>
      <c r="AC33" s="1263">
        <f t="shared" si="5"/>
        <v>1</v>
      </c>
    </row>
    <row r="34" spans="1:31" ht="15">
      <c r="A34" s="379" t="s">
        <v>1694</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706"/>
      <c r="Q34" s="1262" t="str">
        <f>B34</f>
        <v>宗地面积</v>
      </c>
      <c r="R34" s="667" t="s">
        <v>14</v>
      </c>
      <c r="S34" s="668" t="e">
        <f t="shared" si="10"/>
        <v>#N/A</v>
      </c>
      <c r="T34" s="667" t="s">
        <v>14</v>
      </c>
      <c r="U34" s="668" t="e">
        <f t="shared" si="11"/>
        <v>#N/A</v>
      </c>
      <c r="V34" s="667" t="s">
        <v>14</v>
      </c>
      <c r="W34" s="668" t="e">
        <f t="shared" si="12"/>
        <v>#N/A</v>
      </c>
      <c r="X34" s="1264"/>
      <c r="Y34" s="3706"/>
      <c r="Z34" s="1263" t="str">
        <f t="shared" si="13"/>
        <v>宗地面积</v>
      </c>
      <c r="AA34" s="1263" t="e">
        <f t="shared" si="3"/>
        <v>#N/A</v>
      </c>
      <c r="AB34" s="1263" t="e">
        <f t="shared" si="4"/>
        <v>#N/A</v>
      </c>
      <c r="AC34" s="1263" t="e">
        <f t="shared" si="5"/>
        <v>#N/A</v>
      </c>
    </row>
    <row r="35" spans="1:31" ht="15">
      <c r="A35" s="409"/>
      <c r="B35" s="364" t="s">
        <v>1872</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706"/>
      <c r="Q35" s="1262" t="str">
        <f t="shared" ref="Q35:Q40" si="14">B35</f>
        <v>宗地形状</v>
      </c>
      <c r="R35" s="667" t="s">
        <v>14</v>
      </c>
      <c r="S35" s="668">
        <f t="shared" si="10"/>
        <v>100</v>
      </c>
      <c r="T35" s="667" t="s">
        <v>14</v>
      </c>
      <c r="U35" s="668">
        <f t="shared" si="11"/>
        <v>100</v>
      </c>
      <c r="V35" s="667" t="s">
        <v>14</v>
      </c>
      <c r="W35" s="668">
        <f t="shared" si="12"/>
        <v>100</v>
      </c>
      <c r="X35" s="1264"/>
      <c r="Y35" s="3706"/>
      <c r="Z35" s="1263" t="str">
        <f t="shared" si="13"/>
        <v>宗地形状</v>
      </c>
      <c r="AA35" s="1263">
        <f t="shared" si="3"/>
        <v>1</v>
      </c>
      <c r="AB35" s="1263">
        <f t="shared" si="4"/>
        <v>1</v>
      </c>
      <c r="AC35" s="1263">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706"/>
      <c r="Q36" s="1262" t="str">
        <f t="shared" si="14"/>
        <v>宗地开发程度</v>
      </c>
      <c r="R36" s="664" t="s">
        <v>14</v>
      </c>
      <c r="S36" s="665">
        <f t="shared" si="10"/>
        <v>100</v>
      </c>
      <c r="T36" s="664" t="s">
        <v>14</v>
      </c>
      <c r="U36" s="665">
        <f t="shared" si="11"/>
        <v>100</v>
      </c>
      <c r="V36" s="664" t="s">
        <v>14</v>
      </c>
      <c r="W36" s="665">
        <f t="shared" si="12"/>
        <v>100</v>
      </c>
      <c r="X36" s="666"/>
      <c r="Y36" s="3706"/>
      <c r="Z36" s="50" t="str">
        <f t="shared" si="13"/>
        <v>宗地开发程度</v>
      </c>
      <c r="AA36" s="50">
        <f t="shared" si="3"/>
        <v>1</v>
      </c>
      <c r="AB36" s="50">
        <f t="shared" si="4"/>
        <v>1</v>
      </c>
      <c r="AC36" s="50">
        <f t="shared" si="5"/>
        <v>1</v>
      </c>
    </row>
    <row r="37" spans="1:31" ht="15">
      <c r="A37" s="409"/>
      <c r="B37" s="364" t="s">
        <v>1875</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706" t="s">
        <v>1696</v>
      </c>
      <c r="Q37" s="1262" t="str">
        <f t="shared" si="14"/>
        <v>工程地质条件</v>
      </c>
      <c r="R37" s="667" t="s">
        <v>14</v>
      </c>
      <c r="S37" s="668">
        <f t="shared" si="10"/>
        <v>100</v>
      </c>
      <c r="T37" s="667" t="s">
        <v>14</v>
      </c>
      <c r="U37" s="668">
        <f t="shared" si="11"/>
        <v>100</v>
      </c>
      <c r="V37" s="667" t="s">
        <v>14</v>
      </c>
      <c r="W37" s="668">
        <f t="shared" si="12"/>
        <v>100</v>
      </c>
      <c r="X37" s="1264"/>
      <c r="Y37" s="370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706"/>
      <c r="Q38" s="1262">
        <f t="shared" si="14"/>
        <v>111</v>
      </c>
      <c r="R38" s="667" t="s">
        <v>14</v>
      </c>
      <c r="S38" s="668">
        <f t="shared" si="10"/>
        <v>100</v>
      </c>
      <c r="T38" s="667" t="s">
        <v>14</v>
      </c>
      <c r="U38" s="668">
        <f t="shared" si="11"/>
        <v>100</v>
      </c>
      <c r="V38" s="667" t="s">
        <v>14</v>
      </c>
      <c r="W38" s="668">
        <f t="shared" si="12"/>
        <v>100</v>
      </c>
      <c r="X38" s="1264"/>
      <c r="Y38" s="370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706"/>
      <c r="Q39" s="1262">
        <f t="shared" si="14"/>
        <v>111</v>
      </c>
      <c r="R39" s="667" t="s">
        <v>14</v>
      </c>
      <c r="S39" s="668">
        <f t="shared" si="10"/>
        <v>100</v>
      </c>
      <c r="T39" s="667" t="s">
        <v>14</v>
      </c>
      <c r="U39" s="668">
        <f t="shared" si="11"/>
        <v>100</v>
      </c>
      <c r="V39" s="667" t="s">
        <v>14</v>
      </c>
      <c r="W39" s="668">
        <f t="shared" si="12"/>
        <v>100</v>
      </c>
      <c r="X39" s="1264"/>
      <c r="Y39" s="3706"/>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706"/>
      <c r="Q40" s="1262">
        <f t="shared" si="14"/>
        <v>111</v>
      </c>
      <c r="R40" s="669" t="s">
        <v>14</v>
      </c>
      <c r="S40" s="670">
        <f t="shared" si="10"/>
        <v>100</v>
      </c>
      <c r="T40" s="669" t="s">
        <v>14</v>
      </c>
      <c r="U40" s="670">
        <f t="shared" si="11"/>
        <v>100</v>
      </c>
      <c r="V40" s="669" t="s">
        <v>14</v>
      </c>
      <c r="W40" s="670">
        <f t="shared" si="12"/>
        <v>100</v>
      </c>
      <c r="X40" s="671"/>
      <c r="Y40" s="3706"/>
      <c r="Z40" s="672">
        <f t="shared" si="13"/>
        <v>111</v>
      </c>
      <c r="AA40" s="1263">
        <f t="shared" si="3"/>
        <v>1</v>
      </c>
      <c r="AB40" s="1263">
        <f t="shared" si="4"/>
        <v>1</v>
      </c>
      <c r="AC40" s="1263">
        <f t="shared" si="5"/>
        <v>1</v>
      </c>
    </row>
    <row r="41" spans="1:31" ht="15">
      <c r="A41" s="416" t="s">
        <v>1841</v>
      </c>
      <c r="B41" s="1826" t="s">
        <v>1919</v>
      </c>
      <c r="C41" s="602" t="s">
        <v>0</v>
      </c>
      <c r="D41" s="418"/>
      <c r="E41" s="419"/>
      <c r="F41" s="420"/>
      <c r="G41" s="421"/>
      <c r="H41" s="422"/>
      <c r="I41" s="419"/>
      <c r="J41" s="422"/>
      <c r="K41" s="674"/>
      <c r="L41" s="2490"/>
      <c r="M41" s="2483"/>
      <c r="N41" s="2483"/>
      <c r="O41" s="2483"/>
      <c r="P41" s="3700" t="str">
        <f>A41</f>
        <v>成交单价</v>
      </c>
      <c r="Q41" s="3700"/>
      <c r="R41" s="3695">
        <f>E41</f>
        <v>0</v>
      </c>
      <c r="S41" s="3695"/>
      <c r="T41" s="3695">
        <f>G41</f>
        <v>0</v>
      </c>
      <c r="U41" s="3695"/>
      <c r="V41" s="3695">
        <f>I41</f>
        <v>0</v>
      </c>
      <c r="W41" s="3695"/>
      <c r="X41" s="385"/>
      <c r="Y41" s="673"/>
      <c r="Z41" s="385"/>
      <c r="AA41" s="385"/>
      <c r="AB41" s="385"/>
      <c r="AC41" s="385"/>
    </row>
    <row r="42" spans="1:31" ht="15.75" thickBot="1">
      <c r="A42" s="423" t="s">
        <v>1790</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700" t="str">
        <f>A42</f>
        <v>比较价值（元/平方米）</v>
      </c>
      <c r="Q42" s="3700"/>
      <c r="R42" s="3728" t="e">
        <f>ROUND(PRODUCT(R41,AA7:AA40),0)</f>
        <v>#DIV/0!</v>
      </c>
      <c r="S42" s="3728"/>
      <c r="T42" s="3728" t="e">
        <f>ROUND(PRODUCT(T41,AB7:AB40),0)</f>
        <v>#DIV/0!</v>
      </c>
      <c r="U42" s="3728"/>
      <c r="V42" s="3728" t="e">
        <f>ROUND(PRODUCT(V41,AC7:AC40),0)</f>
        <v>#DIV/0!</v>
      </c>
      <c r="W42" s="3728"/>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697" t="str">
        <f>A43</f>
        <v>估价对象XX用房的比较价值（楼面单价，元/平方米）</v>
      </c>
      <c r="Q43" s="3698"/>
      <c r="R43" s="3729" t="e">
        <f>ROUND(IF(D42="简单平均",AVERAGE(R42:W42),R42*F42+T42*H42+V42*J42),0)</f>
        <v>#DIV/0!</v>
      </c>
      <c r="S43" s="3729"/>
      <c r="T43" s="3729"/>
      <c r="U43" s="3729"/>
      <c r="V43" s="3729"/>
      <c r="W43" s="372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27" t="s">
        <v>1880</v>
      </c>
      <c r="D50" s="1828" t="s">
        <v>1881</v>
      </c>
      <c r="E50" s="606" t="s">
        <v>1882</v>
      </c>
      <c r="F50" s="607" t="s">
        <v>1883</v>
      </c>
      <c r="G50" s="3683" t="s">
        <v>1884</v>
      </c>
      <c r="H50" s="3730"/>
      <c r="I50" s="1263" t="s">
        <v>1920</v>
      </c>
      <c r="J50" s="1263">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204.54</v>
      </c>
      <c r="F51" s="611" t="e">
        <f t="shared" ref="F51:F60" si="15">ROUND(B51*E51/10000,0)</f>
        <v>#DIV/0!</v>
      </c>
      <c r="G51" s="3682"/>
      <c r="H51" s="3700"/>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v>
      </c>
      <c r="D52" s="891">
        <v>0.25</v>
      </c>
      <c r="E52" s="614"/>
      <c r="F52" s="611" t="e">
        <f t="shared" si="15"/>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v>
      </c>
      <c r="D56" s="891">
        <v>0.25</v>
      </c>
      <c r="E56" s="209">
        <f>'数据-汇总表'!E11</f>
        <v>0</v>
      </c>
      <c r="F56" s="611" t="e">
        <f t="shared" si="15"/>
        <v>#DIV/0!</v>
      </c>
      <c r="G56" s="1831"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0.2</v>
      </c>
      <c r="D58" s="891">
        <v>0.25</v>
      </c>
      <c r="E58" s="209">
        <f>'数据-汇总表'!E13</f>
        <v>0</v>
      </c>
      <c r="F58" s="611" t="e">
        <f t="shared" si="15"/>
        <v>#DIV/0!</v>
      </c>
      <c r="G58" s="839" t="s">
        <v>1897</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v>
      </c>
      <c r="D59" s="891">
        <v>0.25</v>
      </c>
      <c r="E59" s="209">
        <f>'数据-汇总表'!E14</f>
        <v>0</v>
      </c>
      <c r="F59" s="611" t="e">
        <f t="shared" si="15"/>
        <v>#DIV/0!</v>
      </c>
      <c r="G59" s="1831"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7"/>
        <v>#DIV/0!</v>
      </c>
      <c r="C60" s="163">
        <f t="shared" si="16"/>
        <v>0</v>
      </c>
      <c r="D60" s="891">
        <v>0.25</v>
      </c>
      <c r="E60" s="209">
        <f>'数据-汇总表'!E15</f>
        <v>0</v>
      </c>
      <c r="F60" s="611" t="e">
        <f t="shared" si="15"/>
        <v>#DIV/0!</v>
      </c>
      <c r="G60" s="1832"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2006-5-1</v>
      </c>
      <c r="D63" s="656">
        <f>EDATE(C63,-3)</f>
        <v>38749</v>
      </c>
      <c r="E63" s="656">
        <f>EDATE(D63,-3)</f>
        <v>38657</v>
      </c>
      <c r="F63" s="656">
        <f t="shared" ref="F63:O63" si="18">EDATE(E63,-3)</f>
        <v>38565</v>
      </c>
      <c r="G63" s="656">
        <f t="shared" si="18"/>
        <v>38473</v>
      </c>
      <c r="H63" s="656">
        <f t="shared" si="18"/>
        <v>38384</v>
      </c>
      <c r="I63" s="656">
        <f t="shared" si="18"/>
        <v>38292</v>
      </c>
      <c r="J63" s="656">
        <f t="shared" si="18"/>
        <v>38200</v>
      </c>
      <c r="K63" s="656">
        <f t="shared" si="18"/>
        <v>38108</v>
      </c>
      <c r="L63" s="656">
        <f t="shared" si="18"/>
        <v>38018</v>
      </c>
      <c r="M63" s="656">
        <f t="shared" si="18"/>
        <v>37926</v>
      </c>
      <c r="N63" s="656">
        <f t="shared" si="18"/>
        <v>37834</v>
      </c>
      <c r="O63" s="656">
        <f t="shared" si="18"/>
        <v>37742</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1901</v>
      </c>
      <c r="B65" s="1046"/>
      <c r="C65" s="1100" t="str">
        <f>YEAR(C63)&amp;"-"&amp;ROUNDUP(MONTH(C63)/3,0)</f>
        <v>2006-2</v>
      </c>
      <c r="D65" s="1100" t="str">
        <f t="shared" ref="D65:O65" si="19">YEAR(D63)&amp;"-"&amp;ROUNDUP(MONTH(D63)/3,0)</f>
        <v>2006-1</v>
      </c>
      <c r="E65" s="1100" t="str">
        <f t="shared" si="19"/>
        <v>2005-4</v>
      </c>
      <c r="F65" s="1100" t="str">
        <f t="shared" si="19"/>
        <v>2005-3</v>
      </c>
      <c r="G65" s="1100" t="str">
        <f t="shared" si="19"/>
        <v>2005-2</v>
      </c>
      <c r="H65" s="1100" t="str">
        <f t="shared" si="19"/>
        <v>2005-1</v>
      </c>
      <c r="I65" s="1100" t="str">
        <f t="shared" si="19"/>
        <v>2004-4</v>
      </c>
      <c r="J65" s="1100" t="str">
        <f t="shared" si="19"/>
        <v>2004-3</v>
      </c>
      <c r="K65" s="1100" t="str">
        <f t="shared" si="19"/>
        <v>2004-2</v>
      </c>
      <c r="L65" s="1100" t="str">
        <f t="shared" si="19"/>
        <v>2004-1</v>
      </c>
      <c r="M65" s="1100" t="str">
        <f t="shared" si="19"/>
        <v>2003-4</v>
      </c>
      <c r="N65" s="1100" t="str">
        <f t="shared" si="19"/>
        <v>2003-3</v>
      </c>
      <c r="O65" s="1100" t="str">
        <f t="shared" si="19"/>
        <v>2003-2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738" t="s">
        <v>2081</v>
      </c>
      <c r="D1" s="3739"/>
      <c r="E1" s="3739"/>
      <c r="F1" s="3739"/>
      <c r="G1" s="3739"/>
      <c r="H1" s="3739"/>
      <c r="I1" s="3739"/>
      <c r="J1" s="3739"/>
      <c r="K1" s="3739"/>
      <c r="L1" s="3739"/>
      <c r="M1" s="3739"/>
      <c r="N1" s="3739"/>
      <c r="O1" s="3739"/>
      <c r="P1" s="3739"/>
      <c r="Q1" s="3739"/>
      <c r="R1" s="3739"/>
      <c r="S1" s="3740"/>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2084</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2085</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2086</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2090</v>
      </c>
      <c r="B17" s="1983"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5"/>
      <c r="E20" s="1253"/>
      <c r="F20" s="929" t="e">
        <f ca="1">SUMIF(INDIRECT("'"&amp;H20&amp;"'"&amp;"!A:A"),"承租人权益价值",INDIRECT("'"&amp;H20&amp;"'"&amp;"!c:c"))</f>
        <v>#REF!</v>
      </c>
      <c r="G20" s="929" t="s">
        <v>2094</v>
      </c>
      <c r="H20" s="1986"/>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735" t="s">
        <v>27</v>
      </c>
      <c r="D22" s="3736"/>
      <c r="E22" s="3736"/>
      <c r="F22" s="3736"/>
      <c r="G22" s="3736"/>
      <c r="H22" s="3736"/>
      <c r="I22" s="3736"/>
      <c r="J22" s="3736"/>
      <c r="K22" s="3736"/>
      <c r="L22" s="3736"/>
      <c r="M22" s="3736"/>
      <c r="N22" s="3736"/>
      <c r="O22" s="3736"/>
      <c r="P22" s="3736"/>
      <c r="Q22" s="3737"/>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2078</v>
      </c>
      <c r="B1" s="4"/>
      <c r="C1" s="4"/>
      <c r="D1" s="4"/>
      <c r="E1" s="4"/>
      <c r="F1" s="2540"/>
      <c r="G1" s="2540"/>
      <c r="H1" s="2540"/>
      <c r="I1" s="2540"/>
      <c r="J1" s="2540"/>
      <c r="K1" s="2540"/>
      <c r="L1" s="2540"/>
      <c r="M1" s="2540"/>
      <c r="N1" s="2540"/>
      <c r="O1" s="2540"/>
      <c r="P1" s="2540"/>
    </row>
    <row r="2" spans="1:16" ht="15.75">
      <c r="A2" s="1980" t="s">
        <v>2070</v>
      </c>
      <c r="B2" s="2383">
        <f ca="1">SUMIF(B6:B13,"&lt;&gt;#ref!",B6:B13)</f>
        <v>0</v>
      </c>
      <c r="C2" s="1980" t="s">
        <v>2071</v>
      </c>
      <c r="D2" s="1980" t="s">
        <v>2072</v>
      </c>
      <c r="E2" s="2393">
        <f ca="1">SUMIF(E6:E13,"&lt;&gt;#ref!",E6:E13)</f>
        <v>204.54</v>
      </c>
      <c r="F2" s="2540"/>
      <c r="G2" s="2540"/>
      <c r="H2" s="2540"/>
      <c r="I2" s="2540"/>
      <c r="J2" s="2540"/>
      <c r="K2" s="2540"/>
      <c r="L2" s="2540"/>
      <c r="M2" s="2540"/>
      <c r="N2" s="2540"/>
      <c r="O2" s="2540"/>
      <c r="P2" s="2540"/>
    </row>
    <row r="3" spans="1:16" ht="15.75">
      <c r="A3" s="1980" t="s">
        <v>2073</v>
      </c>
      <c r="B3" s="2383">
        <f ca="1">ROUND(B2*10000/E2,0)</f>
        <v>0</v>
      </c>
      <c r="C3" s="1980"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2074</v>
      </c>
      <c r="B5" s="2391" t="s">
        <v>2075</v>
      </c>
      <c r="C5" s="1981"/>
      <c r="D5" s="2540"/>
      <c r="E5" s="2392" t="s">
        <v>2076</v>
      </c>
      <c r="F5" s="2540"/>
      <c r="G5" s="2540"/>
      <c r="H5" s="2540"/>
      <c r="I5" s="2540"/>
      <c r="J5" s="2540"/>
      <c r="K5" s="2540"/>
      <c r="L5" s="2540"/>
      <c r="M5" s="2540"/>
      <c r="N5" s="2540"/>
      <c r="O5" s="2540"/>
      <c r="P5" s="2540"/>
    </row>
    <row r="6" spans="1:16" ht="15.75">
      <c r="A6" s="2390" t="s">
        <v>2077</v>
      </c>
      <c r="B6" s="2383">
        <f ca="1">SUMIF(INDIRECT("'"&amp;A6&amp;"'"&amp;"!A:A"),"总价",INDIRECT("'"&amp;A6&amp;"'"&amp;"!B:B"))</f>
        <v>0</v>
      </c>
      <c r="C6" s="1980" t="s">
        <v>2071</v>
      </c>
      <c r="D6" s="2540"/>
      <c r="E6" s="2393">
        <f ca="1">SUMIF(INDIRECT("'"&amp;A6&amp;"'"&amp;"!C:C"),"建筑面积",INDIRECT("'"&amp;A6&amp;"'"&amp;"!D:D"))</f>
        <v>204.54</v>
      </c>
      <c r="F6" s="2540"/>
      <c r="G6" s="2540"/>
      <c r="H6" s="2540"/>
      <c r="I6" s="2540"/>
      <c r="J6" s="2540"/>
      <c r="K6" s="2540"/>
      <c r="L6" s="2540"/>
      <c r="M6" s="2540"/>
      <c r="N6" s="2540"/>
      <c r="O6" s="2540"/>
      <c r="P6" s="2540"/>
    </row>
    <row r="7" spans="1:16" ht="15.75">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V32"/>
  <sheetViews>
    <sheetView topLeftCell="N1" workbookViewId="0">
      <selection activeCell="AC10" sqref="AC10"/>
    </sheetView>
  </sheetViews>
  <sheetFormatPr defaultRowHeight="13.5"/>
  <cols>
    <col min="1" max="1" width="17" style="3145" customWidth="1"/>
    <col min="2" max="2" width="10.375" style="3145" customWidth="1"/>
    <col min="3" max="3" width="14.375" style="3145" customWidth="1"/>
    <col min="4" max="5" width="9" style="3145"/>
    <col min="6" max="6" width="13.625" style="3145" customWidth="1"/>
    <col min="7" max="10" width="9" style="3145"/>
    <col min="11" max="11" width="11" style="3145" customWidth="1"/>
    <col min="12" max="12" width="11.625" style="3145" bestFit="1" customWidth="1"/>
    <col min="13" max="13" width="6.875" style="3145" customWidth="1"/>
    <col min="14" max="16" width="9" style="3145"/>
    <col min="17" max="17" width="15.5" style="3145" customWidth="1"/>
    <col min="18" max="18" width="11.625" style="3145" customWidth="1"/>
    <col min="19" max="19" width="10.5" style="3145" bestFit="1" customWidth="1"/>
    <col min="20" max="20" width="9.5" style="3145" bestFit="1" customWidth="1"/>
    <col min="21" max="21" width="10.5" style="3145" bestFit="1" customWidth="1"/>
    <col min="22" max="58" width="9" style="3145"/>
    <col min="59" max="59" width="13.375" style="3145" customWidth="1"/>
    <col min="60" max="16384" width="9" style="3145"/>
  </cols>
  <sheetData>
    <row r="1" spans="1:74" s="3195" customFormat="1" ht="15.75">
      <c r="A1" s="3180" t="s">
        <v>2642</v>
      </c>
      <c r="B1" s="3181" t="s">
        <v>3444</v>
      </c>
      <c r="C1" s="3180" t="s">
        <v>3445</v>
      </c>
      <c r="D1" s="3180" t="s">
        <v>3446</v>
      </c>
      <c r="E1" s="3180" t="s">
        <v>3447</v>
      </c>
      <c r="F1" s="3180" t="s">
        <v>3448</v>
      </c>
      <c r="G1" s="3180" t="s">
        <v>3449</v>
      </c>
      <c r="H1" s="3180" t="s">
        <v>3450</v>
      </c>
      <c r="I1" s="3180" t="s">
        <v>3451</v>
      </c>
      <c r="J1" s="3180" t="s">
        <v>3452</v>
      </c>
      <c r="K1" s="3181" t="s">
        <v>3453</v>
      </c>
      <c r="L1" s="3182" t="s">
        <v>3454</v>
      </c>
      <c r="M1" s="3181" t="s">
        <v>3455</v>
      </c>
      <c r="N1" s="3181" t="s">
        <v>3456</v>
      </c>
      <c r="O1" s="3181" t="s">
        <v>3457</v>
      </c>
      <c r="P1" s="3181" t="s">
        <v>3458</v>
      </c>
      <c r="Q1" s="3183" t="s">
        <v>3459</v>
      </c>
      <c r="R1" s="3182" t="s">
        <v>3460</v>
      </c>
      <c r="S1" s="3182" t="s">
        <v>3461</v>
      </c>
      <c r="T1" s="3184" t="s">
        <v>3462</v>
      </c>
      <c r="U1" s="3183" t="s">
        <v>3463</v>
      </c>
      <c r="V1" s="3181" t="s">
        <v>3464</v>
      </c>
      <c r="W1" s="3181" t="s">
        <v>3465</v>
      </c>
      <c r="X1" s="3184" t="s">
        <v>3466</v>
      </c>
      <c r="Y1" s="3181" t="s">
        <v>3467</v>
      </c>
      <c r="Z1" s="3181" t="s">
        <v>3468</v>
      </c>
      <c r="AA1" s="3181" t="s">
        <v>3469</v>
      </c>
      <c r="AB1" s="3181" t="s">
        <v>3470</v>
      </c>
      <c r="AC1" s="3181" t="s">
        <v>3471</v>
      </c>
      <c r="AD1" s="3181" t="s">
        <v>3472</v>
      </c>
      <c r="AE1" s="3181" t="s">
        <v>3473</v>
      </c>
      <c r="AF1" s="3181" t="s">
        <v>3474</v>
      </c>
      <c r="AG1" s="3181" t="s">
        <v>3475</v>
      </c>
      <c r="AH1" s="3181" t="s">
        <v>3476</v>
      </c>
      <c r="AI1" s="3181" t="s">
        <v>3477</v>
      </c>
      <c r="AJ1" s="3185" t="s">
        <v>3478</v>
      </c>
      <c r="AK1" s="3181" t="s">
        <v>3479</v>
      </c>
      <c r="AL1" s="3181" t="s">
        <v>3480</v>
      </c>
      <c r="AM1" s="3181" t="s">
        <v>3481</v>
      </c>
      <c r="AN1" s="3181" t="s">
        <v>3482</v>
      </c>
      <c r="AO1" s="3181" t="s">
        <v>3483</v>
      </c>
      <c r="AP1" s="3181" t="s">
        <v>3484</v>
      </c>
      <c r="AQ1" s="3181" t="s">
        <v>3485</v>
      </c>
      <c r="AR1" s="3186" t="s">
        <v>3486</v>
      </c>
      <c r="AS1" s="3186" t="s">
        <v>3468</v>
      </c>
      <c r="AT1" s="3186" t="s">
        <v>3469</v>
      </c>
      <c r="AU1" s="3186" t="s">
        <v>3487</v>
      </c>
      <c r="AV1" s="3181" t="s">
        <v>3488</v>
      </c>
      <c r="AW1" s="3187" t="s">
        <v>3489</v>
      </c>
      <c r="AX1" s="3188" t="s">
        <v>3490</v>
      </c>
      <c r="AY1" s="3189" t="s">
        <v>3491</v>
      </c>
      <c r="AZ1" s="3187" t="s">
        <v>3492</v>
      </c>
      <c r="BA1" s="3187" t="s">
        <v>3493</v>
      </c>
      <c r="BB1" s="3189" t="s">
        <v>3494</v>
      </c>
      <c r="BC1" s="3187" t="s">
        <v>3495</v>
      </c>
      <c r="BD1" s="3190" t="s">
        <v>3496</v>
      </c>
      <c r="BE1" s="3187" t="s">
        <v>3497</v>
      </c>
      <c r="BF1" s="3191" t="s">
        <v>3498</v>
      </c>
      <c r="BG1" s="3192" t="s">
        <v>3499</v>
      </c>
      <c r="BH1" s="3192" t="s">
        <v>3500</v>
      </c>
      <c r="BI1" s="3192" t="s">
        <v>3501</v>
      </c>
      <c r="BJ1" s="3193" t="s">
        <v>3502</v>
      </c>
      <c r="BK1" s="3193" t="s">
        <v>3503</v>
      </c>
      <c r="BL1" s="3186" t="s">
        <v>3504</v>
      </c>
      <c r="BM1" s="3194" t="s">
        <v>3505</v>
      </c>
      <c r="BN1" s="3194" t="s">
        <v>3506</v>
      </c>
      <c r="BO1" s="3194" t="s">
        <v>3507</v>
      </c>
      <c r="BP1" s="3194"/>
      <c r="BQ1" s="3186" t="s">
        <v>3508</v>
      </c>
      <c r="BR1" s="3186" t="s">
        <v>3509</v>
      </c>
    </row>
    <row r="2" spans="1:74" s="3207" customFormat="1" ht="12">
      <c r="A2" s="3196" t="s">
        <v>3510</v>
      </c>
      <c r="B2" s="3196" t="s">
        <v>3511</v>
      </c>
      <c r="C2" s="3197" t="s">
        <v>3512</v>
      </c>
      <c r="D2" s="3196">
        <v>63927087</v>
      </c>
      <c r="E2" s="3196" t="s">
        <v>2732</v>
      </c>
      <c r="F2" s="3196" t="s">
        <v>3513</v>
      </c>
      <c r="G2" s="3196"/>
      <c r="H2" s="3196" t="s">
        <v>3514</v>
      </c>
      <c r="I2" s="3196"/>
      <c r="J2" s="3196" t="s">
        <v>3515</v>
      </c>
      <c r="K2" s="3196" t="s">
        <v>3511</v>
      </c>
      <c r="L2" s="3196">
        <v>102</v>
      </c>
      <c r="M2" s="3196">
        <v>8</v>
      </c>
      <c r="N2" s="3196" t="s">
        <v>3516</v>
      </c>
      <c r="O2" s="3196"/>
      <c r="P2" s="3196" t="s">
        <v>3517</v>
      </c>
      <c r="Q2" s="3196">
        <v>750000</v>
      </c>
      <c r="R2" s="3196">
        <v>7353</v>
      </c>
      <c r="S2" s="3198">
        <v>67.319999999999993</v>
      </c>
      <c r="T2" s="3199">
        <v>673199.99999999988</v>
      </c>
      <c r="U2" s="3196">
        <v>6600</v>
      </c>
      <c r="V2" s="3200">
        <v>0.2</v>
      </c>
      <c r="W2" s="3198">
        <v>53.85</v>
      </c>
      <c r="X2" s="3201">
        <v>538500</v>
      </c>
      <c r="Y2" s="3196">
        <v>2006</v>
      </c>
      <c r="Z2" s="3196">
        <v>6</v>
      </c>
      <c r="AA2" s="3202">
        <v>7</v>
      </c>
      <c r="AB2" s="3196">
        <v>1500</v>
      </c>
      <c r="AC2" s="3196" t="s">
        <v>3518</v>
      </c>
      <c r="AD2" s="3196"/>
      <c r="AE2" s="3202" t="s">
        <v>3519</v>
      </c>
      <c r="AF2" s="3196" t="s">
        <v>3520</v>
      </c>
      <c r="AG2" s="3196" t="s">
        <v>3521</v>
      </c>
      <c r="AH2" s="3196"/>
      <c r="AI2" s="3196" t="s">
        <v>3522</v>
      </c>
      <c r="AJ2" s="3203"/>
      <c r="AK2" s="3196" t="s">
        <v>3523</v>
      </c>
      <c r="AL2" s="3196">
        <v>82253558</v>
      </c>
      <c r="AM2" s="3196"/>
      <c r="AN2" s="3196" t="s">
        <v>3524</v>
      </c>
      <c r="AO2" s="3196"/>
      <c r="AP2" s="3196" t="s">
        <v>3525</v>
      </c>
      <c r="AQ2" s="3196" t="s">
        <v>3526</v>
      </c>
      <c r="AR2" s="3196">
        <v>2006</v>
      </c>
      <c r="AS2" s="3196">
        <v>6</v>
      </c>
      <c r="AT2" s="3196">
        <v>9</v>
      </c>
      <c r="AU2" s="3196" t="s">
        <v>3527</v>
      </c>
      <c r="AV2" s="3196"/>
      <c r="AW2" s="3196" t="s">
        <v>3528</v>
      </c>
      <c r="AX2" s="3196"/>
      <c r="AY2" s="3197"/>
      <c r="AZ2" s="3196" t="s">
        <v>3529</v>
      </c>
      <c r="BA2" s="3196"/>
      <c r="BB2" s="3196"/>
      <c r="BC2" s="3196"/>
      <c r="BD2" s="3196"/>
      <c r="BE2" s="3196"/>
      <c r="BF2" s="3196"/>
      <c r="BG2" s="3204">
        <v>38865</v>
      </c>
      <c r="BH2" s="3196"/>
      <c r="BI2" s="3196" t="s">
        <v>3530</v>
      </c>
      <c r="BJ2" s="3204"/>
      <c r="BK2" s="3205"/>
      <c r="BL2" s="3196" t="s">
        <v>3531</v>
      </c>
      <c r="BM2" s="3196" t="s">
        <v>3532</v>
      </c>
      <c r="BN2" s="3196" t="s">
        <v>3533</v>
      </c>
      <c r="BO2" s="3196" t="s">
        <v>3534</v>
      </c>
      <c r="BP2" s="3196"/>
      <c r="BQ2" s="3202" t="e">
        <v>#DIV/0!</v>
      </c>
      <c r="BR2" s="3202" t="e">
        <v>#DIV/0!</v>
      </c>
      <c r="BS2" s="3206"/>
      <c r="BT2" s="3206"/>
      <c r="BU2" s="3206"/>
    </row>
    <row r="3" spans="1:74" s="3207" customFormat="1" ht="12">
      <c r="A3" s="3196" t="s">
        <v>3535</v>
      </c>
      <c r="B3" s="3196" t="s">
        <v>3536</v>
      </c>
      <c r="C3" s="3197" t="s">
        <v>3537</v>
      </c>
      <c r="D3" s="3197" t="s">
        <v>3538</v>
      </c>
      <c r="E3" s="3208" t="s">
        <v>2732</v>
      </c>
      <c r="F3" s="3208" t="s">
        <v>3513</v>
      </c>
      <c r="G3" s="3196"/>
      <c r="H3" s="3208" t="s">
        <v>3539</v>
      </c>
      <c r="I3" s="3208" t="s">
        <v>3540</v>
      </c>
      <c r="J3" s="3196" t="s">
        <v>3541</v>
      </c>
      <c r="K3" s="3196" t="s">
        <v>3542</v>
      </c>
      <c r="L3" s="3196">
        <v>53.6</v>
      </c>
      <c r="M3" s="3196">
        <v>10</v>
      </c>
      <c r="N3" s="3196" t="s">
        <v>3543</v>
      </c>
      <c r="O3" s="3196"/>
      <c r="P3" s="3196" t="s">
        <v>3517</v>
      </c>
      <c r="Q3" s="3209">
        <v>430000</v>
      </c>
      <c r="R3" s="3196">
        <v>8022</v>
      </c>
      <c r="S3" s="3198">
        <v>35.090000000000003</v>
      </c>
      <c r="T3" s="3199">
        <v>350900</v>
      </c>
      <c r="U3" s="3196">
        <v>6548</v>
      </c>
      <c r="V3" s="3210">
        <v>0.2</v>
      </c>
      <c r="W3" s="3198">
        <v>28.07</v>
      </c>
      <c r="X3" s="3201">
        <v>280700</v>
      </c>
      <c r="Y3" s="3202">
        <v>2006</v>
      </c>
      <c r="Z3" s="3202">
        <v>6</v>
      </c>
      <c r="AA3" s="3202">
        <v>9</v>
      </c>
      <c r="AB3" s="3196">
        <v>1050</v>
      </c>
      <c r="AC3" s="3196" t="s">
        <v>3544</v>
      </c>
      <c r="AD3" s="3196"/>
      <c r="AE3" s="3211" t="s">
        <v>3519</v>
      </c>
      <c r="AF3" s="3208" t="s">
        <v>3520</v>
      </c>
      <c r="AG3" s="3211" t="s">
        <v>3521</v>
      </c>
      <c r="AH3" s="3196" t="s">
        <v>2416</v>
      </c>
      <c r="AI3" s="3211" t="s">
        <v>3545</v>
      </c>
      <c r="AJ3" s="3203"/>
      <c r="AK3" s="3212">
        <v>6</v>
      </c>
      <c r="AL3" s="3202">
        <v>67641700</v>
      </c>
      <c r="AM3" s="3202"/>
      <c r="AN3" s="3211" t="s">
        <v>3546</v>
      </c>
      <c r="AO3" s="3196" t="s">
        <v>3547</v>
      </c>
      <c r="AP3" s="3211" t="s">
        <v>3548</v>
      </c>
      <c r="AQ3" s="3196" t="s">
        <v>3549</v>
      </c>
      <c r="AR3" s="3202"/>
      <c r="AS3" s="3202"/>
      <c r="AT3" s="3202"/>
      <c r="AU3" s="3202"/>
      <c r="AV3" s="3202"/>
      <c r="AW3" s="3202" t="s">
        <v>3528</v>
      </c>
      <c r="AX3" s="3202"/>
      <c r="AY3" s="3213"/>
      <c r="AZ3" s="3196" t="s">
        <v>3542</v>
      </c>
      <c r="BA3" s="3214"/>
      <c r="BB3" s="3215"/>
      <c r="BC3" s="3214"/>
      <c r="BD3" s="3216"/>
      <c r="BE3" s="3202"/>
      <c r="BF3" s="3217"/>
      <c r="BG3" s="3218">
        <v>38798</v>
      </c>
      <c r="BH3" s="3196" t="s">
        <v>3531</v>
      </c>
      <c r="BI3" s="3219" t="s">
        <v>3550</v>
      </c>
      <c r="BJ3" s="3205">
        <v>38862</v>
      </c>
      <c r="BK3" s="3205"/>
      <c r="BL3" s="3196" t="s">
        <v>3551</v>
      </c>
      <c r="BM3" s="3202" t="s">
        <v>3532</v>
      </c>
      <c r="BN3" s="3202" t="s">
        <v>3552</v>
      </c>
      <c r="BO3" s="3202"/>
      <c r="BP3" s="3202"/>
      <c r="BQ3" s="3202" t="e">
        <v>#DIV/0!</v>
      </c>
      <c r="BR3" s="3202" t="e">
        <v>#DIV/0!</v>
      </c>
      <c r="BS3" s="3206"/>
      <c r="BT3" s="3206"/>
      <c r="BU3" s="3206"/>
    </row>
    <row r="4" spans="1:74" s="3237" customFormat="1" ht="12">
      <c r="A4" s="3220" t="s">
        <v>3553</v>
      </c>
      <c r="B4" s="3220" t="s">
        <v>3554</v>
      </c>
      <c r="C4" s="3221" t="s">
        <v>3555</v>
      </c>
      <c r="D4" s="3221" t="s">
        <v>3556</v>
      </c>
      <c r="E4" s="3220" t="s">
        <v>2732</v>
      </c>
      <c r="F4" s="3222" t="s">
        <v>3557</v>
      </c>
      <c r="G4" s="3220"/>
      <c r="H4" s="3220" t="s">
        <v>3558</v>
      </c>
      <c r="I4" s="3220" t="s">
        <v>3559</v>
      </c>
      <c r="J4" s="3221" t="s">
        <v>3560</v>
      </c>
      <c r="K4" s="3220" t="s">
        <v>3554</v>
      </c>
      <c r="L4" s="3223">
        <v>128.13999999999999</v>
      </c>
      <c r="M4" s="3220">
        <v>6</v>
      </c>
      <c r="N4" s="3220" t="s">
        <v>3561</v>
      </c>
      <c r="O4" s="3220"/>
      <c r="P4" s="3220" t="s">
        <v>3517</v>
      </c>
      <c r="Q4" s="3224">
        <v>1090000</v>
      </c>
      <c r="R4" s="3220">
        <v>8506</v>
      </c>
      <c r="S4" s="3225">
        <v>97.25</v>
      </c>
      <c r="T4" s="3226">
        <v>972500</v>
      </c>
      <c r="U4" s="3220">
        <v>7590</v>
      </c>
      <c r="V4" s="3227">
        <v>0.05</v>
      </c>
      <c r="W4" s="3225">
        <v>92.38</v>
      </c>
      <c r="X4" s="3228">
        <v>923800</v>
      </c>
      <c r="Y4" s="3229">
        <v>2005</v>
      </c>
      <c r="Z4" s="3229">
        <v>6</v>
      </c>
      <c r="AA4" s="3229">
        <v>2</v>
      </c>
      <c r="AB4" s="3220">
        <v>1500</v>
      </c>
      <c r="AC4" s="3220" t="s">
        <v>3562</v>
      </c>
      <c r="AD4" s="3220"/>
      <c r="AE4" s="3229" t="s">
        <v>3563</v>
      </c>
      <c r="AF4" s="3220" t="s">
        <v>3520</v>
      </c>
      <c r="AG4" s="3220" t="s">
        <v>3521</v>
      </c>
      <c r="AH4" s="3220"/>
      <c r="AI4" s="3220" t="s">
        <v>3564</v>
      </c>
      <c r="AJ4" s="3230"/>
      <c r="AK4" s="3231" t="s">
        <v>3523</v>
      </c>
      <c r="AL4" s="3229">
        <v>82253558</v>
      </c>
      <c r="AM4" s="3229"/>
      <c r="AN4" s="3229"/>
      <c r="AO4" s="3229"/>
      <c r="AP4" s="3229" t="s">
        <v>3550</v>
      </c>
      <c r="AQ4" s="3220" t="s">
        <v>3565</v>
      </c>
      <c r="AR4" s="3229"/>
      <c r="AS4" s="3229"/>
      <c r="AT4" s="3229"/>
      <c r="AU4" s="3229"/>
      <c r="AV4" s="3229"/>
      <c r="AW4" s="3229"/>
      <c r="AX4" s="3229"/>
      <c r="AY4" s="3232"/>
      <c r="AZ4" s="3229"/>
      <c r="BA4" s="3229"/>
      <c r="BB4" s="3232"/>
      <c r="BC4" s="3229"/>
      <c r="BD4" s="3233"/>
      <c r="BE4" s="3229"/>
      <c r="BF4" s="3234"/>
      <c r="BG4" s="3235"/>
      <c r="BH4" s="3229"/>
      <c r="BI4" s="3229" t="s">
        <v>3519</v>
      </c>
      <c r="BJ4" s="3236">
        <v>38499</v>
      </c>
      <c r="BK4" s="3236"/>
      <c r="BL4" s="3220"/>
      <c r="BM4" s="3229" t="s">
        <v>3532</v>
      </c>
      <c r="BN4" s="3229" t="s">
        <v>3533</v>
      </c>
      <c r="BO4" s="3229" t="s">
        <v>3566</v>
      </c>
      <c r="BP4" s="3229"/>
      <c r="BQ4" s="3229" t="e">
        <v>#DIV/0!</v>
      </c>
      <c r="BR4" s="3229" t="e">
        <v>#DIV/0!</v>
      </c>
      <c r="BS4" s="3207"/>
      <c r="BT4" s="3207"/>
      <c r="BU4" s="3207"/>
    </row>
    <row r="5" spans="1:74" s="3207" customFormat="1" ht="12">
      <c r="A5" s="3196" t="s">
        <v>3567</v>
      </c>
      <c r="B5" s="3196" t="s">
        <v>3568</v>
      </c>
      <c r="C5" s="3197" t="s">
        <v>3569</v>
      </c>
      <c r="D5" s="3197" t="s">
        <v>3570</v>
      </c>
      <c r="E5" s="3208" t="s">
        <v>2732</v>
      </c>
      <c r="F5" s="3208" t="s">
        <v>3513</v>
      </c>
      <c r="G5" s="3196"/>
      <c r="H5" s="3208" t="s">
        <v>3539</v>
      </c>
      <c r="I5" s="3208" t="s">
        <v>3571</v>
      </c>
      <c r="J5" s="3196" t="s">
        <v>3572</v>
      </c>
      <c r="K5" s="3196" t="s">
        <v>3568</v>
      </c>
      <c r="L5" s="3196">
        <v>53.6</v>
      </c>
      <c r="M5" s="3196">
        <v>14</v>
      </c>
      <c r="N5" s="3196" t="s">
        <v>3543</v>
      </c>
      <c r="O5" s="3196"/>
      <c r="P5" s="3196" t="s">
        <v>3517</v>
      </c>
      <c r="Q5" s="3209">
        <v>380000</v>
      </c>
      <c r="R5" s="3196">
        <v>7090</v>
      </c>
      <c r="S5" s="3198">
        <v>31.94</v>
      </c>
      <c r="T5" s="3199">
        <v>319400</v>
      </c>
      <c r="U5" s="3196">
        <v>5960</v>
      </c>
      <c r="V5" s="3210">
        <v>0.05</v>
      </c>
      <c r="W5" s="3198">
        <v>30.34</v>
      </c>
      <c r="X5" s="3201">
        <v>303400</v>
      </c>
      <c r="Y5" s="3202">
        <v>2005</v>
      </c>
      <c r="Z5" s="3202">
        <v>11</v>
      </c>
      <c r="AA5" s="3202">
        <v>30</v>
      </c>
      <c r="AB5" s="3196">
        <v>955</v>
      </c>
      <c r="AC5" s="3196" t="s">
        <v>3562</v>
      </c>
      <c r="AD5" s="3196"/>
      <c r="AE5" s="3219" t="s">
        <v>3522</v>
      </c>
      <c r="AF5" s="3208" t="s">
        <v>3520</v>
      </c>
      <c r="AG5" s="3211" t="s">
        <v>3521</v>
      </c>
      <c r="AH5" s="3196"/>
      <c r="AI5" s="3211" t="s">
        <v>3573</v>
      </c>
      <c r="AJ5" s="3203"/>
      <c r="AK5" s="3212" t="s">
        <v>3574</v>
      </c>
      <c r="AL5" s="3202">
        <v>67641700</v>
      </c>
      <c r="AM5" s="3202"/>
      <c r="AN5" s="3211" t="s">
        <v>3575</v>
      </c>
      <c r="AO5" s="3202"/>
      <c r="AP5" s="3211" t="s">
        <v>3548</v>
      </c>
      <c r="AQ5" s="3202" t="s">
        <v>3576</v>
      </c>
      <c r="AR5" s="3202"/>
      <c r="AS5" s="3202"/>
      <c r="AT5" s="3202"/>
      <c r="AU5" s="3202"/>
      <c r="AV5" s="3202"/>
      <c r="AW5" s="3202" t="s">
        <v>3528</v>
      </c>
      <c r="AX5" s="3202"/>
      <c r="AY5" s="3213"/>
      <c r="AZ5" s="3196" t="s">
        <v>3577</v>
      </c>
      <c r="BA5" s="3214"/>
      <c r="BB5" s="3215"/>
      <c r="BC5" s="3214"/>
      <c r="BD5" s="3216"/>
      <c r="BE5" s="3202"/>
      <c r="BF5" s="3217"/>
      <c r="BG5" s="3218">
        <v>38672</v>
      </c>
      <c r="BH5" s="3218" t="s">
        <v>3531</v>
      </c>
      <c r="BI5" s="3196" t="s">
        <v>3578</v>
      </c>
      <c r="BJ5" s="3205">
        <v>38672</v>
      </c>
      <c r="BK5" s="3205"/>
      <c r="BL5" s="3196" t="s">
        <v>3551</v>
      </c>
      <c r="BM5" s="3202" t="s">
        <v>3532</v>
      </c>
      <c r="BN5" s="3202" t="s">
        <v>3533</v>
      </c>
      <c r="BO5" s="3202" t="s">
        <v>3579</v>
      </c>
      <c r="BP5" s="3202"/>
      <c r="BQ5" s="3202" t="e">
        <v>#DIV/0!</v>
      </c>
      <c r="BR5" s="3202" t="e">
        <v>#DIV/0!</v>
      </c>
      <c r="BV5" s="3238"/>
    </row>
    <row r="6" spans="1:74" customFormat="1"/>
    <row r="7" spans="1:74" customFormat="1"/>
    <row r="8" spans="1:74" s="3940" customFormat="1" ht="12">
      <c r="A8" s="3186"/>
      <c r="B8" s="3938"/>
      <c r="C8" s="3186"/>
      <c r="D8" s="3186"/>
      <c r="E8" s="3186"/>
      <c r="F8" s="3186"/>
      <c r="G8" s="3186"/>
      <c r="H8" s="3186"/>
      <c r="I8" s="3186" t="s">
        <v>3790</v>
      </c>
      <c r="J8" s="3186" t="s">
        <v>3791</v>
      </c>
      <c r="K8" s="3186" t="s">
        <v>3792</v>
      </c>
      <c r="L8" s="3186" t="s">
        <v>3790</v>
      </c>
      <c r="M8" s="3186" t="s">
        <v>3791</v>
      </c>
      <c r="N8" s="3186" t="s">
        <v>3792</v>
      </c>
      <c r="O8" s="3186" t="s">
        <v>3790</v>
      </c>
      <c r="P8" s="3186" t="s">
        <v>3791</v>
      </c>
      <c r="Q8" s="3186" t="s">
        <v>3792</v>
      </c>
      <c r="R8" s="3186"/>
      <c r="S8" s="3186" t="s">
        <v>3790</v>
      </c>
      <c r="T8" s="3186" t="s">
        <v>3791</v>
      </c>
      <c r="U8" s="3186" t="s">
        <v>3792</v>
      </c>
      <c r="V8" s="3186"/>
      <c r="W8" s="3186" t="s">
        <v>3793</v>
      </c>
      <c r="X8" s="3186"/>
      <c r="Y8" s="3186"/>
      <c r="Z8" s="3186"/>
      <c r="AA8" s="3186"/>
      <c r="AB8" s="3186"/>
      <c r="AC8" s="3186"/>
      <c r="AD8" s="3186"/>
      <c r="AE8" s="3186"/>
      <c r="AF8" s="3186"/>
      <c r="AG8" s="3186"/>
      <c r="AH8" s="3186"/>
      <c r="AI8" s="3186"/>
      <c r="AJ8" s="3186"/>
      <c r="AK8" s="3186"/>
      <c r="AL8" s="3186"/>
      <c r="AM8" s="3186"/>
      <c r="AN8" s="3186"/>
      <c r="AO8" s="3186"/>
      <c r="AP8" s="3186"/>
      <c r="AQ8" s="3186"/>
      <c r="AR8" s="3186"/>
      <c r="AS8" s="3939"/>
      <c r="AT8" s="3186"/>
      <c r="AU8" s="3186"/>
      <c r="AV8" s="3186"/>
      <c r="AW8" s="3186"/>
      <c r="AX8" s="3186"/>
      <c r="AY8" s="3186"/>
      <c r="AZ8" s="3186"/>
      <c r="BA8" s="3186"/>
      <c r="BB8" s="3186"/>
      <c r="BC8" s="3186" t="s">
        <v>3794</v>
      </c>
      <c r="BD8" s="3186"/>
      <c r="BE8" s="3186"/>
      <c r="BF8" s="3186"/>
      <c r="BG8" s="3186"/>
      <c r="BH8" s="3186"/>
      <c r="BI8" s="3186"/>
      <c r="BJ8" s="3186"/>
      <c r="BK8" s="3186"/>
    </row>
    <row r="9" spans="1:74" s="3940" customFormat="1" ht="12">
      <c r="A9" s="3941" t="s">
        <v>3680</v>
      </c>
      <c r="B9" s="3942" t="s">
        <v>3795</v>
      </c>
      <c r="C9" s="3941" t="s">
        <v>3447</v>
      </c>
      <c r="D9" s="3941" t="s">
        <v>3796</v>
      </c>
      <c r="E9" s="3941" t="s">
        <v>3797</v>
      </c>
      <c r="F9" s="3941" t="s">
        <v>3798</v>
      </c>
      <c r="G9" s="3941" t="s">
        <v>3799</v>
      </c>
      <c r="H9" s="3941" t="s">
        <v>3800</v>
      </c>
      <c r="I9" s="3941" t="s">
        <v>3801</v>
      </c>
      <c r="J9" s="3941" t="s">
        <v>3801</v>
      </c>
      <c r="K9" s="3941" t="s">
        <v>3801</v>
      </c>
      <c r="L9" s="3941" t="s">
        <v>3802</v>
      </c>
      <c r="M9" s="3941" t="s">
        <v>3802</v>
      </c>
      <c r="N9" s="3941" t="s">
        <v>3802</v>
      </c>
      <c r="O9" s="3941" t="s">
        <v>3803</v>
      </c>
      <c r="P9" s="3941" t="s">
        <v>3803</v>
      </c>
      <c r="Q9" s="3941" t="s">
        <v>3803</v>
      </c>
      <c r="R9" s="3941" t="s">
        <v>3804</v>
      </c>
      <c r="S9" s="3941" t="s">
        <v>3805</v>
      </c>
      <c r="T9" s="3941" t="s">
        <v>3805</v>
      </c>
      <c r="U9" s="3941" t="s">
        <v>3805</v>
      </c>
      <c r="V9" s="3941" t="s">
        <v>3806</v>
      </c>
      <c r="W9" s="3941" t="s">
        <v>3807</v>
      </c>
      <c r="X9" s="3941" t="s">
        <v>3808</v>
      </c>
      <c r="Y9" s="3941" t="s">
        <v>3809</v>
      </c>
      <c r="Z9" s="3941" t="s">
        <v>3810</v>
      </c>
      <c r="AA9" s="3941" t="s">
        <v>3811</v>
      </c>
      <c r="AB9" s="3941" t="s">
        <v>3812</v>
      </c>
      <c r="AC9" s="3941" t="s">
        <v>3813</v>
      </c>
      <c r="AD9" s="3941" t="s">
        <v>3814</v>
      </c>
      <c r="AE9" s="3941" t="s">
        <v>3815</v>
      </c>
      <c r="AF9" s="3941" t="s">
        <v>3816</v>
      </c>
      <c r="AG9" s="3941" t="s">
        <v>3817</v>
      </c>
      <c r="AH9" s="3941" t="s">
        <v>3818</v>
      </c>
      <c r="AI9" s="3941" t="s">
        <v>3819</v>
      </c>
      <c r="AJ9" s="3941" t="s">
        <v>3820</v>
      </c>
      <c r="AK9" s="3941" t="s">
        <v>3821</v>
      </c>
      <c r="AL9" s="3941" t="s">
        <v>3822</v>
      </c>
      <c r="AM9" s="3941" t="s">
        <v>3823</v>
      </c>
      <c r="AN9" s="3941" t="s">
        <v>3824</v>
      </c>
      <c r="AO9" s="3941" t="s">
        <v>3825</v>
      </c>
      <c r="AP9" s="3941" t="s">
        <v>3826</v>
      </c>
      <c r="AQ9" s="3941" t="s">
        <v>3827</v>
      </c>
      <c r="AR9" s="3941" t="s">
        <v>3828</v>
      </c>
      <c r="AS9" s="3943" t="s">
        <v>3829</v>
      </c>
      <c r="AT9" s="3941" t="s">
        <v>3830</v>
      </c>
      <c r="AU9" s="3941" t="s">
        <v>3831</v>
      </c>
      <c r="AV9" s="3941" t="s">
        <v>3832</v>
      </c>
      <c r="AW9" s="3941" t="s">
        <v>3833</v>
      </c>
      <c r="AX9" s="3941" t="s">
        <v>3834</v>
      </c>
      <c r="AY9" s="3941" t="s">
        <v>3835</v>
      </c>
      <c r="AZ9" s="3941" t="s">
        <v>3836</v>
      </c>
      <c r="BA9" s="3941" t="s">
        <v>3837</v>
      </c>
      <c r="BB9" s="3941" t="s">
        <v>3838</v>
      </c>
      <c r="BC9" s="3941" t="s">
        <v>3839</v>
      </c>
      <c r="BD9" s="3941" t="s">
        <v>3840</v>
      </c>
      <c r="BE9" s="3941" t="s">
        <v>3841</v>
      </c>
      <c r="BF9" s="3941" t="s">
        <v>3842</v>
      </c>
      <c r="BG9" s="3941" t="s">
        <v>3843</v>
      </c>
      <c r="BH9" s="3941" t="s">
        <v>3844</v>
      </c>
      <c r="BI9" s="3941" t="s">
        <v>3845</v>
      </c>
      <c r="BJ9" s="3941" t="s">
        <v>3846</v>
      </c>
      <c r="BK9" s="3941" t="s">
        <v>3847</v>
      </c>
    </row>
    <row r="10" spans="1:74" s="3940" customFormat="1" ht="12" customHeight="1">
      <c r="A10" s="3944" t="s">
        <v>3510</v>
      </c>
      <c r="B10" s="3945" t="s">
        <v>3513</v>
      </c>
      <c r="C10" s="3946" t="s">
        <v>2732</v>
      </c>
      <c r="D10" s="3946" t="s">
        <v>3848</v>
      </c>
      <c r="E10" s="3946"/>
      <c r="F10" s="3944" t="s">
        <v>3849</v>
      </c>
      <c r="G10" s="3946" t="s">
        <v>3850</v>
      </c>
      <c r="H10" s="3946" t="s">
        <v>3851</v>
      </c>
      <c r="I10" s="3946" t="s">
        <v>3852</v>
      </c>
      <c r="J10" s="3946" t="s">
        <v>3852</v>
      </c>
      <c r="K10" s="3946" t="s">
        <v>3852</v>
      </c>
      <c r="L10" s="3946" t="s">
        <v>3852</v>
      </c>
      <c r="M10" s="3944" t="s">
        <v>3853</v>
      </c>
      <c r="N10" s="3944" t="s">
        <v>3853</v>
      </c>
      <c r="O10" s="3946" t="s">
        <v>3854</v>
      </c>
      <c r="P10" s="3946" t="s">
        <v>3854</v>
      </c>
      <c r="Q10" s="3946" t="s">
        <v>3854</v>
      </c>
      <c r="R10" s="3946" t="s">
        <v>3855</v>
      </c>
      <c r="S10" s="3946"/>
      <c r="T10" s="3946" t="s">
        <v>3856</v>
      </c>
      <c r="U10" s="3946" t="s">
        <v>3857</v>
      </c>
      <c r="V10" s="3946"/>
      <c r="W10" s="3946"/>
      <c r="X10" s="3946" t="s">
        <v>3858</v>
      </c>
      <c r="Y10" s="3946"/>
      <c r="Z10" s="3946" t="s">
        <v>3859</v>
      </c>
      <c r="AA10" s="3946" t="s">
        <v>3860</v>
      </c>
      <c r="AB10" s="3946" t="s">
        <v>3861</v>
      </c>
      <c r="AC10" s="3946" t="s">
        <v>3862</v>
      </c>
      <c r="AD10" s="3946" t="s">
        <v>3863</v>
      </c>
      <c r="AE10" s="3946" t="s">
        <v>3864</v>
      </c>
      <c r="AF10" s="3946"/>
      <c r="AG10" s="3946" t="s">
        <v>3865</v>
      </c>
      <c r="AH10" s="3946" t="s">
        <v>3866</v>
      </c>
      <c r="AI10" s="3946" t="s">
        <v>3867</v>
      </c>
      <c r="AJ10" s="3946" t="s">
        <v>3868</v>
      </c>
      <c r="AK10" s="3946" t="s">
        <v>3869</v>
      </c>
      <c r="AL10" s="3946" t="s">
        <v>3870</v>
      </c>
      <c r="AM10" s="3946" t="s">
        <v>3871</v>
      </c>
      <c r="AN10" s="3946" t="s">
        <v>3872</v>
      </c>
      <c r="AO10" s="3946" t="s">
        <v>3873</v>
      </c>
      <c r="AP10" s="3946" t="s">
        <v>3874</v>
      </c>
      <c r="AQ10" s="3946" t="s">
        <v>3875</v>
      </c>
      <c r="AR10" s="3946" t="s">
        <v>3876</v>
      </c>
      <c r="AS10" s="3947"/>
      <c r="AT10" s="3946"/>
      <c r="AU10" s="3944" t="s">
        <v>3877</v>
      </c>
      <c r="AV10" s="3946" t="s">
        <v>3878</v>
      </c>
      <c r="AW10" s="3946" t="s">
        <v>3879</v>
      </c>
      <c r="AX10" s="3946" t="s">
        <v>3880</v>
      </c>
      <c r="AY10" s="3946" t="s">
        <v>3879</v>
      </c>
      <c r="AZ10" s="3946" t="s">
        <v>3879</v>
      </c>
      <c r="BA10" s="3946" t="s">
        <v>3578</v>
      </c>
      <c r="BB10" s="3946"/>
      <c r="BC10" s="3946">
        <v>2006</v>
      </c>
      <c r="BD10" s="3946">
        <v>6</v>
      </c>
      <c r="BE10" s="3946">
        <v>7</v>
      </c>
      <c r="BF10" s="3944" t="s">
        <v>3546</v>
      </c>
      <c r="BG10" s="3946" t="s">
        <v>3526</v>
      </c>
      <c r="BH10" s="3946">
        <v>1998</v>
      </c>
      <c r="BI10" s="3946" t="s">
        <v>3881</v>
      </c>
      <c r="BJ10" s="3946">
        <v>35</v>
      </c>
      <c r="BK10" s="3946">
        <v>20</v>
      </c>
      <c r="BL10" s="3207"/>
      <c r="BM10" s="3207"/>
      <c r="BN10" s="3207"/>
    </row>
    <row r="11" spans="1:74" s="3207" customFormat="1" ht="12" customHeight="1">
      <c r="A11" s="3944" t="s">
        <v>3882</v>
      </c>
      <c r="B11" s="3948" t="s">
        <v>3513</v>
      </c>
      <c r="C11" s="3949" t="s">
        <v>2732</v>
      </c>
      <c r="D11" s="3949" t="s">
        <v>3883</v>
      </c>
      <c r="E11" s="3949"/>
      <c r="F11" s="3950" t="s">
        <v>3884</v>
      </c>
      <c r="G11" s="3950" t="s">
        <v>3885</v>
      </c>
      <c r="H11" s="3949" t="s">
        <v>3886</v>
      </c>
      <c r="I11" s="3949" t="s">
        <v>3885</v>
      </c>
      <c r="J11" s="3949" t="s">
        <v>3887</v>
      </c>
      <c r="K11" s="3949" t="s">
        <v>3887</v>
      </c>
      <c r="L11" s="3949" t="s">
        <v>3885</v>
      </c>
      <c r="M11" s="3949" t="s">
        <v>3853</v>
      </c>
      <c r="N11" s="3949" t="s">
        <v>3853</v>
      </c>
      <c r="O11" s="3950" t="s">
        <v>3888</v>
      </c>
      <c r="P11" s="3950" t="s">
        <v>3889</v>
      </c>
      <c r="Q11" s="3950" t="s">
        <v>3889</v>
      </c>
      <c r="R11" s="3946" t="s">
        <v>3890</v>
      </c>
      <c r="S11" s="3949" t="s">
        <v>3891</v>
      </c>
      <c r="T11" s="3950" t="s">
        <v>3892</v>
      </c>
      <c r="U11" s="3950" t="s">
        <v>3857</v>
      </c>
      <c r="V11" s="3949"/>
      <c r="W11" s="3950"/>
      <c r="X11" s="3950" t="s">
        <v>3893</v>
      </c>
      <c r="Y11" s="3949"/>
      <c r="Z11" s="3950" t="s">
        <v>3894</v>
      </c>
      <c r="AA11" s="3950" t="s">
        <v>3895</v>
      </c>
      <c r="AB11" s="3950" t="s">
        <v>3896</v>
      </c>
      <c r="AC11" s="3949" t="s">
        <v>3897</v>
      </c>
      <c r="AD11" s="3946" t="s">
        <v>3863</v>
      </c>
      <c r="AE11" s="3946" t="s">
        <v>3864</v>
      </c>
      <c r="AF11" s="3949"/>
      <c r="AG11" s="3949" t="s">
        <v>3865</v>
      </c>
      <c r="AH11" s="3950" t="s">
        <v>3898</v>
      </c>
      <c r="AI11" s="3950" t="s">
        <v>3899</v>
      </c>
      <c r="AJ11" s="3949" t="s">
        <v>3868</v>
      </c>
      <c r="AK11" s="3950" t="s">
        <v>3900</v>
      </c>
      <c r="AL11" s="3944" t="s">
        <v>3901</v>
      </c>
      <c r="AM11" s="3946" t="s">
        <v>3902</v>
      </c>
      <c r="AN11" s="3950" t="s">
        <v>3872</v>
      </c>
      <c r="AO11" s="3950" t="s">
        <v>3903</v>
      </c>
      <c r="AP11" s="3949" t="s">
        <v>3904</v>
      </c>
      <c r="AQ11" s="3950" t="s">
        <v>3905</v>
      </c>
      <c r="AR11" s="3946" t="s">
        <v>3906</v>
      </c>
      <c r="AS11" s="3949"/>
      <c r="AT11" s="3949"/>
      <c r="AU11" s="3950" t="s">
        <v>3877</v>
      </c>
      <c r="AV11" s="3950" t="s">
        <v>3907</v>
      </c>
      <c r="AW11" s="3950" t="s">
        <v>3907</v>
      </c>
      <c r="AX11" s="3950" t="s">
        <v>3908</v>
      </c>
      <c r="AY11" s="3950" t="s">
        <v>3907</v>
      </c>
      <c r="AZ11" s="3950" t="s">
        <v>3907</v>
      </c>
      <c r="BA11" s="3946" t="s">
        <v>3563</v>
      </c>
      <c r="BB11" s="3950"/>
      <c r="BC11" s="3950">
        <v>2006</v>
      </c>
      <c r="BD11" s="3950">
        <v>5</v>
      </c>
      <c r="BE11" s="3950">
        <v>26</v>
      </c>
      <c r="BF11" s="3950" t="s">
        <v>3909</v>
      </c>
      <c r="BG11" s="3950" t="s">
        <v>3526</v>
      </c>
      <c r="BH11" s="3950">
        <v>1987</v>
      </c>
      <c r="BI11" s="3949" t="s">
        <v>3910</v>
      </c>
      <c r="BJ11" s="3944" t="s">
        <v>3911</v>
      </c>
      <c r="BK11" s="3944" t="s">
        <v>3912</v>
      </c>
    </row>
    <row r="12" spans="1:74" s="3207" customFormat="1" ht="12" customHeight="1">
      <c r="A12" s="3946" t="s">
        <v>3553</v>
      </c>
      <c r="B12" s="3951" t="s">
        <v>3913</v>
      </c>
      <c r="C12" s="3944" t="s">
        <v>2732</v>
      </c>
      <c r="D12" s="3944" t="s">
        <v>3914</v>
      </c>
      <c r="E12" s="3944"/>
      <c r="F12" s="3946" t="s">
        <v>3884</v>
      </c>
      <c r="G12" s="3946" t="s">
        <v>3885</v>
      </c>
      <c r="H12" s="3944" t="s">
        <v>3915</v>
      </c>
      <c r="I12" s="3944" t="s">
        <v>3885</v>
      </c>
      <c r="J12" s="3946" t="s">
        <v>3916</v>
      </c>
      <c r="K12" s="3946" t="s">
        <v>3916</v>
      </c>
      <c r="L12" s="3944" t="s">
        <v>3885</v>
      </c>
      <c r="M12" s="3944" t="s">
        <v>3853</v>
      </c>
      <c r="N12" s="3944" t="s">
        <v>3853</v>
      </c>
      <c r="O12" s="3946" t="s">
        <v>3917</v>
      </c>
      <c r="P12" s="3944" t="s">
        <v>3889</v>
      </c>
      <c r="Q12" s="3946" t="s">
        <v>3889</v>
      </c>
      <c r="R12" s="3946" t="s">
        <v>3890</v>
      </c>
      <c r="S12" s="3944"/>
      <c r="T12" s="3946" t="s">
        <v>3918</v>
      </c>
      <c r="U12" s="3946" t="s">
        <v>3919</v>
      </c>
      <c r="V12" s="3944" t="s">
        <v>3920</v>
      </c>
      <c r="W12" s="3944" t="s">
        <v>3920</v>
      </c>
      <c r="X12" s="3946" t="s">
        <v>3893</v>
      </c>
      <c r="Y12" s="3944"/>
      <c r="Z12" s="3946" t="s">
        <v>3894</v>
      </c>
      <c r="AA12" s="3946" t="s">
        <v>3895</v>
      </c>
      <c r="AB12" s="3946" t="s">
        <v>3896</v>
      </c>
      <c r="AC12" s="3944" t="s">
        <v>3897</v>
      </c>
      <c r="AD12" s="3946" t="s">
        <v>3921</v>
      </c>
      <c r="AE12" s="3946" t="s">
        <v>3864</v>
      </c>
      <c r="AF12" s="3944"/>
      <c r="AG12" s="3944" t="s">
        <v>3865</v>
      </c>
      <c r="AH12" s="3946" t="s">
        <v>3922</v>
      </c>
      <c r="AI12" s="3946" t="s">
        <v>3923</v>
      </c>
      <c r="AJ12" s="3944" t="s">
        <v>3924</v>
      </c>
      <c r="AK12" s="3946" t="s">
        <v>3925</v>
      </c>
      <c r="AL12" s="3944" t="s">
        <v>3926</v>
      </c>
      <c r="AM12" s="3946" t="s">
        <v>3902</v>
      </c>
      <c r="AN12" s="3946" t="s">
        <v>3927</v>
      </c>
      <c r="AO12" s="3946" t="s">
        <v>3903</v>
      </c>
      <c r="AP12" s="3944" t="s">
        <v>3928</v>
      </c>
      <c r="AQ12" s="3946" t="s">
        <v>3905</v>
      </c>
      <c r="AR12" s="3946" t="s">
        <v>3906</v>
      </c>
      <c r="AS12" s="3944"/>
      <c r="AT12" s="3944"/>
      <c r="AU12" s="3946" t="s">
        <v>3929</v>
      </c>
      <c r="AV12" s="3946" t="s">
        <v>3930</v>
      </c>
      <c r="AW12" s="3946" t="s">
        <v>3931</v>
      </c>
      <c r="AX12" s="3946" t="s">
        <v>3908</v>
      </c>
      <c r="AY12" s="3946" t="s">
        <v>3932</v>
      </c>
      <c r="AZ12" s="3946" t="s">
        <v>3930</v>
      </c>
      <c r="BA12" s="3946" t="s">
        <v>3563</v>
      </c>
      <c r="BB12" s="3946"/>
      <c r="BC12" s="3946">
        <v>2005</v>
      </c>
      <c r="BD12" s="3946">
        <v>6</v>
      </c>
      <c r="BE12" s="3946">
        <v>2</v>
      </c>
      <c r="BF12" s="3946" t="s">
        <v>3933</v>
      </c>
      <c r="BG12" s="3946" t="s">
        <v>3526</v>
      </c>
      <c r="BH12" s="3946"/>
      <c r="BI12" s="3944"/>
      <c r="BJ12" s="3944"/>
      <c r="BK12" s="3944"/>
    </row>
    <row r="13" spans="1:74" s="3207" customFormat="1" ht="12" customHeight="1">
      <c r="A13" s="3946" t="s">
        <v>3567</v>
      </c>
      <c r="B13" s="3951" t="s">
        <v>3934</v>
      </c>
      <c r="C13" s="3944" t="s">
        <v>2732</v>
      </c>
      <c r="D13" s="3944" t="s">
        <v>3935</v>
      </c>
      <c r="E13" s="3944"/>
      <c r="F13" s="3946"/>
      <c r="G13" s="3946" t="s">
        <v>3885</v>
      </c>
      <c r="H13" s="3944" t="s">
        <v>3936</v>
      </c>
      <c r="I13" s="3944" t="s">
        <v>3885</v>
      </c>
      <c r="J13" s="3946" t="s">
        <v>3916</v>
      </c>
      <c r="K13" s="3946" t="s">
        <v>3916</v>
      </c>
      <c r="L13" s="3944" t="s">
        <v>3885</v>
      </c>
      <c r="M13" s="3944" t="s">
        <v>3853</v>
      </c>
      <c r="N13" s="3944" t="s">
        <v>3853</v>
      </c>
      <c r="O13" s="3946" t="s">
        <v>3917</v>
      </c>
      <c r="P13" s="3944" t="s">
        <v>3889</v>
      </c>
      <c r="Q13" s="3946" t="s">
        <v>3889</v>
      </c>
      <c r="R13" s="3946" t="s">
        <v>3890</v>
      </c>
      <c r="S13" s="3944" t="s">
        <v>3937</v>
      </c>
      <c r="T13" s="3946" t="s">
        <v>3938</v>
      </c>
      <c r="U13" s="3946" t="s">
        <v>3939</v>
      </c>
      <c r="V13" s="3944"/>
      <c r="W13" s="3944"/>
      <c r="X13" s="3946" t="s">
        <v>3893</v>
      </c>
      <c r="Y13" s="3944"/>
      <c r="Z13" s="3946" t="s">
        <v>3894</v>
      </c>
      <c r="AA13" s="3946" t="s">
        <v>3895</v>
      </c>
      <c r="AB13" s="3946" t="s">
        <v>3896</v>
      </c>
      <c r="AC13" s="3944" t="s">
        <v>3897</v>
      </c>
      <c r="AD13" s="3946" t="s">
        <v>3921</v>
      </c>
      <c r="AE13" s="3946" t="s">
        <v>3864</v>
      </c>
      <c r="AF13" s="3944"/>
      <c r="AG13" s="3944" t="s">
        <v>3865</v>
      </c>
      <c r="AH13" s="3946" t="s">
        <v>3940</v>
      </c>
      <c r="AI13" s="3946" t="s">
        <v>3941</v>
      </c>
      <c r="AJ13" s="3944" t="s">
        <v>3942</v>
      </c>
      <c r="AK13" s="3946" t="s">
        <v>3900</v>
      </c>
      <c r="AL13" s="3944" t="s">
        <v>3901</v>
      </c>
      <c r="AM13" s="3946" t="s">
        <v>3902</v>
      </c>
      <c r="AN13" s="3946" t="s">
        <v>3872</v>
      </c>
      <c r="AO13" s="3946" t="s">
        <v>3903</v>
      </c>
      <c r="AP13" s="3944" t="s">
        <v>3943</v>
      </c>
      <c r="AQ13" s="3946" t="s">
        <v>3905</v>
      </c>
      <c r="AR13" s="3946" t="s">
        <v>3906</v>
      </c>
      <c r="AS13" s="3944"/>
      <c r="AT13" s="3944"/>
      <c r="AU13" s="3946" t="s">
        <v>3944</v>
      </c>
      <c r="AV13" s="3946" t="s">
        <v>3945</v>
      </c>
      <c r="AW13" s="3946" t="s">
        <v>3907</v>
      </c>
      <c r="AX13" s="3946" t="s">
        <v>3880</v>
      </c>
      <c r="AY13" s="3946" t="s">
        <v>3907</v>
      </c>
      <c r="AZ13" s="3946" t="s">
        <v>3946</v>
      </c>
      <c r="BA13" s="3946" t="s">
        <v>3522</v>
      </c>
      <c r="BB13" s="3946"/>
      <c r="BC13" s="3946">
        <v>2005</v>
      </c>
      <c r="BD13" s="3946">
        <v>11</v>
      </c>
      <c r="BE13" s="3946">
        <v>21</v>
      </c>
      <c r="BF13" s="3946"/>
      <c r="BG13" s="3946" t="s">
        <v>3526</v>
      </c>
      <c r="BH13" s="3946">
        <v>1987</v>
      </c>
      <c r="BI13" s="3944" t="s">
        <v>3910</v>
      </c>
      <c r="BJ13" s="3944"/>
      <c r="BK13" s="3944"/>
    </row>
    <row r="14" spans="1:74" customFormat="1"/>
    <row r="15" spans="1:74" customFormat="1"/>
    <row r="16" spans="1:74" s="3957" customFormat="1" ht="12">
      <c r="A16" s="3186"/>
      <c r="B16" s="3186"/>
      <c r="C16" s="3938"/>
      <c r="D16" s="3186"/>
      <c r="E16" s="3186"/>
      <c r="F16" s="3186" t="s">
        <v>3947</v>
      </c>
      <c r="G16" s="3186"/>
      <c r="H16" s="3186"/>
      <c r="I16" s="3186"/>
      <c r="J16" s="3186"/>
      <c r="K16" s="3186"/>
      <c r="L16" s="3186"/>
      <c r="M16" s="3186"/>
      <c r="N16" s="3952"/>
      <c r="O16" s="3953" t="s">
        <v>3948</v>
      </c>
      <c r="P16" s="3954"/>
      <c r="Q16" s="3954"/>
      <c r="R16" s="3955"/>
      <c r="S16" s="3186"/>
      <c r="T16" s="3186"/>
      <c r="U16" s="3186"/>
      <c r="V16" s="3186"/>
      <c r="W16" s="3186" t="s">
        <v>3949</v>
      </c>
      <c r="X16" s="3186"/>
      <c r="Y16" s="3186"/>
      <c r="Z16" s="3186"/>
      <c r="AA16" s="3186"/>
      <c r="AB16" s="3186"/>
      <c r="AC16" s="3186"/>
      <c r="AD16" s="3186"/>
      <c r="AE16" s="3186"/>
      <c r="AF16" s="3186" t="s">
        <v>3794</v>
      </c>
      <c r="AG16" s="3186"/>
      <c r="AH16" s="3186"/>
      <c r="AI16" s="3186"/>
      <c r="AJ16" s="3956"/>
      <c r="AK16" s="3956"/>
    </row>
    <row r="17" spans="1:38" s="3957" customFormat="1" ht="12">
      <c r="A17" s="3941" t="s">
        <v>3950</v>
      </c>
      <c r="B17" s="3941" t="s">
        <v>3951</v>
      </c>
      <c r="C17" s="3942" t="s">
        <v>3952</v>
      </c>
      <c r="D17" s="3941" t="s">
        <v>3953</v>
      </c>
      <c r="E17" s="3941" t="s">
        <v>3954</v>
      </c>
      <c r="F17" s="3941" t="s">
        <v>3955</v>
      </c>
      <c r="G17" s="3941" t="s">
        <v>3956</v>
      </c>
      <c r="H17" s="3941" t="s">
        <v>3957</v>
      </c>
      <c r="I17" s="3941" t="s">
        <v>3958</v>
      </c>
      <c r="J17" s="3941" t="s">
        <v>3959</v>
      </c>
      <c r="K17" s="3941" t="s">
        <v>3742</v>
      </c>
      <c r="L17" s="3941" t="s">
        <v>3960</v>
      </c>
      <c r="M17" s="3941" t="s">
        <v>3476</v>
      </c>
      <c r="N17" s="3952" t="s">
        <v>3961</v>
      </c>
      <c r="O17" s="3952" t="s">
        <v>3962</v>
      </c>
      <c r="P17" s="3952" t="s">
        <v>3963</v>
      </c>
      <c r="Q17" s="3958" t="s">
        <v>3964</v>
      </c>
      <c r="R17" s="3181" t="s">
        <v>3965</v>
      </c>
      <c r="S17" s="3941" t="s">
        <v>3841</v>
      </c>
      <c r="T17" s="3941" t="s">
        <v>3966</v>
      </c>
      <c r="U17" s="3941" t="s">
        <v>3840</v>
      </c>
      <c r="V17" s="3941" t="s">
        <v>3841</v>
      </c>
      <c r="W17" s="3941" t="s">
        <v>3967</v>
      </c>
      <c r="X17" s="3941" t="s">
        <v>3968</v>
      </c>
      <c r="Y17" s="3941" t="s">
        <v>3969</v>
      </c>
      <c r="Z17" s="3941" t="s">
        <v>3970</v>
      </c>
      <c r="AA17" s="3941" t="s">
        <v>3971</v>
      </c>
      <c r="AB17" s="3941" t="s">
        <v>3972</v>
      </c>
      <c r="AC17" s="3941" t="s">
        <v>3973</v>
      </c>
      <c r="AD17" s="3941" t="s">
        <v>3974</v>
      </c>
      <c r="AE17" s="3941" t="s">
        <v>3975</v>
      </c>
      <c r="AF17" s="3941" t="s">
        <v>3839</v>
      </c>
      <c r="AG17" s="3941" t="s">
        <v>3840</v>
      </c>
      <c r="AH17" s="3941" t="s">
        <v>3841</v>
      </c>
      <c r="AI17" s="3941" t="s">
        <v>3842</v>
      </c>
      <c r="AJ17" s="3959" t="s">
        <v>3976</v>
      </c>
      <c r="AK17" s="3959" t="s">
        <v>3977</v>
      </c>
    </row>
    <row r="18" spans="1:38" s="3206" customFormat="1" ht="12" customHeight="1">
      <c r="A18" s="3944" t="s">
        <v>3978</v>
      </c>
      <c r="B18" s="3944" t="s">
        <v>3979</v>
      </c>
      <c r="C18" s="3951" t="s">
        <v>3980</v>
      </c>
      <c r="D18" s="3944" t="s">
        <v>3981</v>
      </c>
      <c r="E18" s="3944" t="s">
        <v>3982</v>
      </c>
      <c r="F18" s="3944">
        <v>11</v>
      </c>
      <c r="G18" s="3944" t="s">
        <v>3983</v>
      </c>
      <c r="H18" s="3944" t="s">
        <v>3984</v>
      </c>
      <c r="I18" s="3944">
        <v>18</v>
      </c>
      <c r="J18" s="3944" t="s">
        <v>3985</v>
      </c>
      <c r="K18" s="3944">
        <v>1998</v>
      </c>
      <c r="L18" s="3944" t="s">
        <v>3986</v>
      </c>
      <c r="M18" s="3944"/>
      <c r="N18" s="3944"/>
      <c r="O18" s="3944"/>
      <c r="P18" s="3944"/>
      <c r="Q18" s="3944"/>
      <c r="R18" s="3944"/>
      <c r="S18" s="3944"/>
      <c r="T18" s="3944"/>
      <c r="U18" s="3944"/>
      <c r="V18" s="3944"/>
      <c r="W18" s="3944"/>
      <c r="X18" s="3944"/>
      <c r="Y18" s="3944"/>
      <c r="Z18" s="3944"/>
      <c r="AA18" s="3944"/>
      <c r="AB18" s="3944"/>
      <c r="AC18" s="3944"/>
      <c r="AD18" s="3944"/>
      <c r="AE18" s="3944" t="s">
        <v>3987</v>
      </c>
      <c r="AF18" s="3944">
        <v>2006</v>
      </c>
      <c r="AG18" s="3944">
        <v>6</v>
      </c>
      <c r="AH18" s="3944">
        <v>7</v>
      </c>
      <c r="AI18" s="3944" t="s">
        <v>3988</v>
      </c>
      <c r="AJ18" s="3944">
        <v>60</v>
      </c>
      <c r="AK18" s="3944">
        <f ca="1">AJ18-YEAR(TODAY())+K18</f>
        <v>35</v>
      </c>
    </row>
    <row r="19" spans="1:38" s="3207" customFormat="1" ht="12" customHeight="1">
      <c r="A19" s="3944" t="s">
        <v>3989</v>
      </c>
      <c r="B19" s="3944" t="s">
        <v>3990</v>
      </c>
      <c r="C19" s="3951" t="s">
        <v>3991</v>
      </c>
      <c r="D19" s="3944" t="s">
        <v>3992</v>
      </c>
      <c r="E19" s="3944" t="s">
        <v>3993</v>
      </c>
      <c r="F19" s="3944">
        <v>7</v>
      </c>
      <c r="G19" s="3944" t="s">
        <v>3994</v>
      </c>
      <c r="H19" s="3944" t="s">
        <v>3995</v>
      </c>
      <c r="I19" s="3944" t="s">
        <v>3996</v>
      </c>
      <c r="J19" s="3944" t="s">
        <v>3375</v>
      </c>
      <c r="K19" s="3944">
        <v>1987</v>
      </c>
      <c r="L19" s="3944" t="s">
        <v>3997</v>
      </c>
      <c r="M19" s="3944"/>
      <c r="N19" s="3944"/>
      <c r="O19" s="3944"/>
      <c r="P19" s="3944" t="s">
        <v>3998</v>
      </c>
      <c r="Q19" s="3944" t="s">
        <v>3998</v>
      </c>
      <c r="R19" s="3944" t="s">
        <v>3998</v>
      </c>
      <c r="S19" s="3944" t="s">
        <v>3998</v>
      </c>
      <c r="T19" s="3944" t="s">
        <v>3998</v>
      </c>
      <c r="U19" s="3944" t="s">
        <v>3998</v>
      </c>
      <c r="V19" s="3944" t="s">
        <v>3998</v>
      </c>
      <c r="W19" s="3944"/>
      <c r="X19" s="3944"/>
      <c r="Y19" s="3944"/>
      <c r="Z19" s="3944"/>
      <c r="AA19" s="3944"/>
      <c r="AB19" s="3944"/>
      <c r="AC19" s="3944"/>
      <c r="AD19" s="3944"/>
      <c r="AE19" s="3944" t="s">
        <v>3550</v>
      </c>
      <c r="AF19" s="3944">
        <v>2006</v>
      </c>
      <c r="AG19" s="3944">
        <v>6</v>
      </c>
      <c r="AH19" s="3944">
        <v>9</v>
      </c>
      <c r="AI19" s="3944" t="s">
        <v>3546</v>
      </c>
      <c r="AJ19" s="3944">
        <v>60</v>
      </c>
      <c r="AK19" s="3944">
        <f ca="1">AJ19-YEAR(TODAY())+K19</f>
        <v>24</v>
      </c>
      <c r="AL19" s="3207" t="s">
        <v>3999</v>
      </c>
    </row>
    <row r="20" spans="1:38" s="3207" customFormat="1" ht="12" customHeight="1">
      <c r="A20" s="3944" t="s">
        <v>3553</v>
      </c>
      <c r="B20" s="3944" t="s">
        <v>4000</v>
      </c>
      <c r="C20" s="3951" t="s">
        <v>4001</v>
      </c>
      <c r="D20" s="3944" t="s">
        <v>4002</v>
      </c>
      <c r="E20" s="3944" t="s">
        <v>3993</v>
      </c>
      <c r="F20" s="3944" t="s">
        <v>4003</v>
      </c>
      <c r="G20" s="3944" t="s">
        <v>4004</v>
      </c>
      <c r="H20" s="3944" t="s">
        <v>3995</v>
      </c>
      <c r="I20" s="3944">
        <v>11</v>
      </c>
      <c r="J20" s="3944" t="s">
        <v>3985</v>
      </c>
      <c r="K20" s="3944"/>
      <c r="L20" s="3944"/>
      <c r="M20" s="3944"/>
      <c r="N20" s="3944"/>
      <c r="O20" s="3944"/>
      <c r="P20" s="3944"/>
      <c r="Q20" s="3944"/>
      <c r="R20" s="3944"/>
      <c r="S20" s="3944"/>
      <c r="T20" s="3944"/>
      <c r="U20" s="3944"/>
      <c r="V20" s="3944"/>
      <c r="W20" s="3944"/>
      <c r="X20" s="3944"/>
      <c r="Y20" s="3944"/>
      <c r="Z20" s="3944"/>
      <c r="AA20" s="3944"/>
      <c r="AB20" s="3944"/>
      <c r="AC20" s="3944"/>
      <c r="AD20" s="3944"/>
      <c r="AE20" s="3944" t="s">
        <v>4005</v>
      </c>
      <c r="AF20" s="3944">
        <v>2005</v>
      </c>
      <c r="AG20" s="3944">
        <v>6</v>
      </c>
      <c r="AH20" s="3944">
        <v>2</v>
      </c>
      <c r="AI20" s="3944" t="s">
        <v>4006</v>
      </c>
      <c r="AJ20" s="3944">
        <v>60</v>
      </c>
      <c r="AK20" s="3944">
        <f ca="1">AJ20-YEAR(TODAY())+K20</f>
        <v>-1963</v>
      </c>
    </row>
    <row r="21" spans="1:38" s="3207" customFormat="1" ht="12" customHeight="1">
      <c r="A21" s="3944" t="s">
        <v>4007</v>
      </c>
      <c r="B21" s="3944" t="s">
        <v>4008</v>
      </c>
      <c r="C21" s="3951" t="s">
        <v>3934</v>
      </c>
      <c r="D21" s="3944" t="s">
        <v>4009</v>
      </c>
      <c r="E21" s="3944" t="s">
        <v>4010</v>
      </c>
      <c r="F21" s="3944">
        <v>7</v>
      </c>
      <c r="G21" s="3944" t="s">
        <v>4011</v>
      </c>
      <c r="H21" s="3944" t="s">
        <v>3984</v>
      </c>
      <c r="I21" s="3944">
        <v>17</v>
      </c>
      <c r="J21" s="3944" t="s">
        <v>3985</v>
      </c>
      <c r="K21" s="3944">
        <v>1987</v>
      </c>
      <c r="L21" s="3944" t="s">
        <v>3997</v>
      </c>
      <c r="M21" s="3944"/>
      <c r="N21" s="3944"/>
      <c r="O21" s="3944"/>
      <c r="P21" s="3944"/>
      <c r="Q21" s="3944"/>
      <c r="R21" s="3944"/>
      <c r="S21" s="3944"/>
      <c r="T21" s="3944"/>
      <c r="U21" s="3944"/>
      <c r="V21" s="3944"/>
      <c r="W21" s="3944"/>
      <c r="X21" s="3944"/>
      <c r="Y21" s="3944"/>
      <c r="Z21" s="3944"/>
      <c r="AA21" s="3944"/>
      <c r="AB21" s="3944"/>
      <c r="AC21" s="3944"/>
      <c r="AD21" s="3944"/>
      <c r="AE21" s="3944" t="s">
        <v>3987</v>
      </c>
      <c r="AF21" s="3944">
        <v>2005</v>
      </c>
      <c r="AG21" s="3944">
        <v>11</v>
      </c>
      <c r="AH21" s="3944">
        <v>30</v>
      </c>
      <c r="AI21" s="3944" t="s">
        <v>4012</v>
      </c>
      <c r="AJ21" s="3944">
        <v>60</v>
      </c>
      <c r="AK21" s="3944">
        <f ca="1">AJ21-YEAR(TODAY())+K21</f>
        <v>24</v>
      </c>
    </row>
    <row r="22" spans="1:38" ht="24.75" customHeight="1"/>
    <row r="23" spans="1:38" ht="24.75" customHeight="1"/>
    <row r="24" spans="1:38" ht="24.75" customHeight="1"/>
    <row r="25" spans="1:38" ht="24.75" customHeight="1"/>
    <row r="26" spans="1:38" ht="24.75" customHeight="1"/>
    <row r="27" spans="1:38" ht="24.75" customHeight="1">
      <c r="I27" s="3145">
        <v>100.5</v>
      </c>
      <c r="J27" s="3145">
        <v>101</v>
      </c>
      <c r="K27" s="3145">
        <v>100.5</v>
      </c>
      <c r="L27" s="3145">
        <v>102</v>
      </c>
    </row>
    <row r="28" spans="1:38" ht="24.75" customHeight="1"/>
    <row r="29" spans="1:38" ht="24.75" customHeight="1"/>
    <row r="30" spans="1:38" ht="24.75" customHeight="1"/>
    <row r="31" spans="1:38" ht="24.75" customHeight="1"/>
    <row r="32" spans="1:38" ht="24.75" customHeight="1"/>
  </sheetData>
  <mergeCells count="1">
    <mergeCell ref="O16:R16"/>
  </mergeCells>
  <phoneticPr fontId="134"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F2710-C0B6-4C70-84EB-9C06D95E81F8}">
  <sheetPr>
    <pageSetUpPr fitToPage="1"/>
  </sheetPr>
  <dimension ref="A1:R57"/>
  <sheetViews>
    <sheetView zoomScale="90" zoomScaleNormal="90" workbookViewId="0">
      <selection activeCell="B3" sqref="B3"/>
    </sheetView>
  </sheetViews>
  <sheetFormatPr defaultColWidth="9" defaultRowHeight="15.75" customHeight="1"/>
  <cols>
    <col min="1" max="1" width="25.625" style="3928" customWidth="1"/>
    <col min="2" max="2" width="15.625" style="3799" customWidth="1"/>
    <col min="3" max="3" width="6" style="3799" customWidth="1"/>
    <col min="4" max="4" width="7.75" style="3799" customWidth="1"/>
    <col min="5" max="5" width="22.25" style="3799" customWidth="1"/>
    <col min="6" max="6" width="12.375" style="3799" customWidth="1"/>
    <col min="7" max="7" width="9" style="3799"/>
    <col min="8" max="8" width="29" style="3799" customWidth="1"/>
    <col min="9" max="9" width="27.875" style="3799" customWidth="1"/>
    <col min="10" max="10" width="14.375" style="3799" customWidth="1"/>
    <col min="11" max="12" width="9" style="3799"/>
    <col min="13" max="13" width="2.125" style="3799" customWidth="1"/>
    <col min="14" max="14" width="18.125" style="3799" customWidth="1"/>
    <col min="15" max="15" width="10.875" style="3799" customWidth="1"/>
    <col min="16" max="16" width="17.25" style="3799" customWidth="1"/>
    <col min="17" max="17" width="14" style="3799" customWidth="1"/>
    <col min="18" max="16384" width="9" style="3799"/>
  </cols>
  <sheetData>
    <row r="1" spans="1:18" ht="26.25" customHeight="1" thickBot="1">
      <c r="A1" s="3793" t="s">
        <v>3676</v>
      </c>
      <c r="B1" s="3794"/>
      <c r="C1" s="3795"/>
      <c r="D1" s="3795"/>
      <c r="E1" s="3796"/>
      <c r="F1" s="3795"/>
      <c r="G1" s="3795"/>
      <c r="H1" s="3797"/>
      <c r="I1" s="3798"/>
      <c r="J1" s="3798"/>
      <c r="K1" s="3798"/>
      <c r="L1" s="3798"/>
    </row>
    <row r="2" spans="1:18" ht="15.75" customHeight="1" thickTop="1" thickBot="1">
      <c r="A2" s="3800" t="s">
        <v>3677</v>
      </c>
      <c r="B2" s="3801"/>
      <c r="C2" s="3802"/>
      <c r="D2" s="3803" t="s">
        <v>3678</v>
      </c>
      <c r="E2" s="3804"/>
      <c r="F2" s="3804"/>
      <c r="G2" s="3804"/>
      <c r="H2" s="3805"/>
      <c r="I2" s="3806"/>
      <c r="J2" s="3806"/>
      <c r="K2" s="3798"/>
      <c r="L2" s="3798"/>
      <c r="N2" s="3807" t="s">
        <v>3679</v>
      </c>
      <c r="O2" s="3808">
        <f>SUMPRODUCT((N6:N12=B20)*(O5:Q5=B21)*(O6:Q12))</f>
        <v>50</v>
      </c>
    </row>
    <row r="3" spans="1:18" ht="15.75" customHeight="1">
      <c r="A3" s="3809" t="s">
        <v>2499</v>
      </c>
      <c r="B3" s="3810">
        <v>38867</v>
      </c>
      <c r="C3" s="3802"/>
      <c r="D3" s="3811" t="s">
        <v>3680</v>
      </c>
      <c r="E3" s="3812" t="s">
        <v>3681</v>
      </c>
      <c r="F3" s="3812" t="s">
        <v>3682</v>
      </c>
      <c r="G3" s="3812" t="s">
        <v>3683</v>
      </c>
      <c r="H3" s="3813" t="s">
        <v>3684</v>
      </c>
      <c r="I3" s="3814"/>
      <c r="J3" s="3815"/>
      <c r="K3" s="3798"/>
      <c r="L3" s="3798"/>
      <c r="N3" s="3816" t="s">
        <v>3685</v>
      </c>
      <c r="O3" s="3817">
        <f>IF(B22="",O2,YEAR(B3)-B22)</f>
        <v>7</v>
      </c>
    </row>
    <row r="4" spans="1:18" ht="15.75" customHeight="1">
      <c r="A4" s="3818" t="s">
        <v>3686</v>
      </c>
      <c r="B4" s="3810">
        <f>B3</f>
        <v>38867</v>
      </c>
      <c r="C4" s="3802"/>
      <c r="D4" s="3819" t="s">
        <v>3687</v>
      </c>
      <c r="E4" s="3820" t="s">
        <v>3688</v>
      </c>
      <c r="F4" s="3821">
        <f ca="1">F5+F8+F9+F10</f>
        <v>6200</v>
      </c>
      <c r="G4" s="3822"/>
      <c r="H4" s="3823" t="s">
        <v>3689</v>
      </c>
      <c r="I4" s="3824"/>
      <c r="J4" s="3798"/>
      <c r="K4" s="3798"/>
      <c r="L4" s="3798"/>
      <c r="N4" s="3816" t="s">
        <v>3690</v>
      </c>
      <c r="O4" s="3825">
        <f>SUMIF(N6:N12,B20,R6:R12)</f>
        <v>0.02</v>
      </c>
      <c r="P4" s="3826"/>
      <c r="Q4" s="3826"/>
    </row>
    <row r="5" spans="1:18" ht="15.75" customHeight="1">
      <c r="A5" s="3827"/>
      <c r="B5" s="3801"/>
      <c r="C5" s="3802"/>
      <c r="D5" s="3828">
        <v>1</v>
      </c>
      <c r="E5" s="3809" t="s">
        <v>3691</v>
      </c>
      <c r="F5" s="3829">
        <f>IF(B4&lt;DATE(2002,12,10),F6,F6-F7)</f>
        <v>6200</v>
      </c>
      <c r="G5" s="3830"/>
      <c r="H5" s="3831" t="s">
        <v>3692</v>
      </c>
      <c r="I5" s="3824"/>
      <c r="J5" s="3798"/>
      <c r="K5" s="3798"/>
      <c r="L5" s="3798"/>
      <c r="N5" s="3832" t="s">
        <v>3693</v>
      </c>
      <c r="O5" s="3833" t="s">
        <v>3694</v>
      </c>
      <c r="P5" s="3833" t="s">
        <v>3695</v>
      </c>
      <c r="Q5" s="3833" t="s">
        <v>3385</v>
      </c>
      <c r="R5" s="3833" t="s">
        <v>3690</v>
      </c>
    </row>
    <row r="6" spans="1:18" ht="15.75" customHeight="1">
      <c r="A6" s="3818" t="s">
        <v>3696</v>
      </c>
      <c r="B6" s="3834"/>
      <c r="C6" s="3802"/>
      <c r="D6" s="3835" t="s">
        <v>3697</v>
      </c>
      <c r="E6" s="3809" t="s">
        <v>3698</v>
      </c>
      <c r="F6" s="3829">
        <f>IF(B4&lt;DATE(2002,12,10),'[1]1993基准地价'!B3,IF(B4&gt;=DATE(2014,8,28),'[1]2014基准地价'!B3,'2002基准地价 (2)'!B3))</f>
        <v>6200</v>
      </c>
      <c r="G6" s="3830"/>
      <c r="H6" s="3836" t="str">
        <f>"采用"&amp;IF(B4&lt;DATE(2002,12,10),"1993版",IF(B4&gt;=DATE(2014,8,28),"2014版","2002版"))&amp;"基准地价系数修正法计算"</f>
        <v>采用2002版基准地价系数修正法计算</v>
      </c>
      <c r="I6" s="3837" t="s">
        <v>3699</v>
      </c>
      <c r="J6" s="3798"/>
      <c r="K6" s="3798"/>
      <c r="L6" s="3798"/>
      <c r="N6" s="3832" t="s">
        <v>3700</v>
      </c>
      <c r="O6" s="3838">
        <v>70</v>
      </c>
      <c r="P6" s="3838">
        <v>50</v>
      </c>
      <c r="Q6" s="3838">
        <v>80</v>
      </c>
      <c r="R6" s="3839">
        <v>0</v>
      </c>
    </row>
    <row r="7" spans="1:18" ht="15.75" customHeight="1">
      <c r="A7" s="3818" t="s">
        <v>3701</v>
      </c>
      <c r="B7" s="3834">
        <v>58.8</v>
      </c>
      <c r="C7" s="3802"/>
      <c r="D7" s="3835" t="s">
        <v>3702</v>
      </c>
      <c r="E7" s="3809" t="s">
        <v>3703</v>
      </c>
      <c r="F7" s="3829">
        <f>IF(B4&lt;DATE(2002,12,10),'[1]1993基准地价'!C14,IF(B4&gt;=DATE(2014,8,28),'[1]2014基准地价'!B4,IF(H7="采用比较法计算",[1]比较法!B3,IF(H7="扣毛地价",'2002基准地价 (2)'!B4,'2002基准地价 (2)'!B5))))</f>
        <v>0</v>
      </c>
      <c r="G7" s="3840"/>
      <c r="H7" s="3841"/>
      <c r="I7" s="3842" t="s">
        <v>3704</v>
      </c>
      <c r="J7" s="3798"/>
      <c r="K7" s="3798"/>
      <c r="L7" s="3798"/>
      <c r="N7" s="3832" t="s">
        <v>3384</v>
      </c>
      <c r="O7" s="3838">
        <v>50</v>
      </c>
      <c r="P7" s="3838">
        <v>35</v>
      </c>
      <c r="Q7" s="3838">
        <v>60</v>
      </c>
      <c r="R7" s="3839">
        <v>0</v>
      </c>
    </row>
    <row r="8" spans="1:18" ht="15.75" customHeight="1">
      <c r="A8" s="3818" t="s">
        <v>3705</v>
      </c>
      <c r="B8" s="3843" t="e">
        <f>ROUND(B7/B6,2)</f>
        <v>#DIV/0!</v>
      </c>
      <c r="C8" s="3802"/>
      <c r="D8" s="3844">
        <v>2</v>
      </c>
      <c r="E8" s="3818" t="s">
        <v>3706</v>
      </c>
      <c r="F8" s="3845">
        <f>ROUND(F5*G8,0)</f>
        <v>0</v>
      </c>
      <c r="G8" s="3846"/>
      <c r="H8" s="3847"/>
      <c r="I8" s="3824" t="s">
        <v>3707</v>
      </c>
      <c r="J8" s="3798"/>
      <c r="K8" s="3798"/>
      <c r="L8" s="3798"/>
      <c r="N8" s="3832" t="s">
        <v>3436</v>
      </c>
      <c r="O8" s="3838">
        <v>40</v>
      </c>
      <c r="P8" s="3838">
        <v>30</v>
      </c>
      <c r="Q8" s="3838">
        <v>50</v>
      </c>
      <c r="R8" s="3839">
        <v>0.02</v>
      </c>
    </row>
    <row r="9" spans="1:18" ht="15.75" customHeight="1">
      <c r="A9" s="3818" t="s">
        <v>3591</v>
      </c>
      <c r="B9" s="3834">
        <v>2</v>
      </c>
      <c r="C9" s="3802"/>
      <c r="D9" s="3844">
        <v>3</v>
      </c>
      <c r="E9" s="3818" t="s">
        <v>3708</v>
      </c>
      <c r="F9" s="3845">
        <f ca="1">ROUND(F5*(POWER((1+G9),B24)-1)+F8*(POWER((1+G9),B24/2)-1),0)</f>
        <v>0</v>
      </c>
      <c r="G9" s="3848">
        <f ca="1">[1]存贷款利率!G2</f>
        <v>0.03</v>
      </c>
      <c r="H9" s="3849" t="str">
        <f>"计息期为"&amp;B24&amp;"年，"&amp;"复利计息"</f>
        <v>计息期为0年，复利计息</v>
      </c>
      <c r="I9" s="3850"/>
      <c r="J9" s="3851"/>
      <c r="K9" s="3798"/>
      <c r="L9" s="3798"/>
      <c r="N9" s="3832" t="s">
        <v>3709</v>
      </c>
      <c r="O9" s="3838">
        <v>30</v>
      </c>
      <c r="P9" s="3838">
        <v>20</v>
      </c>
      <c r="Q9" s="3838">
        <v>40</v>
      </c>
      <c r="R9" s="3839">
        <v>0.06</v>
      </c>
    </row>
    <row r="10" spans="1:18" ht="15.75" customHeight="1" thickBot="1">
      <c r="A10" s="3818" t="s">
        <v>675</v>
      </c>
      <c r="B10" s="3852" t="s">
        <v>296</v>
      </c>
      <c r="C10" s="3802"/>
      <c r="D10" s="3853">
        <v>4</v>
      </c>
      <c r="E10" s="3854" t="s">
        <v>3710</v>
      </c>
      <c r="F10" s="3855">
        <f>ROUND((F5+F8)*G10,0)</f>
        <v>0</v>
      </c>
      <c r="G10" s="3856"/>
      <c r="H10" s="3857" t="s">
        <v>3711</v>
      </c>
      <c r="I10" s="3858" t="s">
        <v>3712</v>
      </c>
      <c r="J10" s="3859"/>
      <c r="K10" s="3798"/>
      <c r="L10" s="3798"/>
      <c r="N10" s="3832" t="s">
        <v>3713</v>
      </c>
      <c r="O10" s="3838">
        <v>30</v>
      </c>
      <c r="P10" s="3838">
        <v>20</v>
      </c>
      <c r="Q10" s="3838">
        <v>40</v>
      </c>
      <c r="R10" s="3839">
        <v>0.04</v>
      </c>
    </row>
    <row r="11" spans="1:18" ht="15.75" customHeight="1" thickTop="1">
      <c r="A11" s="3818" t="s">
        <v>3714</v>
      </c>
      <c r="B11" s="3860"/>
      <c r="C11" s="3802"/>
      <c r="D11" s="3861" t="s">
        <v>3715</v>
      </c>
      <c r="E11" s="3862" t="s">
        <v>3716</v>
      </c>
      <c r="F11" s="3821">
        <f ca="1">F12+F20+F21+F22</f>
        <v>0</v>
      </c>
      <c r="G11" s="3863"/>
      <c r="H11" s="3864" t="s">
        <v>3689</v>
      </c>
      <c r="I11" s="3824"/>
      <c r="J11" s="3798"/>
      <c r="K11" s="3798"/>
      <c r="L11" s="3798"/>
      <c r="N11" s="3832" t="s">
        <v>3717</v>
      </c>
      <c r="O11" s="3838">
        <v>30</v>
      </c>
      <c r="P11" s="3838">
        <v>20</v>
      </c>
      <c r="Q11" s="3838">
        <v>40</v>
      </c>
      <c r="R11" s="3839">
        <v>0.03</v>
      </c>
    </row>
    <row r="12" spans="1:18" ht="15.75" customHeight="1">
      <c r="A12" s="3818" t="s">
        <v>3718</v>
      </c>
      <c r="B12" s="3865" t="s">
        <v>3640</v>
      </c>
      <c r="C12" s="3802"/>
      <c r="D12" s="3844">
        <v>1</v>
      </c>
      <c r="E12" s="3818" t="s">
        <v>3719</v>
      </c>
      <c r="F12" s="3845">
        <f>F13+F16+F17</f>
        <v>0</v>
      </c>
      <c r="G12" s="3866"/>
      <c r="H12" s="3867" t="s">
        <v>3720</v>
      </c>
      <c r="I12" s="3824"/>
      <c r="J12" s="3798"/>
      <c r="K12" s="3798"/>
      <c r="L12" s="3798"/>
      <c r="N12" s="3832" t="s">
        <v>3721</v>
      </c>
      <c r="O12" s="3838">
        <v>10</v>
      </c>
      <c r="P12" s="3838">
        <v>10</v>
      </c>
      <c r="Q12" s="3838">
        <v>10</v>
      </c>
      <c r="R12" s="3839">
        <v>0</v>
      </c>
    </row>
    <row r="13" spans="1:18" ht="15.75" customHeight="1">
      <c r="A13" s="3818" t="s">
        <v>2500</v>
      </c>
      <c r="B13" s="3868">
        <v>70</v>
      </c>
      <c r="C13" s="3802"/>
      <c r="D13" s="3835" t="s">
        <v>3697</v>
      </c>
      <c r="E13" s="3818" t="s">
        <v>3722</v>
      </c>
      <c r="F13" s="3845">
        <f>F14+F15</f>
        <v>0</v>
      </c>
      <c r="G13" s="3866"/>
      <c r="H13" s="3867" t="s">
        <v>3723</v>
      </c>
      <c r="I13" s="3824"/>
      <c r="J13" s="3798"/>
      <c r="K13" s="3798"/>
      <c r="L13" s="3798"/>
    </row>
    <row r="14" spans="1:18" ht="15.75" customHeight="1">
      <c r="A14" s="3818" t="s">
        <v>2501</v>
      </c>
      <c r="B14" s="3869"/>
      <c r="C14" s="3802"/>
      <c r="D14" s="3844" t="s">
        <v>3724</v>
      </c>
      <c r="E14" s="3818" t="s">
        <v>3725</v>
      </c>
      <c r="F14" s="3870"/>
      <c r="G14" s="3871"/>
      <c r="H14" s="3836"/>
      <c r="I14" s="3824"/>
      <c r="J14" s="3798"/>
      <c r="K14" s="3798"/>
      <c r="L14" s="3798"/>
    </row>
    <row r="15" spans="1:18" ht="15.75" customHeight="1">
      <c r="A15" s="3818" t="s">
        <v>2502</v>
      </c>
      <c r="B15" s="3872">
        <f>IF(B14="",B13-(YEAR($B$4)-B22+B23+B24),ROUNDDOWN(MIN((B14-$B$4)/365,B13),2))</f>
        <v>61</v>
      </c>
      <c r="C15" s="3802"/>
      <c r="D15" s="3844" t="s">
        <v>3726</v>
      </c>
      <c r="E15" s="3818" t="s">
        <v>3727</v>
      </c>
      <c r="F15" s="3870"/>
      <c r="G15" s="3871"/>
      <c r="H15" s="3836"/>
      <c r="I15" s="3824"/>
      <c r="J15" s="3798"/>
      <c r="K15" s="3798"/>
      <c r="L15" s="3798"/>
    </row>
    <row r="16" spans="1:18" ht="15.75" customHeight="1">
      <c r="A16" s="3818" t="s">
        <v>3728</v>
      </c>
      <c r="B16" s="3834">
        <v>70</v>
      </c>
      <c r="C16" s="3802"/>
      <c r="D16" s="3835" t="s">
        <v>3702</v>
      </c>
      <c r="E16" s="3818" t="s">
        <v>3729</v>
      </c>
      <c r="F16" s="3829">
        <f>ROUND(F13*G16,0)</f>
        <v>0</v>
      </c>
      <c r="G16" s="3873"/>
      <c r="H16" s="3874" t="s">
        <v>3730</v>
      </c>
      <c r="I16" s="3850" t="s">
        <v>3731</v>
      </c>
      <c r="J16" s="3798"/>
      <c r="K16" s="3798"/>
      <c r="L16" s="3798"/>
    </row>
    <row r="17" spans="1:18" ht="15.75" customHeight="1">
      <c r="A17" s="3818" t="s">
        <v>3605</v>
      </c>
      <c r="B17" s="3875">
        <f>IF(B4&lt;DATE(2002,12,10),'[1]1993基准地价'!C23,IF(B4&gt;=DATE(2014,8,28),'[1]2014基准地价'!G20,'2002基准地价 (2)'!E10))</f>
        <v>0.04</v>
      </c>
      <c r="C17" s="3802"/>
      <c r="D17" s="3835" t="s">
        <v>3732</v>
      </c>
      <c r="E17" s="3818" t="s">
        <v>3733</v>
      </c>
      <c r="F17" s="3845">
        <f>F18+F19</f>
        <v>0</v>
      </c>
      <c r="G17" s="3866"/>
      <c r="H17" s="3867" t="s">
        <v>3723</v>
      </c>
      <c r="I17" s="3798"/>
      <c r="J17" s="3798"/>
      <c r="K17" s="3798"/>
      <c r="L17" s="3798"/>
    </row>
    <row r="18" spans="1:18" ht="15.75" customHeight="1">
      <c r="A18" s="3818" t="s">
        <v>2503</v>
      </c>
      <c r="B18" s="3876">
        <f>IF(ISERROR(ROUND(POWER(1+B17,B13-B15)*(POWER(1+B17,B15)-1)/(POWER(1+B17,B13)-1),3)),0,ROUND(POWER(1+B17,B13-B15)*(POWER(1+B17,B15)-1)/(POWER(1+B17,B13)-1),3))</f>
        <v>0.97099999999999997</v>
      </c>
      <c r="C18" s="3802"/>
      <c r="D18" s="3844" t="s">
        <v>3724</v>
      </c>
      <c r="E18" s="3818" t="s">
        <v>3734</v>
      </c>
      <c r="F18" s="3829">
        <f>ROUND(IF(B12="住宅/居住",F13*G18,0),0)</f>
        <v>0</v>
      </c>
      <c r="G18" s="3873"/>
      <c r="H18" s="3874" t="s">
        <v>3730</v>
      </c>
      <c r="I18" s="3850" t="s">
        <v>3735</v>
      </c>
      <c r="J18" s="3798" t="s">
        <v>3736</v>
      </c>
      <c r="K18" s="3798"/>
      <c r="L18" s="3798"/>
    </row>
    <row r="19" spans="1:18" ht="15.75" customHeight="1">
      <c r="A19" s="3824"/>
      <c r="B19" s="3798"/>
      <c r="C19" s="3802"/>
      <c r="D19" s="3844" t="s">
        <v>3726</v>
      </c>
      <c r="E19" s="3818" t="s">
        <v>3737</v>
      </c>
      <c r="F19" s="3829">
        <f>ROUND(F13*G19,0)</f>
        <v>0</v>
      </c>
      <c r="G19" s="3873"/>
      <c r="H19" s="3874" t="s">
        <v>3730</v>
      </c>
      <c r="I19" s="3850" t="s">
        <v>3738</v>
      </c>
      <c r="J19" s="3798"/>
      <c r="K19" s="3798"/>
      <c r="L19" s="3798"/>
    </row>
    <row r="20" spans="1:18" ht="15.75" customHeight="1">
      <c r="A20" s="3818" t="s">
        <v>3739</v>
      </c>
      <c r="B20" s="3877" t="s">
        <v>3436</v>
      </c>
      <c r="C20" s="3802"/>
      <c r="D20" s="3844">
        <v>2</v>
      </c>
      <c r="E20" s="3818" t="s">
        <v>3706</v>
      </c>
      <c r="F20" s="3845">
        <f>ROUND(F12*G20,0)</f>
        <v>0</v>
      </c>
      <c r="G20" s="3846"/>
      <c r="H20" s="3836"/>
      <c r="I20" s="3850" t="s">
        <v>3740</v>
      </c>
      <c r="J20" s="3798"/>
      <c r="K20" s="3798"/>
      <c r="L20" s="3798"/>
    </row>
    <row r="21" spans="1:18" ht="15.75" customHeight="1">
      <c r="A21" s="3818" t="s">
        <v>3741</v>
      </c>
      <c r="B21" s="3878" t="s">
        <v>3385</v>
      </c>
      <c r="C21" s="3802"/>
      <c r="D21" s="3879">
        <v>3</v>
      </c>
      <c r="E21" s="3880" t="s">
        <v>3708</v>
      </c>
      <c r="F21" s="3881">
        <f ca="1">ROUND((F12+F20)*(POWER((1+G21),B23/2)-1),0)</f>
        <v>0</v>
      </c>
      <c r="G21" s="3882">
        <f ca="1">[1]存贷款利率!G1</f>
        <v>5.8499999999999996E-2</v>
      </c>
      <c r="H21" s="3849" t="str">
        <f>"计息期为"&amp;B23&amp;"年，"&amp;"复利计息"</f>
        <v>计息期为2年，复利计息</v>
      </c>
      <c r="I21" s="3883"/>
      <c r="J21" s="3814"/>
      <c r="K21" s="3798"/>
      <c r="L21" s="3798"/>
    </row>
    <row r="22" spans="1:18" ht="15.75" customHeight="1" thickBot="1">
      <c r="A22" s="3818" t="s">
        <v>3742</v>
      </c>
      <c r="B22" s="3884">
        <v>1999</v>
      </c>
      <c r="C22" s="3802"/>
      <c r="D22" s="3853">
        <v>4</v>
      </c>
      <c r="E22" s="3854" t="s">
        <v>3710</v>
      </c>
      <c r="F22" s="3855">
        <f>ROUND((F12+F20)*G22,0)</f>
        <v>0</v>
      </c>
      <c r="G22" s="3856"/>
      <c r="H22" s="3857" t="s">
        <v>3711</v>
      </c>
      <c r="I22" s="3883" t="str">
        <f>IF(B12="商业","商业用途35%-50%",IF(B12="工业","工业用途18%-28%",IF(B12="办公/综合","办公用途25%-40%","居住用途30%-50%")))</f>
        <v>居住用途30%-50%</v>
      </c>
      <c r="J22" s="3798"/>
      <c r="K22" s="3798"/>
      <c r="L22" s="3798"/>
    </row>
    <row r="23" spans="1:18" ht="15.75" customHeight="1" thickTop="1">
      <c r="A23" s="3818" t="s">
        <v>3743</v>
      </c>
      <c r="B23" s="3885">
        <v>2</v>
      </c>
      <c r="C23" s="3798"/>
      <c r="D23" s="3861" t="s">
        <v>3744</v>
      </c>
      <c r="E23" s="3862" t="s">
        <v>3745</v>
      </c>
      <c r="F23" s="3821"/>
      <c r="G23" s="3886"/>
      <c r="H23" s="3887"/>
      <c r="I23" s="3888"/>
      <c r="J23" s="3798"/>
      <c r="K23" s="3798"/>
      <c r="L23" s="3798"/>
    </row>
    <row r="24" spans="1:18" ht="15.75" customHeight="1">
      <c r="A24" s="3818" t="s">
        <v>3746</v>
      </c>
      <c r="B24" s="3885">
        <v>0</v>
      </c>
      <c r="C24" s="3798"/>
      <c r="D24" s="3828">
        <v>1</v>
      </c>
      <c r="E24" s="3809" t="s">
        <v>3747</v>
      </c>
      <c r="F24" s="3829">
        <f ca="1">F4+F11</f>
        <v>6200</v>
      </c>
      <c r="G24" s="3889"/>
      <c r="H24" s="3847"/>
      <c r="I24" s="3888"/>
      <c r="J24" s="3798"/>
      <c r="K24" s="3798"/>
      <c r="L24" s="3798"/>
    </row>
    <row r="25" spans="1:18" ht="15.75" customHeight="1" thickBot="1">
      <c r="A25" s="3890"/>
      <c r="B25" s="3798"/>
      <c r="C25" s="3798"/>
      <c r="D25" s="3891">
        <v>2</v>
      </c>
      <c r="E25" s="3892" t="s">
        <v>3584</v>
      </c>
      <c r="F25" s="3893">
        <f ca="1">ROUND(F24*B7/10000,4)</f>
        <v>36.456000000000003</v>
      </c>
      <c r="G25" s="3894"/>
      <c r="H25" s="3895"/>
      <c r="I25" s="3888"/>
      <c r="J25" s="3798"/>
      <c r="K25" s="3798"/>
      <c r="L25" s="3798"/>
    </row>
    <row r="26" spans="1:18" ht="15.75" customHeight="1" thickBot="1">
      <c r="A26" s="3890"/>
      <c r="B26" s="3798"/>
      <c r="C26" s="3798"/>
      <c r="D26" s="3896" t="s">
        <v>3748</v>
      </c>
      <c r="E26" s="3897"/>
      <c r="F26" s="3897"/>
      <c r="G26" s="3897"/>
      <c r="H26" s="3898"/>
      <c r="I26" s="3824"/>
      <c r="J26" s="3806"/>
      <c r="K26" s="3798"/>
      <c r="L26" s="3798"/>
    </row>
    <row r="27" spans="1:18" ht="15.75" customHeight="1">
      <c r="A27" s="3890"/>
      <c r="B27" s="3798"/>
      <c r="C27" s="3798"/>
      <c r="D27" s="3899" t="s">
        <v>3680</v>
      </c>
      <c r="E27" s="3900" t="s">
        <v>3681</v>
      </c>
      <c r="F27" s="3812" t="s">
        <v>3749</v>
      </c>
      <c r="G27" s="3812" t="s">
        <v>3750</v>
      </c>
      <c r="H27" s="3901"/>
      <c r="I27" s="3902"/>
      <c r="J27" s="3814"/>
      <c r="K27" s="3798"/>
      <c r="L27" s="3798"/>
    </row>
    <row r="28" spans="1:18" ht="15.75" customHeight="1" thickBot="1">
      <c r="A28" s="3890"/>
      <c r="B28" s="3798"/>
      <c r="C28" s="3798"/>
      <c r="D28" s="3828" t="s">
        <v>3687</v>
      </c>
      <c r="E28" s="3809" t="s">
        <v>3751</v>
      </c>
      <c r="F28" s="3903">
        <f>ROUND(IF(AND(B12&lt;&gt;"住宅/居住",B13&lt;O2),1-(1-O4)*O3/B13,1-(1-O4)*O3/O2),2)</f>
        <v>0.86</v>
      </c>
      <c r="G28" s="3904"/>
      <c r="H28" s="3905"/>
      <c r="I28" s="3824" t="s">
        <v>3752</v>
      </c>
      <c r="J28" s="3798"/>
      <c r="K28" s="3798"/>
      <c r="L28" s="3798"/>
    </row>
    <row r="29" spans="1:18" ht="15.75" customHeight="1">
      <c r="A29" s="3890"/>
      <c r="B29" s="3798"/>
      <c r="C29" s="3798"/>
      <c r="D29" s="3828" t="s">
        <v>3753</v>
      </c>
      <c r="E29" s="3809" t="s">
        <v>3754</v>
      </c>
      <c r="F29" s="3903">
        <f>ROUND((F30*G30+F31*G31+F32*G32)/100,2)</f>
        <v>0</v>
      </c>
      <c r="G29" s="3903">
        <f>1-G28</f>
        <v>1</v>
      </c>
      <c r="H29" s="3836"/>
      <c r="I29" s="3824"/>
      <c r="J29" s="3798"/>
      <c r="K29" s="3798"/>
      <c r="L29" s="3798"/>
      <c r="N29" s="3906"/>
      <c r="O29" s="3907" t="s">
        <v>3755</v>
      </c>
      <c r="P29" s="3907" t="s">
        <v>3436</v>
      </c>
      <c r="Q29" s="3907" t="s">
        <v>3384</v>
      </c>
      <c r="R29" s="3908" t="s">
        <v>3700</v>
      </c>
    </row>
    <row r="30" spans="1:18" ht="15.75" customHeight="1">
      <c r="A30" s="3890"/>
      <c r="B30" s="3798"/>
      <c r="C30" s="3798"/>
      <c r="D30" s="3828">
        <v>1</v>
      </c>
      <c r="E30" s="3909" t="s">
        <v>3756</v>
      </c>
      <c r="F30" s="3910"/>
      <c r="G30" s="3903">
        <f>IF(ISNUMBER(FIND("砖木",B20)),O30,SUMPRODUCT((N30:N32=E30)*(O29:R29=B20)*(O30:R32)))</f>
        <v>0.2</v>
      </c>
      <c r="H30" s="3905"/>
      <c r="I30" s="3911" t="s">
        <v>3757</v>
      </c>
      <c r="J30" s="3912"/>
      <c r="K30" s="3798"/>
      <c r="L30" s="3798"/>
      <c r="N30" s="3913" t="s">
        <v>3756</v>
      </c>
      <c r="O30" s="3914">
        <v>0.2</v>
      </c>
      <c r="P30" s="3914">
        <v>0.2</v>
      </c>
      <c r="Q30" s="3914">
        <v>0.2</v>
      </c>
      <c r="R30" s="3915">
        <v>0.25</v>
      </c>
    </row>
    <row r="31" spans="1:18" ht="15.75" customHeight="1">
      <c r="A31" s="3890"/>
      <c r="B31" s="3798"/>
      <c r="C31" s="3798"/>
      <c r="D31" s="3828">
        <v>2</v>
      </c>
      <c r="E31" s="3909" t="s">
        <v>3758</v>
      </c>
      <c r="F31" s="3829">
        <f>F30</f>
        <v>0</v>
      </c>
      <c r="G31" s="3903">
        <f>IF(ISNUMBER(FIND("砖木",B20)),O31,SUMPRODUCT((N30:N32=E31)*(O29:R29=B20)*(O30:R32)))</f>
        <v>0.45</v>
      </c>
      <c r="H31" s="3905"/>
      <c r="I31" s="3911"/>
      <c r="J31" s="3912"/>
      <c r="K31" s="3798"/>
      <c r="L31" s="3798"/>
      <c r="N31" s="3913" t="s">
        <v>3758</v>
      </c>
      <c r="O31" s="3914">
        <v>0.55000000000000004</v>
      </c>
      <c r="P31" s="3914">
        <v>0.45</v>
      </c>
      <c r="Q31" s="3914">
        <v>0.5</v>
      </c>
      <c r="R31" s="3915">
        <v>0.55000000000000004</v>
      </c>
    </row>
    <row r="32" spans="1:18" ht="15.75" customHeight="1">
      <c r="A32" s="3890"/>
      <c r="B32" s="3798"/>
      <c r="C32" s="3798"/>
      <c r="D32" s="3828">
        <v>3</v>
      </c>
      <c r="E32" s="3909" t="s">
        <v>3759</v>
      </c>
      <c r="F32" s="3829">
        <f>F31</f>
        <v>0</v>
      </c>
      <c r="G32" s="3903">
        <f>IF(ISNUMBER(FIND("砖木",B20)),O32,SUMPRODUCT((N30:N32=E32)*(O29:R29=B20)*(O30:R32)))</f>
        <v>0.35</v>
      </c>
      <c r="H32" s="3905"/>
      <c r="I32" s="3911"/>
      <c r="J32" s="3912"/>
      <c r="K32" s="3798"/>
      <c r="L32" s="3798"/>
      <c r="N32" s="3913" t="s">
        <v>3759</v>
      </c>
      <c r="O32" s="3914">
        <v>0.25</v>
      </c>
      <c r="P32" s="3914">
        <v>0.35</v>
      </c>
      <c r="Q32" s="3914">
        <v>0.3</v>
      </c>
      <c r="R32" s="3915">
        <v>0.2</v>
      </c>
    </row>
    <row r="33" spans="1:18" ht="15.75" customHeight="1" thickBot="1">
      <c r="A33" s="3890"/>
      <c r="B33" s="3798"/>
      <c r="C33" s="3798"/>
      <c r="D33" s="3916" t="s">
        <v>3744</v>
      </c>
      <c r="E33" s="3892" t="s">
        <v>3760</v>
      </c>
      <c r="F33" s="3917">
        <f>ROUND(F28*G28+F29*G29,2)</f>
        <v>0</v>
      </c>
      <c r="G33" s="3894"/>
      <c r="H33" s="3895"/>
      <c r="I33" s="3798"/>
      <c r="J33" s="3798"/>
      <c r="K33" s="3798"/>
      <c r="L33" s="3798"/>
      <c r="N33" s="3918"/>
      <c r="O33" s="3919">
        <f>SUM(O30:O32)</f>
        <v>1</v>
      </c>
      <c r="P33" s="3919">
        <f t="shared" ref="P33:R33" si="0">SUM(P30:P32)</f>
        <v>1</v>
      </c>
      <c r="Q33" s="3919">
        <f t="shared" si="0"/>
        <v>1</v>
      </c>
      <c r="R33" s="3920">
        <f t="shared" si="0"/>
        <v>1</v>
      </c>
    </row>
    <row r="34" spans="1:18" ht="15.75" customHeight="1" thickBot="1">
      <c r="A34" s="3890"/>
      <c r="B34" s="3798"/>
      <c r="C34" s="3798"/>
      <c r="D34" s="3896" t="s">
        <v>3761</v>
      </c>
      <c r="E34" s="3897"/>
      <c r="F34" s="3897"/>
      <c r="G34" s="3897"/>
      <c r="H34" s="3898"/>
      <c r="I34" s="3806"/>
      <c r="J34" s="3806"/>
      <c r="K34" s="3798"/>
      <c r="L34" s="3798"/>
    </row>
    <row r="35" spans="1:18" ht="15.75" customHeight="1">
      <c r="A35" s="3890"/>
      <c r="B35" s="3798"/>
      <c r="C35" s="3798"/>
      <c r="D35" s="3828" t="s">
        <v>3687</v>
      </c>
      <c r="E35" s="3921" t="s">
        <v>3762</v>
      </c>
      <c r="F35" s="3922">
        <f ca="1">ROUND(F24*F33,0)</f>
        <v>0</v>
      </c>
      <c r="G35" s="3923" t="s">
        <v>3763</v>
      </c>
      <c r="H35" s="3924"/>
      <c r="I35" s="3815"/>
      <c r="J35" s="3815"/>
      <c r="K35" s="3798"/>
      <c r="L35" s="3798"/>
    </row>
    <row r="36" spans="1:18" ht="15.75" customHeight="1" thickBot="1">
      <c r="A36" s="3890"/>
      <c r="B36" s="3798"/>
      <c r="C36" s="3798"/>
      <c r="D36" s="3891" t="s">
        <v>3753</v>
      </c>
      <c r="E36" s="3892" t="s">
        <v>3764</v>
      </c>
      <c r="F36" s="3925">
        <f ca="1">ROUND(F25*F33,4)</f>
        <v>0</v>
      </c>
      <c r="G36" s="3926" t="s">
        <v>3765</v>
      </c>
      <c r="H36" s="3927"/>
      <c r="I36" s="3815"/>
      <c r="J36" s="3815"/>
      <c r="K36" s="3798"/>
      <c r="L36" s="3798"/>
    </row>
    <row r="37" spans="1:18" ht="15.75" customHeight="1">
      <c r="A37" s="3890"/>
      <c r="B37" s="3798"/>
    </row>
    <row r="38" spans="1:18" ht="15.75" customHeight="1">
      <c r="A38" s="3890"/>
      <c r="B38" s="3798"/>
    </row>
    <row r="39" spans="1:18" ht="15.75" customHeight="1">
      <c r="A39" s="3890"/>
      <c r="B39" s="3798"/>
    </row>
    <row r="43" spans="1:18" ht="15.75" customHeight="1">
      <c r="N43" s="3929"/>
      <c r="O43" s="3929"/>
    </row>
    <row r="44" spans="1:18" ht="15.75" customHeight="1">
      <c r="N44" s="3929"/>
      <c r="O44" s="3929"/>
    </row>
    <row r="45" spans="1:18" ht="15.75" customHeight="1">
      <c r="N45" s="3929"/>
      <c r="O45" s="3929"/>
    </row>
    <row r="46" spans="1:18" ht="15.75" customHeight="1">
      <c r="N46" s="3929"/>
      <c r="O46" s="3929"/>
    </row>
    <row r="51" spans="1:13" ht="15.75" customHeight="1">
      <c r="G51" s="3930" t="s">
        <v>3766</v>
      </c>
    </row>
    <row r="52" spans="1:13" ht="15.75" customHeight="1">
      <c r="C52" s="3931" t="s">
        <v>3767</v>
      </c>
      <c r="D52" s="3931"/>
      <c r="E52" s="3931"/>
      <c r="F52" s="3931"/>
      <c r="G52" s="3932" t="s">
        <v>3768</v>
      </c>
      <c r="I52" s="3929"/>
      <c r="J52" s="3929"/>
      <c r="K52" s="3929"/>
      <c r="L52" s="3929"/>
      <c r="M52" s="3929"/>
    </row>
    <row r="53" spans="1:13" ht="15.75" customHeight="1">
      <c r="A53" s="3933" t="s">
        <v>3686</v>
      </c>
      <c r="B53" s="3931" t="s">
        <v>3769</v>
      </c>
      <c r="C53" s="3934" t="s">
        <v>3770</v>
      </c>
      <c r="D53" s="3934"/>
      <c r="E53" s="3934"/>
      <c r="F53" s="3934"/>
      <c r="G53" s="3932" t="s">
        <v>3771</v>
      </c>
      <c r="I53" s="3929"/>
      <c r="J53" s="3929"/>
      <c r="K53" s="3929"/>
      <c r="L53" s="3929"/>
      <c r="M53" s="3929"/>
    </row>
    <row r="54" spans="1:13" ht="15.75" customHeight="1">
      <c r="A54" s="3935" t="s">
        <v>3772</v>
      </c>
      <c r="B54" s="3934" t="s">
        <v>3773</v>
      </c>
      <c r="C54" s="3934" t="s">
        <v>3774</v>
      </c>
      <c r="D54" s="3934"/>
      <c r="E54" s="3934"/>
      <c r="F54" s="3934"/>
      <c r="G54" s="3932" t="s">
        <v>3775</v>
      </c>
      <c r="I54" s="3929"/>
      <c r="J54" s="3929"/>
      <c r="K54" s="3929"/>
      <c r="L54" s="3929"/>
      <c r="M54" s="3929"/>
    </row>
    <row r="55" spans="1:13" ht="15.75" customHeight="1">
      <c r="A55" s="3935" t="s">
        <v>3776</v>
      </c>
      <c r="B55" s="3934" t="s">
        <v>3777</v>
      </c>
      <c r="C55" s="3934" t="s">
        <v>3778</v>
      </c>
      <c r="D55" s="3934"/>
      <c r="E55" s="3934"/>
      <c r="F55" s="3934"/>
      <c r="G55" s="3932" t="s">
        <v>3779</v>
      </c>
      <c r="I55" s="3929"/>
      <c r="J55" s="3929"/>
      <c r="K55" s="3929"/>
      <c r="L55" s="3929"/>
      <c r="M55" s="3929"/>
    </row>
    <row r="56" spans="1:13" ht="15.75" customHeight="1">
      <c r="A56" s="3935" t="s">
        <v>3780</v>
      </c>
      <c r="B56" s="3934" t="s">
        <v>3781</v>
      </c>
    </row>
    <row r="57" spans="1:13" ht="15.75" customHeight="1">
      <c r="A57" s="3936"/>
      <c r="B57" s="3937"/>
    </row>
  </sheetData>
  <sheetProtection password="CEE9" sheet="1" objects="1" scenarios="1" formatCells="0"/>
  <mergeCells count="6">
    <mergeCell ref="D2:H2"/>
    <mergeCell ref="D26:H26"/>
    <mergeCell ref="I30:I32"/>
    <mergeCell ref="D34:H34"/>
    <mergeCell ref="G35:H35"/>
    <mergeCell ref="G36:H36"/>
  </mergeCells>
  <phoneticPr fontId="134" type="noConversion"/>
  <dataValidations count="20">
    <dataValidation type="decimal" operator="lessThanOrEqual" allowBlank="1" showInputMessage="1" showErrorMessage="1" sqref="B23:B24" xr:uid="{D855B60D-2E98-4050-B969-6CAEF206A119}">
      <formula1>3</formula1>
    </dataValidation>
    <dataValidation type="whole" operator="lessThanOrEqual" allowBlank="1" showInputMessage="1" showErrorMessage="1" sqref="P33:R33" xr:uid="{8C5668E5-0EF0-4C14-9E9D-0C5712D08839}">
      <formula1>1</formula1>
    </dataValidation>
    <dataValidation type="decimal" allowBlank="1" showInputMessage="1" showErrorMessage="1" sqref="Q32" xr:uid="{9F92E2F8-F31E-4979-9F31-8A9A93D41902}">
      <formula1>0.2</formula1>
      <formula2>0.4</formula2>
    </dataValidation>
    <dataValidation type="decimal" allowBlank="1" showInputMessage="1" showErrorMessage="1" sqref="P32" xr:uid="{B798A66E-4872-4745-9E86-F8F0408333CC}">
      <formula1>0.25</formula1>
      <formula2>0.45</formula2>
    </dataValidation>
    <dataValidation type="decimal" allowBlank="1" showInputMessage="1" showErrorMessage="1" sqref="Q31" xr:uid="{24729672-6087-4EBC-AD05-9EF9C60A956C}">
      <formula1>0.4</formula1>
      <formula2>0.6</formula2>
    </dataValidation>
    <dataValidation type="decimal" allowBlank="1" showInputMessage="1" showErrorMessage="1" sqref="P31" xr:uid="{7753CF01-2C9D-4314-BA12-CAFDD81EC5AB}">
      <formula1>0.35</formula1>
      <formula2>0.55</formula2>
    </dataValidation>
    <dataValidation type="whole" allowBlank="1" showInputMessage="1" showErrorMessage="1" sqref="O33" xr:uid="{1BE94BD6-23BB-4979-AF10-D4425D415507}">
      <formula1>1</formula1>
      <formula2>1</formula2>
    </dataValidation>
    <dataValidation type="decimal" allowBlank="1" showInputMessage="1" showErrorMessage="1" sqref="O31 R31" xr:uid="{6447414D-4C00-4A74-B5DB-48136BD0B535}">
      <formula1>0.45</formula1>
      <formula2>0.65</formula2>
    </dataValidation>
    <dataValidation type="decimal" allowBlank="1" showInputMessage="1" showErrorMessage="1" sqref="R30 O32" xr:uid="{BAFD1896-92DE-4F93-A23D-9FC75B704B34}">
      <formula1>0.15</formula1>
      <formula2>0.35</formula2>
    </dataValidation>
    <dataValidation type="decimal" allowBlank="1" showInputMessage="1" showErrorMessage="1" sqref="O30:Q30 R32" xr:uid="{4B6CF208-0F51-4EDE-A5C9-90FDF3E3EC6D}">
      <formula1>0.1</formula1>
      <formula2>0.3</formula2>
    </dataValidation>
    <dataValidation type="decimal" allowBlank="1" showInputMessage="1" showErrorMessage="1" sqref="G28" xr:uid="{00B22B9F-B095-4604-94C0-5F04A33AAD63}">
      <formula1>0.3</formula1>
      <formula2>1</formula2>
    </dataValidation>
    <dataValidation type="list" allowBlank="1" showInputMessage="1" showErrorMessage="1" sqref="B21" xr:uid="{7990DAA2-06EC-4912-8A52-55D17D414C58}">
      <formula1>"非生产用房,生产用房,受腐蚀的生产用房"</formula1>
    </dataValidation>
    <dataValidation type="list" allowBlank="1" showInputMessage="1" showErrorMessage="1" sqref="B12" xr:uid="{CBEB43B6-1E43-4F22-A836-6A7B82ED38DD}">
      <formula1>地类判定</formula1>
    </dataValidation>
    <dataValidation type="list" allowBlank="1" showInputMessage="1" showErrorMessage="1" sqref="B10" xr:uid="{18885F72-27FD-4AC9-BDC2-F36FD660A8B2}">
      <formula1>土地级别</formula1>
    </dataValidation>
    <dataValidation type="list" allowBlank="1" showInputMessage="1" showErrorMessage="1" sqref="B20" xr:uid="{B753272C-5320-462B-B324-3749B3A1BF4E}">
      <formula1>结构</formula1>
    </dataValidation>
    <dataValidation type="decimal" allowBlank="1" showInputMessage="1" showErrorMessage="1" sqref="G8" xr:uid="{92D809EB-E9E4-4FCE-BD00-BD7F14EA84DA}">
      <formula1>0.01</formula1>
      <formula2>0.03</formula2>
    </dataValidation>
    <dataValidation type="list" allowBlank="1" showInputMessage="1" showErrorMessage="1" sqref="H7" xr:uid="{AFA7BFDE-A9B1-4BB3-BCA9-339F2A465C47}">
      <formula1>"采用比较法计算,扣毛地价,扣出让金"</formula1>
    </dataValidation>
    <dataValidation type="decimal" allowBlank="1" showInputMessage="1" showErrorMessage="1" sqref="G10 G22" xr:uid="{5DF7B363-AECF-4A5F-B566-B43183654B6B}">
      <formula1>0.18</formula1>
      <formula2>0.5</formula2>
    </dataValidation>
    <dataValidation type="list" allowBlank="1" showInputMessage="1" showErrorMessage="1" sqref="B11" xr:uid="{7094DCAE-C299-4A57-9940-27AF4B443499}">
      <formula1>INDIRECT($B$10)</formula1>
    </dataValidation>
    <dataValidation type="list" allowBlank="1" showInputMessage="1" showErrorMessage="1" sqref="B13" xr:uid="{68C3A00D-08F7-4669-B093-56701ACEBB23}">
      <formula1>法定最高年限</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1A7B7-68AE-40BD-A889-8D6CAD33035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3246" customWidth="1"/>
    <col min="2" max="2" width="19.25" style="3387" customWidth="1"/>
    <col min="3" max="4" width="12" style="3245" customWidth="1"/>
    <col min="5" max="5" width="14.625" style="3245" customWidth="1"/>
    <col min="6" max="6" width="16.875" style="3245" customWidth="1"/>
    <col min="7" max="8" width="12" style="3245" customWidth="1"/>
    <col min="9" max="9" width="12.25" style="3245" customWidth="1"/>
    <col min="10" max="10" width="12" style="3245" customWidth="1"/>
    <col min="11" max="11" width="9.5" style="3244" customWidth="1"/>
    <col min="12" max="12" width="12" style="3245" customWidth="1"/>
    <col min="13" max="13" width="8.5" style="3245" customWidth="1"/>
    <col min="14" max="14" width="9.75" style="3245" customWidth="1"/>
    <col min="15" max="25" width="12" style="3245" customWidth="1"/>
    <col min="26" max="26" width="9.375" style="3246" customWidth="1"/>
    <col min="27" max="32" width="9.375" style="3247" customWidth="1"/>
    <col min="33" max="36" width="9.375" style="3246" customWidth="1"/>
    <col min="37" max="38" width="9.375" style="3245" customWidth="1"/>
    <col min="39" max="16384" width="9" style="3245"/>
  </cols>
  <sheetData>
    <row r="1" spans="1:36" ht="20.25">
      <c r="A1" s="3239" t="s">
        <v>3581</v>
      </c>
      <c r="B1" s="3240"/>
      <c r="C1" s="3241"/>
      <c r="D1" s="3241"/>
      <c r="E1" s="3241"/>
      <c r="F1" s="3241"/>
      <c r="G1" s="3242" t="s">
        <v>3582</v>
      </c>
      <c r="H1" s="3243">
        <f>主表!B7</f>
        <v>58.8</v>
      </c>
      <c r="I1" s="3242" t="s">
        <v>3583</v>
      </c>
      <c r="J1" s="3243">
        <f>主表!B6</f>
        <v>0</v>
      </c>
      <c r="AE1" s="3248"/>
      <c r="AF1" s="3248"/>
    </row>
    <row r="2" spans="1:36" ht="24">
      <c r="A2" s="3249" t="s">
        <v>3584</v>
      </c>
      <c r="B2" s="1089" t="s">
        <v>43</v>
      </c>
      <c r="C2" s="3250" t="s">
        <v>3585</v>
      </c>
      <c r="D2" s="3251" t="s">
        <v>3586</v>
      </c>
      <c r="E2" s="3252" t="str">
        <f>主表!B12</f>
        <v>住宅/居住</v>
      </c>
      <c r="F2" s="3251" t="s">
        <v>675</v>
      </c>
      <c r="G2" s="3253" t="str">
        <f>主表!B10</f>
        <v>三级</v>
      </c>
      <c r="H2" s="3252" t="s">
        <v>3587</v>
      </c>
      <c r="I2" s="3254" t="s">
        <v>3377</v>
      </c>
      <c r="J2" s="3241"/>
      <c r="AE2" s="3248"/>
      <c r="AF2" s="3248"/>
    </row>
    <row r="3" spans="1:36" ht="24">
      <c r="A3" s="3255" t="s">
        <v>3588</v>
      </c>
      <c r="B3" s="3256">
        <f>C18</f>
        <v>6200</v>
      </c>
      <c r="C3" s="3250" t="s">
        <v>3354</v>
      </c>
      <c r="D3" s="3251" t="s">
        <v>3589</v>
      </c>
      <c r="E3" s="3257" t="s">
        <v>3590</v>
      </c>
      <c r="F3" s="3258" t="s">
        <v>3591</v>
      </c>
      <c r="G3" s="3259">
        <f>IF(F3="容积率",主表!B8,主表!B9)</f>
        <v>2</v>
      </c>
      <c r="H3" s="3260" t="s">
        <v>3592</v>
      </c>
      <c r="I3" s="3261">
        <f>SUMPRODUCT((A89:A92=E2)*(B88:K88=G2)*(B89:K92))</f>
        <v>2</v>
      </c>
      <c r="J3" s="3241"/>
      <c r="AE3" s="3248"/>
      <c r="AF3" s="3248"/>
    </row>
    <row r="4" spans="1:36" ht="15.75">
      <c r="A4" s="3249" t="s">
        <v>3593</v>
      </c>
      <c r="B4" s="1089">
        <f>C20</f>
        <v>0</v>
      </c>
      <c r="C4" s="3262" t="s">
        <v>3354</v>
      </c>
      <c r="D4" s="3263"/>
      <c r="E4" s="3264"/>
      <c r="F4" s="3264"/>
      <c r="G4" s="3265"/>
      <c r="H4" s="3266"/>
      <c r="I4" s="3267"/>
      <c r="J4" s="3241"/>
      <c r="AE4" s="3248"/>
      <c r="AF4" s="3248"/>
    </row>
    <row r="5" spans="1:36" ht="16.5" thickBot="1">
      <c r="A5" s="3242" t="s">
        <v>3594</v>
      </c>
      <c r="B5" s="3268">
        <f>C22</f>
        <v>0</v>
      </c>
      <c r="C5" s="3269" t="s">
        <v>3354</v>
      </c>
      <c r="D5" s="3270"/>
      <c r="E5" s="3270"/>
      <c r="F5" s="3270"/>
      <c r="G5" s="3270"/>
      <c r="H5" s="3270"/>
      <c r="I5" s="3270"/>
      <c r="J5" s="3271"/>
      <c r="AE5" s="3248"/>
      <c r="AF5" s="3248"/>
    </row>
    <row r="6" spans="1:36" s="3279" customFormat="1" ht="14.25">
      <c r="A6" s="3272" t="s">
        <v>3595</v>
      </c>
      <c r="B6" s="3273" t="s">
        <v>3596</v>
      </c>
      <c r="C6" s="3274"/>
      <c r="D6" s="3275"/>
      <c r="E6" s="3275"/>
      <c r="F6" s="3275"/>
      <c r="G6" s="3276"/>
      <c r="H6" s="3276"/>
      <c r="I6" s="3276"/>
      <c r="J6" s="3277"/>
      <c r="K6" s="3278"/>
      <c r="AE6" s="3280"/>
      <c r="AF6" s="3280"/>
      <c r="AG6" s="3281"/>
      <c r="AH6" s="3281"/>
      <c r="AI6" s="3281"/>
      <c r="AJ6" s="3281"/>
    </row>
    <row r="7" spans="1:36" ht="15.75">
      <c r="A7" s="3282">
        <v>1</v>
      </c>
      <c r="B7" s="3283" t="s">
        <v>3596</v>
      </c>
      <c r="C7" s="3284">
        <f>IF(I2="地上",'[1]2002地价表'!M1,ROUND('[1]2002地价表'!M1/3,0))</f>
        <v>3660</v>
      </c>
      <c r="D7" s="3285" t="s">
        <v>3597</v>
      </c>
      <c r="E7" s="3286"/>
      <c r="F7" s="3286"/>
      <c r="G7" s="3287"/>
      <c r="H7" s="3287"/>
      <c r="I7" s="3287"/>
      <c r="J7" s="3288"/>
      <c r="K7" s="3289"/>
      <c r="AE7" s="3248"/>
      <c r="AF7" s="3248"/>
    </row>
    <row r="8" spans="1:36" ht="16.5" thickBot="1">
      <c r="A8" s="3290">
        <v>2</v>
      </c>
      <c r="B8" s="3291" t="s">
        <v>3598</v>
      </c>
      <c r="C8" s="3292"/>
      <c r="D8" s="3293" t="str">
        <f>"取值范围:"&amp;SUMPRODUCT(('[1]2002地价表'!K15:K24=G2)*('[1]2002地价表'!L14:O14=E2)*('[1]2002地价表'!L15:O24))&amp;"—"&amp;SUMPRODUCT(('[1]2002地价表'!K15:K24=G2)*('[1]2002地价表'!P14:S14=E2)*('[1]2002地价表'!P15:S24))</f>
        <v>取值范围:550—1300</v>
      </c>
      <c r="E8" s="3294"/>
      <c r="F8" s="3295" t="s">
        <v>3599</v>
      </c>
      <c r="G8" s="3296"/>
      <c r="H8" s="3296"/>
      <c r="I8" s="3296"/>
      <c r="J8" s="3297"/>
      <c r="K8" s="3289"/>
      <c r="AE8" s="3248"/>
      <c r="AF8" s="3248"/>
    </row>
    <row r="9" spans="1:36" ht="16.5" thickBot="1">
      <c r="A9" s="3298" t="s">
        <v>3600</v>
      </c>
      <c r="B9" s="3299" t="s">
        <v>3601</v>
      </c>
      <c r="C9" s="3300">
        <f>IF(OR(H9&gt;=DATE(2014,8,28),H9&lt;DATE(2002,12,10)),0,ROUND(I9/F9,4))</f>
        <v>1.6057999999999999</v>
      </c>
      <c r="D9" s="3301" t="s">
        <v>3602</v>
      </c>
      <c r="E9" s="3302">
        <v>37257</v>
      </c>
      <c r="F9" s="3303">
        <f>ROUND(SUMIF([1]地价!B3:F3,E2,[1]地价!B86:F86),0)</f>
        <v>104</v>
      </c>
      <c r="G9" s="3304" t="s">
        <v>3603</v>
      </c>
      <c r="H9" s="3305">
        <f>主表!B4</f>
        <v>38867</v>
      </c>
      <c r="I9" s="3306">
        <f>ROUND(SUMPRODUCT(([1]地价!A36:A86=YEAR(H9)&amp;"-"&amp;ROUNDUP(MONTH(H9)/3,0))*([1]地价!B3:F3=E2)*([1]地价!B36:F86)),0)</f>
        <v>167</v>
      </c>
      <c r="J9" s="3307"/>
      <c r="AE9" s="3248"/>
      <c r="AF9" s="3248"/>
    </row>
    <row r="10" spans="1:36" ht="16.5" thickBot="1">
      <c r="A10" s="3308" t="s">
        <v>3604</v>
      </c>
      <c r="B10" s="3309" t="s">
        <v>2503</v>
      </c>
      <c r="C10" s="3310">
        <f>ROUND(POWER(1+E10,H10-G10)*(POWER(1+E10,G10)-1)/(POWER(1+E10,H10)-1),4)</f>
        <v>1</v>
      </c>
      <c r="D10" s="3311" t="s">
        <v>3605</v>
      </c>
      <c r="E10" s="3312">
        <v>0.04</v>
      </c>
      <c r="F10" s="3313"/>
      <c r="G10" s="3314">
        <f>IF(F10="剩余土地使用年限",主表!B15,主表!B16)</f>
        <v>70</v>
      </c>
      <c r="H10" s="3314">
        <f>IF(E2="住宅/居住",70,IF(E2="商业",40,50))</f>
        <v>70</v>
      </c>
      <c r="I10" s="3315"/>
      <c r="J10" s="3316"/>
      <c r="AE10" s="3248"/>
      <c r="AF10" s="3248"/>
    </row>
    <row r="11" spans="1:36" ht="15">
      <c r="A11" s="3317" t="s">
        <v>3606</v>
      </c>
      <c r="B11" s="3318" t="s">
        <v>3607</v>
      </c>
      <c r="C11" s="3319">
        <f>IF(E2="工业",1,IF(G3&gt;10,D14,IF(D11="郊区",D13,D12)))</f>
        <v>1</v>
      </c>
      <c r="D11" s="3320" t="s">
        <v>3608</v>
      </c>
      <c r="E11" s="3276"/>
      <c r="F11" s="3276"/>
      <c r="G11" s="3276"/>
      <c r="H11" s="3276"/>
      <c r="I11" s="3276"/>
      <c r="J11" s="3321"/>
      <c r="AE11" s="3248"/>
      <c r="AF11" s="3248"/>
    </row>
    <row r="12" spans="1:36" ht="15">
      <c r="A12" s="3322"/>
      <c r="B12" s="3323" t="s">
        <v>3608</v>
      </c>
      <c r="C12" s="3324" t="s">
        <v>3609</v>
      </c>
      <c r="D12" s="3325">
        <f>IF(E12=G12,F12,IF(G3&lt;=10,ROUND(F12+(H12-F12)*(G3-E12)/(G12-E12),4),"——"))</f>
        <v>1</v>
      </c>
      <c r="E12" s="3326">
        <f>ROUNDDOWN(G3,1)</f>
        <v>2</v>
      </c>
      <c r="F12" s="3327">
        <f>IF(G3&lt;=10,SUMPRODUCT(('[1]2002容积率修正'!A3:A102=E12)*('[1]2002容积率修正'!B2:D2=E2)*('[1]2002容积率修正'!B3:D102)),"——")</f>
        <v>1</v>
      </c>
      <c r="G12" s="3328">
        <f>ROUNDUP(G3,1)</f>
        <v>2</v>
      </c>
      <c r="H12" s="3324">
        <f>IF(G3&lt;=10,SUMPRODUCT(('[1]2002容积率修正'!A3:A102=G12)*('[1]2002容积率修正'!B2:D2=E2)*('[1]2002容积率修正'!B3:D102)),"——")</f>
        <v>1</v>
      </c>
      <c r="I12" s="3329"/>
      <c r="J12" s="3330"/>
      <c r="AE12" s="3248"/>
      <c r="AF12" s="3248"/>
    </row>
    <row r="13" spans="1:36" ht="15">
      <c r="A13" s="3322"/>
      <c r="B13" s="3323" t="s">
        <v>3610</v>
      </c>
      <c r="C13" s="3324" t="s">
        <v>3609</v>
      </c>
      <c r="D13" s="3325">
        <f>IF(E12=G12,F12,IF(G3&lt;=10,ROUND(F12+(H12-F12)*(G3-E12)/(G12-E12),4),"——"))</f>
        <v>1</v>
      </c>
      <c r="E13" s="3326">
        <f>ROUNDDOWN(G3,1)</f>
        <v>2</v>
      </c>
      <c r="F13" s="3327">
        <f>IF(G3&lt;=10,SUMPRODUCT(('[1]2002容积率修正'!A3:A102=E13)*('[1]2002容积率修正'!E2:G2=E2)*('[1]2002容积率修正'!E3:G102)),"——")</f>
        <v>0.85</v>
      </c>
      <c r="G13" s="3328">
        <f>ROUNDUP(G3,1)</f>
        <v>2</v>
      </c>
      <c r="H13" s="3324">
        <f>IF(G3&lt;=10,SUMPRODUCT(('[1]2002容积率修正'!A3:A102=G13)*('[1]2002容积率修正'!E2:G2=E2)*('[1]2002容积率修正'!E3:G102)),"——")</f>
        <v>0.85</v>
      </c>
      <c r="I13" s="3331"/>
      <c r="J13" s="3332"/>
      <c r="AE13" s="3248"/>
      <c r="AF13" s="3248"/>
    </row>
    <row r="14" spans="1:36" ht="15.75" thickBot="1">
      <c r="A14" s="3333"/>
      <c r="B14" s="3334"/>
      <c r="C14" s="3335" t="s">
        <v>3611</v>
      </c>
      <c r="D14" s="3336" t="str">
        <f>IF(G3&gt;10,B81,"——")</f>
        <v>——</v>
      </c>
      <c r="E14" s="3337"/>
      <c r="F14" s="3335"/>
      <c r="G14" s="3338"/>
      <c r="H14" s="3335"/>
      <c r="I14" s="3339"/>
      <c r="J14" s="3340"/>
      <c r="AE14" s="3248"/>
      <c r="AF14" s="3248"/>
    </row>
    <row r="15" spans="1:36" ht="16.5" thickBot="1">
      <c r="A15" s="3341" t="s">
        <v>3612</v>
      </c>
      <c r="B15" s="3342" t="s">
        <v>3613</v>
      </c>
      <c r="C15" s="3343">
        <f>SUMIF(A40:A76,E2,B40:B76)</f>
        <v>1.0549999999999999</v>
      </c>
      <c r="D15" s="3344"/>
      <c r="E15" s="3345"/>
      <c r="F15" s="3345"/>
      <c r="G15" s="3345"/>
      <c r="H15" s="3345"/>
      <c r="I15" s="3345"/>
      <c r="J15" s="3346"/>
      <c r="AE15" s="3248"/>
      <c r="AF15" s="3248"/>
    </row>
    <row r="16" spans="1:36" ht="29.25" thickBot="1">
      <c r="A16" s="3308" t="s">
        <v>3614</v>
      </c>
      <c r="B16" s="3309" t="s">
        <v>3615</v>
      </c>
      <c r="C16" s="3347">
        <v>1</v>
      </c>
      <c r="D16" s="3348" t="s">
        <v>3616</v>
      </c>
      <c r="E16" s="3349" t="s">
        <v>3617</v>
      </c>
      <c r="F16" s="3350" t="s">
        <v>3618</v>
      </c>
      <c r="G16" s="3351" t="s">
        <v>3619</v>
      </c>
      <c r="H16" s="3352" t="str">
        <f>IF(E2="工业",IF(OR(G2="六级",G2="七级",G2="八级",G2="九级"),"五通一平","七通一平"),IF(OR(G2="七级",G2="八级",G2="九级",G2="十级"),"五通一平","七通一平"))</f>
        <v>七通一平</v>
      </c>
      <c r="I16" s="3353"/>
      <c r="J16" s="3354"/>
      <c r="L16" s="3244"/>
      <c r="M16" s="3244"/>
      <c r="N16" s="3244"/>
      <c r="O16" s="3244"/>
      <c r="P16" s="3244"/>
      <c r="Q16" s="3244"/>
      <c r="R16" s="3244"/>
      <c r="S16" s="3244"/>
      <c r="T16" s="3244"/>
      <c r="U16" s="3244"/>
      <c r="V16" s="3244"/>
      <c r="W16" s="3244"/>
      <c r="X16" s="3244"/>
      <c r="Y16" s="3244"/>
      <c r="Z16" s="3244"/>
      <c r="AA16" s="3244"/>
      <c r="AB16" s="3244"/>
      <c r="AC16" s="3244"/>
      <c r="AD16" s="3244"/>
      <c r="AE16" s="3248"/>
      <c r="AF16" s="3248"/>
    </row>
    <row r="17" spans="1:37" ht="12" customHeight="1">
      <c r="A17" s="3272" t="s">
        <v>3620</v>
      </c>
      <c r="B17" s="3355" t="s">
        <v>3621</v>
      </c>
      <c r="C17" s="3356" t="s">
        <v>3622</v>
      </c>
      <c r="D17" s="3357" t="s">
        <v>3623</v>
      </c>
      <c r="E17" s="3358" t="s">
        <v>3624</v>
      </c>
      <c r="F17" s="3275"/>
      <c r="G17" s="3276"/>
      <c r="H17" s="3276"/>
      <c r="I17" s="3276"/>
      <c r="J17" s="3277"/>
      <c r="L17" s="3244"/>
      <c r="M17" s="3244"/>
      <c r="N17" s="3244"/>
      <c r="O17" s="3244"/>
      <c r="P17" s="3244"/>
      <c r="Q17" s="3244"/>
      <c r="R17" s="3244"/>
      <c r="S17" s="3244"/>
      <c r="T17" s="3244"/>
      <c r="U17" s="3244"/>
      <c r="V17" s="3244"/>
      <c r="W17" s="3244"/>
      <c r="X17" s="3244"/>
      <c r="Y17" s="3244"/>
      <c r="Z17" s="3244"/>
      <c r="AA17" s="3244"/>
      <c r="AB17" s="3244"/>
      <c r="AC17" s="3244"/>
      <c r="AD17" s="3244"/>
      <c r="AE17" s="3248"/>
      <c r="AF17" s="3248"/>
    </row>
    <row r="18" spans="1:37" s="3279" customFormat="1" ht="15.75">
      <c r="A18" s="3741" t="s">
        <v>3625</v>
      </c>
      <c r="B18" s="3359" t="s">
        <v>3596</v>
      </c>
      <c r="C18" s="3360">
        <f>ROUND(C7*C9*C10*C11*C15*C16,0)</f>
        <v>6200</v>
      </c>
      <c r="D18" s="3361">
        <f>H1</f>
        <v>58.8</v>
      </c>
      <c r="E18" s="3362">
        <f>ROUND(C18*D18,0)</f>
        <v>364560</v>
      </c>
      <c r="F18" s="3363" t="s">
        <v>3626</v>
      </c>
      <c r="G18" s="3364"/>
      <c r="H18" s="3364"/>
      <c r="I18" s="3364"/>
      <c r="J18" s="3365"/>
      <c r="K18" s="3366"/>
      <c r="L18" s="3244"/>
      <c r="M18" s="3244"/>
      <c r="N18" s="3244"/>
      <c r="O18" s="3244"/>
      <c r="P18" s="3244"/>
      <c r="Q18" s="3244"/>
      <c r="R18" s="3244"/>
      <c r="S18" s="3244"/>
      <c r="T18" s="3244"/>
      <c r="U18" s="3244"/>
      <c r="V18" s="3244"/>
      <c r="W18" s="3244"/>
      <c r="X18" s="3244"/>
      <c r="Y18" s="3244"/>
      <c r="Z18" s="3248"/>
      <c r="AA18" s="3248"/>
      <c r="AB18" s="3248"/>
      <c r="AC18" s="3248"/>
      <c r="AD18" s="3248"/>
      <c r="AE18" s="3248"/>
      <c r="AF18" s="3248"/>
      <c r="AG18" s="3246"/>
      <c r="AH18" s="3246"/>
      <c r="AI18" s="3246"/>
    </row>
    <row r="19" spans="1:37" s="3279" customFormat="1" ht="15">
      <c r="A19" s="3742"/>
      <c r="B19" s="3367" t="s">
        <v>3627</v>
      </c>
      <c r="C19" s="3324">
        <f>ROUND(C7*C9*C10*C11*C15*C16*G3,0)</f>
        <v>12401</v>
      </c>
      <c r="D19" s="3361">
        <f>J1</f>
        <v>0</v>
      </c>
      <c r="E19" s="3362">
        <f>ROUND(C19*D19,0)</f>
        <v>0</v>
      </c>
      <c r="F19" s="3368" t="s">
        <v>3628</v>
      </c>
      <c r="G19" s="3287"/>
      <c r="H19" s="3287"/>
      <c r="I19" s="3287"/>
      <c r="J19" s="3288"/>
      <c r="K19" s="3366"/>
      <c r="L19" s="3244"/>
      <c r="M19" s="3244"/>
      <c r="N19" s="3244"/>
      <c r="O19" s="3244"/>
      <c r="P19" s="3244"/>
      <c r="Q19" s="3244"/>
      <c r="R19" s="3244"/>
      <c r="S19" s="3244"/>
      <c r="T19" s="3244"/>
      <c r="U19" s="3244"/>
      <c r="V19" s="3244"/>
      <c r="W19" s="3244"/>
      <c r="X19" s="3244"/>
      <c r="Y19" s="3244"/>
      <c r="Z19" s="3248"/>
      <c r="AA19" s="3248"/>
      <c r="AB19" s="3248"/>
      <c r="AC19" s="3248"/>
      <c r="AD19" s="3248"/>
      <c r="AE19" s="3248"/>
      <c r="AF19" s="3248"/>
      <c r="AG19" s="3246"/>
      <c r="AH19" s="3246"/>
      <c r="AI19" s="3246"/>
    </row>
    <row r="20" spans="1:37" s="3279" customFormat="1" ht="15">
      <c r="A20" s="3743" t="s">
        <v>3629</v>
      </c>
      <c r="B20" s="3323" t="s">
        <v>3630</v>
      </c>
      <c r="C20" s="3369">
        <f>ROUND(IF(G3&gt;=I3,C8*C9*C10*C15,C8*C9*C10*C15*G3),0)</f>
        <v>0</v>
      </c>
      <c r="D20" s="3370">
        <f>H1</f>
        <v>58.8</v>
      </c>
      <c r="E20" s="3371">
        <f>ROUND(C20*D20,0)</f>
        <v>0</v>
      </c>
      <c r="F20" s="3372" t="s">
        <v>3631</v>
      </c>
      <c r="G20" s="3373"/>
      <c r="H20" s="3373"/>
      <c r="I20" s="3373"/>
      <c r="J20" s="3307"/>
      <c r="K20" s="3366"/>
      <c r="L20" s="3244"/>
      <c r="M20" s="3244"/>
      <c r="N20" s="3244"/>
      <c r="O20" s="3244"/>
      <c r="P20" s="3244"/>
      <c r="Q20" s="3244"/>
      <c r="R20" s="3244"/>
      <c r="S20" s="3244"/>
      <c r="T20" s="3244"/>
      <c r="U20" s="3244"/>
      <c r="V20" s="3244"/>
      <c r="W20" s="3244"/>
      <c r="X20" s="3244"/>
      <c r="Y20" s="3244"/>
      <c r="Z20" s="3248"/>
      <c r="AA20" s="3248"/>
      <c r="AB20" s="3248"/>
      <c r="AC20" s="3248"/>
      <c r="AD20" s="3248"/>
      <c r="AE20" s="3248"/>
      <c r="AF20" s="3248"/>
      <c r="AG20" s="3246"/>
      <c r="AH20" s="3246"/>
      <c r="AI20" s="3246"/>
    </row>
    <row r="21" spans="1:37" s="3279" customFormat="1" ht="15">
      <c r="A21" s="3743"/>
      <c r="B21" s="3374" t="s">
        <v>3632</v>
      </c>
      <c r="C21" s="3375">
        <f>ROUND(IF(G3&lt;I3,C8*C9*C10*C15,C8*C9*C10*C15*G3),0)</f>
        <v>0</v>
      </c>
      <c r="D21" s="3376">
        <f>J1</f>
        <v>0</v>
      </c>
      <c r="E21" s="3377">
        <f t="shared" ref="E21" si="0">ROUND(C21*D21,0)</f>
        <v>0</v>
      </c>
      <c r="F21" s="3378" t="s">
        <v>3633</v>
      </c>
      <c r="G21" s="3373"/>
      <c r="H21" s="3373"/>
      <c r="I21" s="3373"/>
      <c r="J21" s="3307"/>
      <c r="K21" s="3366"/>
      <c r="L21" s="3244"/>
      <c r="M21" s="3244"/>
      <c r="N21" s="3244"/>
      <c r="O21" s="3244"/>
      <c r="P21" s="3244"/>
      <c r="Q21" s="3244"/>
      <c r="R21" s="3244"/>
      <c r="S21" s="3244"/>
      <c r="T21" s="3244"/>
      <c r="U21" s="3244"/>
      <c r="V21" s="3244"/>
      <c r="W21" s="3244"/>
      <c r="X21" s="3244"/>
      <c r="Y21" s="3244"/>
      <c r="Z21" s="3248"/>
      <c r="AA21" s="3248"/>
      <c r="AB21" s="3248"/>
      <c r="AC21" s="3248"/>
      <c r="AD21" s="3248"/>
      <c r="AE21" s="3366"/>
      <c r="AF21" s="3379"/>
      <c r="AG21" s="3380"/>
      <c r="AH21" s="3246"/>
      <c r="AI21" s="3281"/>
      <c r="AJ21" s="3281"/>
      <c r="AK21" s="3281"/>
    </row>
    <row r="22" spans="1:37" s="3279" customFormat="1" ht="15.75" thickBot="1">
      <c r="A22" s="3381" t="s">
        <v>3634</v>
      </c>
      <c r="B22" s="3382"/>
      <c r="C22" s="3383">
        <f>ROUND(IF(D22="四环路内",C20*0.4,C20*0.6),0)</f>
        <v>0</v>
      </c>
      <c r="D22" s="3384"/>
      <c r="E22" s="3385"/>
      <c r="F22" s="3385"/>
      <c r="G22" s="3385"/>
      <c r="H22" s="3385"/>
      <c r="I22" s="3385"/>
      <c r="J22" s="3386"/>
      <c r="K22" s="3366"/>
      <c r="L22" s="3244"/>
      <c r="M22" s="3244"/>
      <c r="N22" s="3244"/>
      <c r="O22" s="3244"/>
      <c r="P22" s="3244"/>
      <c r="Q22" s="3244"/>
      <c r="R22" s="3244"/>
      <c r="S22" s="3244"/>
      <c r="T22" s="3244"/>
      <c r="U22" s="3244"/>
      <c r="V22" s="3244"/>
      <c r="W22" s="3244"/>
      <c r="X22" s="3244"/>
      <c r="Y22" s="3244"/>
      <c r="Z22" s="3248"/>
      <c r="AA22" s="3248"/>
      <c r="AB22" s="3248"/>
      <c r="AC22" s="3248"/>
      <c r="AD22" s="3248"/>
      <c r="AE22" s="3366"/>
      <c r="AF22" s="3366"/>
    </row>
    <row r="23" spans="1:37" s="3279" customFormat="1" ht="14.25" thickBot="1">
      <c r="A23" s="3246"/>
      <c r="B23" s="3387"/>
      <c r="C23" s="3388"/>
      <c r="D23" s="3245"/>
      <c r="E23" s="3245"/>
      <c r="F23" s="3245"/>
      <c r="G23" s="3245"/>
      <c r="H23" s="3245"/>
      <c r="I23" s="3245"/>
      <c r="J23" s="3245"/>
      <c r="K23" s="3366"/>
      <c r="L23" s="3244"/>
      <c r="M23" s="3244"/>
      <c r="N23" s="3244"/>
      <c r="O23" s="3244"/>
      <c r="P23" s="3244"/>
      <c r="Q23" s="3244"/>
      <c r="R23" s="3244"/>
      <c r="S23" s="3244"/>
      <c r="T23" s="3244"/>
      <c r="U23" s="3244"/>
      <c r="V23" s="3244"/>
      <c r="W23" s="3244"/>
      <c r="X23" s="3244"/>
      <c r="Y23" s="3244"/>
      <c r="Z23" s="3248"/>
      <c r="AA23" s="3248"/>
      <c r="AB23" s="3248"/>
      <c r="AC23" s="3248"/>
      <c r="AD23" s="3248"/>
      <c r="AE23" s="3366"/>
      <c r="AF23" s="3366"/>
    </row>
    <row r="24" spans="1:37" s="3279" customFormat="1" ht="14.25" thickBot="1">
      <c r="A24" s="3389" t="s">
        <v>3635</v>
      </c>
      <c r="B24" s="3390">
        <f>ROUNDDOWN(1+DATEDIF(E9,H9,"M")/3,0)</f>
        <v>18</v>
      </c>
      <c r="C24" s="3248"/>
      <c r="D24" s="3379"/>
      <c r="E24" s="3379"/>
      <c r="F24" s="3379"/>
      <c r="G24" s="3379"/>
      <c r="H24" s="3379"/>
      <c r="I24" s="3248"/>
      <c r="J24" s="3248"/>
      <c r="K24" s="3248"/>
      <c r="L24" s="3248"/>
      <c r="M24" s="3244"/>
      <c r="N24" s="3244"/>
      <c r="O24" s="3366"/>
      <c r="P24" s="3366"/>
      <c r="Q24" s="3366"/>
      <c r="R24" s="3366"/>
      <c r="S24" s="3366"/>
      <c r="T24" s="3244"/>
      <c r="U24" s="3244"/>
      <c r="V24" s="3244"/>
      <c r="W24" s="3244"/>
      <c r="X24" s="3244"/>
      <c r="Y24" s="3244"/>
      <c r="Z24" s="3248"/>
      <c r="AA24" s="3248"/>
      <c r="AB24" s="3248"/>
      <c r="AC24" s="3248"/>
      <c r="AD24" s="3248"/>
      <c r="AE24" s="3366"/>
      <c r="AF24" s="3366"/>
    </row>
    <row r="25" spans="1:37" s="3279" customFormat="1" ht="13.5">
      <c r="A25" s="3391" t="s">
        <v>3636</v>
      </c>
      <c r="B25" s="3392" t="s">
        <v>3637</v>
      </c>
      <c r="C25" s="3393" t="s">
        <v>119</v>
      </c>
      <c r="D25" s="3379"/>
      <c r="E25" s="3379"/>
      <c r="F25" s="3379"/>
      <c r="G25" s="3379"/>
      <c r="H25" s="3379"/>
      <c r="I25" s="3248"/>
      <c r="J25" s="3248"/>
      <c r="K25" s="3248"/>
      <c r="L25" s="3248"/>
      <c r="M25" s="3244"/>
      <c r="N25" s="3244"/>
      <c r="O25" s="3366"/>
      <c r="P25" s="3366"/>
      <c r="Q25" s="3366"/>
      <c r="R25" s="3366"/>
      <c r="S25" s="3366"/>
      <c r="T25" s="3244"/>
      <c r="U25" s="3244"/>
      <c r="V25" s="3244"/>
      <c r="W25" s="3244"/>
      <c r="X25" s="3244"/>
      <c r="Y25" s="3244"/>
      <c r="Z25" s="3248"/>
      <c r="AA25" s="3248"/>
      <c r="AB25" s="3248"/>
      <c r="AC25" s="3248"/>
      <c r="AD25" s="3248"/>
      <c r="AE25" s="3366"/>
      <c r="AF25" s="3366"/>
    </row>
    <row r="26" spans="1:37" s="3279" customFormat="1" ht="14.25">
      <c r="A26" s="3394" t="s">
        <v>3638</v>
      </c>
      <c r="B26" s="3395"/>
      <c r="C26" s="3396">
        <f>'[1]地价（废）'!L2</f>
        <v>1.9300000000000001E-2</v>
      </c>
      <c r="D26" s="3379"/>
      <c r="E26" s="3379"/>
      <c r="F26" s="3379"/>
      <c r="G26" s="3379"/>
      <c r="H26" s="3379"/>
      <c r="I26" s="3248"/>
      <c r="J26" s="3248"/>
      <c r="K26" s="3248"/>
      <c r="L26" s="3248"/>
      <c r="M26" s="3244"/>
      <c r="N26" s="3244"/>
      <c r="O26" s="3366"/>
      <c r="P26" s="3366"/>
      <c r="Q26" s="3366"/>
      <c r="R26" s="3366"/>
      <c r="S26" s="3366"/>
      <c r="T26" s="3244"/>
      <c r="U26" s="3244"/>
      <c r="V26" s="3244"/>
      <c r="W26" s="3244"/>
      <c r="X26" s="3244"/>
      <c r="Y26" s="3244"/>
      <c r="Z26" s="3248"/>
      <c r="AA26" s="3248"/>
      <c r="AB26" s="3248"/>
      <c r="AC26" s="3248"/>
      <c r="AD26" s="3248"/>
      <c r="AE26" s="3366"/>
      <c r="AF26" s="3366"/>
    </row>
    <row r="27" spans="1:37" s="3279" customFormat="1" ht="14.25">
      <c r="A27" s="3394" t="s">
        <v>673</v>
      </c>
      <c r="B27" s="3397">
        <v>0.02</v>
      </c>
      <c r="C27" s="3396">
        <f>'[1]地价（废）'!M2</f>
        <v>1.78E-2</v>
      </c>
      <c r="D27" s="3379"/>
      <c r="E27" s="3379"/>
      <c r="F27" s="3379"/>
      <c r="G27" s="3379"/>
      <c r="H27" s="3379"/>
      <c r="I27" s="3248"/>
      <c r="J27" s="3248"/>
      <c r="K27" s="3248"/>
      <c r="L27" s="3248"/>
      <c r="M27" s="3244"/>
      <c r="N27" s="3244"/>
      <c r="O27" s="3366"/>
      <c r="P27" s="3366"/>
      <c r="Q27" s="3366"/>
      <c r="R27" s="3366"/>
      <c r="S27" s="3366"/>
      <c r="T27" s="3244"/>
      <c r="U27" s="3244"/>
      <c r="V27" s="3244"/>
      <c r="W27" s="3244"/>
      <c r="X27" s="3244"/>
      <c r="Y27" s="3244"/>
      <c r="Z27" s="3248"/>
      <c r="AA27" s="3248"/>
      <c r="AB27" s="3248"/>
      <c r="AC27" s="3248"/>
      <c r="AD27" s="3248"/>
      <c r="AE27" s="3366"/>
      <c r="AF27" s="3366"/>
    </row>
    <row r="28" spans="1:37" s="3279" customFormat="1" ht="14.25">
      <c r="A28" s="3394" t="s">
        <v>3639</v>
      </c>
      <c r="B28" s="3397">
        <v>0.02</v>
      </c>
      <c r="C28" s="3396">
        <f>'[1]地价（废）'!N2</f>
        <v>1.78E-2</v>
      </c>
      <c r="D28" s="3379"/>
      <c r="E28" s="3379"/>
      <c r="F28" s="3379"/>
      <c r="G28" s="3379"/>
      <c r="H28" s="3379"/>
      <c r="I28" s="3248"/>
      <c r="J28" s="3248"/>
      <c r="K28" s="3248"/>
      <c r="L28" s="3248"/>
      <c r="M28" s="3244"/>
      <c r="N28" s="3244"/>
      <c r="O28" s="3366"/>
      <c r="P28" s="3366"/>
      <c r="Q28" s="3366"/>
      <c r="R28" s="3366"/>
      <c r="S28" s="3366"/>
      <c r="T28" s="3244"/>
      <c r="U28" s="3244"/>
      <c r="V28" s="3244"/>
      <c r="W28" s="3244"/>
      <c r="X28" s="3244"/>
      <c r="Y28" s="3244"/>
      <c r="Z28" s="3248"/>
      <c r="AA28" s="3248"/>
      <c r="AB28" s="3248"/>
      <c r="AC28" s="3248"/>
      <c r="AD28" s="3248"/>
      <c r="AE28" s="3366"/>
      <c r="AF28" s="3366"/>
    </row>
    <row r="29" spans="1:37" s="3279" customFormat="1" ht="14.25">
      <c r="A29" s="3394" t="s">
        <v>3640</v>
      </c>
      <c r="B29" s="3397">
        <v>1.9900000000000001E-2</v>
      </c>
      <c r="C29" s="3396">
        <f>'[1]地价（废）'!O2</f>
        <v>1.9900000000000001E-2</v>
      </c>
      <c r="D29" s="3379"/>
      <c r="E29" s="3379"/>
      <c r="F29" s="3379"/>
      <c r="G29" s="3379"/>
      <c r="H29" s="3379"/>
      <c r="I29" s="3248"/>
      <c r="J29" s="3248"/>
      <c r="K29" s="3248"/>
      <c r="L29" s="3248"/>
      <c r="M29" s="3244"/>
      <c r="N29" s="3244"/>
      <c r="O29" s="3366"/>
      <c r="P29" s="3366"/>
      <c r="Q29" s="3366"/>
      <c r="R29" s="3366"/>
      <c r="S29" s="3366"/>
      <c r="T29" s="3244"/>
      <c r="U29" s="3244"/>
      <c r="V29" s="3244"/>
      <c r="W29" s="3244"/>
      <c r="X29" s="3244"/>
      <c r="Y29" s="3244"/>
      <c r="Z29" s="3248"/>
      <c r="AA29" s="3248"/>
      <c r="AB29" s="3248"/>
      <c r="AC29" s="3248"/>
      <c r="AD29" s="3248"/>
      <c r="AE29" s="3366"/>
      <c r="AF29" s="3366"/>
    </row>
    <row r="30" spans="1:37" s="3279" customFormat="1" ht="15" thickBot="1">
      <c r="A30" s="3398" t="s">
        <v>3</v>
      </c>
      <c r="B30" s="3399">
        <v>0.02</v>
      </c>
      <c r="C30" s="3400">
        <f>'[1]地价（废）'!P2</f>
        <v>1.7899999999999999E-2</v>
      </c>
      <c r="D30" s="3379"/>
      <c r="E30" s="3379"/>
      <c r="F30" s="3379"/>
      <c r="G30" s="3379"/>
      <c r="H30" s="3379"/>
      <c r="I30" s="3248"/>
      <c r="J30" s="3248"/>
      <c r="K30" s="3248"/>
      <c r="L30" s="3248"/>
      <c r="M30" s="3244"/>
      <c r="N30" s="3244"/>
      <c r="O30" s="3366"/>
      <c r="P30" s="3366"/>
      <c r="Q30" s="3366"/>
      <c r="R30" s="3366"/>
      <c r="S30" s="3366"/>
      <c r="T30" s="3244"/>
      <c r="U30" s="3244"/>
      <c r="V30" s="3244"/>
      <c r="W30" s="3244"/>
      <c r="X30" s="3244"/>
      <c r="Y30" s="3244"/>
      <c r="Z30" s="3248"/>
      <c r="AA30" s="3248"/>
      <c r="AB30" s="3248"/>
      <c r="AC30" s="3248"/>
      <c r="AD30" s="3248"/>
      <c r="AE30" s="3366"/>
      <c r="AF30" s="3366"/>
    </row>
    <row r="31" spans="1:37" s="3279" customFormat="1" ht="13.5">
      <c r="A31" s="3379"/>
      <c r="B31" s="3379"/>
      <c r="C31" s="3379"/>
      <c r="D31" s="3379"/>
      <c r="E31" s="3379"/>
      <c r="F31" s="3379"/>
      <c r="G31" s="3379"/>
      <c r="H31" s="3379"/>
      <c r="I31" s="3248"/>
      <c r="J31" s="3248"/>
      <c r="K31" s="3248"/>
      <c r="L31" s="3248"/>
      <c r="M31" s="3244"/>
      <c r="N31" s="3244"/>
      <c r="O31" s="3366"/>
      <c r="P31" s="3366"/>
      <c r="Q31" s="3366"/>
      <c r="R31" s="3366"/>
      <c r="S31" s="3366"/>
      <c r="T31" s="3244"/>
      <c r="U31" s="3244"/>
      <c r="V31" s="3244"/>
      <c r="W31" s="3244"/>
      <c r="X31" s="3244"/>
      <c r="Y31" s="3244"/>
      <c r="Z31" s="3248"/>
      <c r="AA31" s="3248"/>
      <c r="AB31" s="3248"/>
      <c r="AC31" s="3248"/>
      <c r="AD31" s="3248"/>
      <c r="AE31" s="3366"/>
      <c r="AF31" s="3366"/>
    </row>
    <row r="32" spans="1:37" s="3279" customFormat="1" ht="13.5">
      <c r="A32" s="3379"/>
      <c r="B32" s="3379"/>
      <c r="C32" s="3379"/>
      <c r="D32" s="3379"/>
      <c r="E32" s="3379"/>
      <c r="F32" s="3379"/>
      <c r="G32" s="3379"/>
      <c r="H32" s="3379"/>
      <c r="I32" s="3248"/>
      <c r="J32" s="3248"/>
      <c r="K32" s="3248"/>
      <c r="L32" s="3248"/>
      <c r="M32" s="3244"/>
      <c r="N32" s="3244"/>
      <c r="O32" s="3366"/>
      <c r="P32" s="3366"/>
      <c r="Q32" s="3366"/>
      <c r="R32" s="3366"/>
      <c r="S32" s="3366"/>
      <c r="T32" s="3244"/>
      <c r="U32" s="3244"/>
      <c r="V32" s="3244"/>
      <c r="W32" s="3244"/>
      <c r="X32" s="3244"/>
      <c r="Y32" s="3244"/>
      <c r="Z32" s="3248"/>
      <c r="AA32" s="3248"/>
      <c r="AB32" s="3248"/>
      <c r="AC32" s="3248"/>
      <c r="AD32" s="3248"/>
      <c r="AE32" s="3366"/>
      <c r="AF32" s="3366"/>
    </row>
    <row r="33" spans="1:37" s="3279" customFormat="1" ht="13.5">
      <c r="A33" s="3379"/>
      <c r="B33" s="3379"/>
      <c r="C33" s="3379"/>
      <c r="D33" s="3379"/>
      <c r="E33" s="3379"/>
      <c r="F33" s="3379"/>
      <c r="G33" s="3379"/>
      <c r="H33" s="3379"/>
      <c r="I33" s="3248"/>
      <c r="J33" s="3248"/>
      <c r="K33" s="3248"/>
      <c r="L33" s="3248"/>
      <c r="M33" s="3244"/>
      <c r="N33" s="3244"/>
      <c r="O33" s="3366"/>
      <c r="P33" s="3366"/>
      <c r="Q33" s="3366"/>
      <c r="R33" s="3366"/>
      <c r="S33" s="3366"/>
      <c r="T33" s="3244"/>
      <c r="U33" s="3244"/>
      <c r="V33" s="3244"/>
      <c r="W33" s="3244"/>
      <c r="X33" s="3244"/>
      <c r="Y33" s="3244"/>
      <c r="Z33" s="3248"/>
      <c r="AA33" s="3248"/>
      <c r="AB33" s="3248"/>
      <c r="AC33" s="3248"/>
      <c r="AD33" s="3248"/>
      <c r="AE33" s="3366"/>
      <c r="AF33" s="3366"/>
    </row>
    <row r="34" spans="1:37" s="3279" customFormat="1" ht="13.5">
      <c r="A34" s="3379"/>
      <c r="B34" s="3379"/>
      <c r="C34" s="3379"/>
      <c r="D34" s="3379"/>
      <c r="E34" s="3379"/>
      <c r="F34" s="3379"/>
      <c r="G34" s="3379"/>
      <c r="H34" s="3379"/>
      <c r="I34" s="3248"/>
      <c r="J34" s="3248"/>
      <c r="K34" s="3248"/>
      <c r="L34" s="3248"/>
      <c r="M34" s="3244"/>
      <c r="N34" s="3244"/>
      <c r="O34" s="3366"/>
      <c r="P34" s="3366"/>
      <c r="Q34" s="3366"/>
      <c r="R34" s="3366"/>
      <c r="S34" s="3366"/>
      <c r="T34" s="3244"/>
      <c r="U34" s="3244"/>
      <c r="V34" s="3244"/>
      <c r="W34" s="3244"/>
      <c r="X34" s="3244"/>
      <c r="Y34" s="3244"/>
      <c r="Z34" s="3248"/>
      <c r="AA34" s="3248"/>
      <c r="AB34" s="3248"/>
      <c r="AC34" s="3248"/>
      <c r="AD34" s="3248"/>
      <c r="AE34" s="3366"/>
      <c r="AF34" s="3366"/>
    </row>
    <row r="35" spans="1:37" s="3279" customFormat="1" ht="13.5">
      <c r="A35" s="3379"/>
      <c r="B35" s="3379"/>
      <c r="C35" s="3379"/>
      <c r="D35" s="3379"/>
      <c r="E35" s="3379"/>
      <c r="F35" s="3379"/>
      <c r="G35" s="3379"/>
      <c r="H35" s="3379"/>
      <c r="I35" s="3248"/>
      <c r="J35" s="3248"/>
      <c r="K35" s="3248"/>
      <c r="L35" s="3248"/>
      <c r="M35" s="3244"/>
      <c r="N35" s="3244"/>
      <c r="O35" s="3366"/>
      <c r="P35" s="3366"/>
      <c r="Q35" s="3366"/>
      <c r="R35" s="3366"/>
      <c r="S35" s="3366"/>
      <c r="T35" s="3244"/>
      <c r="U35" s="3244"/>
      <c r="V35" s="3244"/>
      <c r="W35" s="3244"/>
      <c r="X35" s="3244"/>
      <c r="Y35" s="3244"/>
      <c r="Z35" s="3248"/>
      <c r="AA35" s="3248"/>
      <c r="AB35" s="3248"/>
      <c r="AC35" s="3248"/>
      <c r="AD35" s="3248"/>
      <c r="AE35" s="3366"/>
      <c r="AF35" s="3366"/>
    </row>
    <row r="36" spans="1:37" s="3279" customFormat="1" ht="13.5">
      <c r="A36" s="3246"/>
      <c r="B36" s="3387"/>
      <c r="C36" s="3245"/>
      <c r="D36" s="3379"/>
      <c r="E36" s="3379"/>
      <c r="F36" s="3379"/>
      <c r="G36" s="3379"/>
      <c r="H36" s="3379"/>
      <c r="I36" s="3248"/>
      <c r="J36" s="3248"/>
      <c r="K36" s="3248"/>
      <c r="L36" s="3248"/>
      <c r="M36" s="3244"/>
      <c r="N36" s="3244"/>
      <c r="O36" s="3366"/>
      <c r="P36" s="3366"/>
      <c r="Q36" s="3366"/>
      <c r="R36" s="3366"/>
      <c r="S36" s="3366"/>
      <c r="T36" s="3244"/>
      <c r="U36" s="3244"/>
      <c r="V36" s="3244"/>
      <c r="W36" s="3244"/>
      <c r="X36" s="3244"/>
      <c r="Y36" s="3244"/>
      <c r="Z36" s="3248"/>
      <c r="AA36" s="3248"/>
      <c r="AB36" s="3248"/>
      <c r="AC36" s="3248"/>
      <c r="AD36" s="3248"/>
      <c r="AE36" s="3366"/>
      <c r="AF36" s="3366"/>
    </row>
    <row r="37" spans="1:37">
      <c r="A37" s="3248"/>
      <c r="B37" s="3401"/>
      <c r="C37" s="3244"/>
      <c r="D37" s="3244"/>
      <c r="E37" s="3244"/>
      <c r="F37" s="3244"/>
      <c r="G37" s="3244"/>
      <c r="H37" s="3244"/>
      <c r="I37" s="3244"/>
      <c r="J37" s="3244"/>
      <c r="L37" s="3244"/>
      <c r="M37" s="3244"/>
      <c r="N37" s="3244"/>
      <c r="O37" s="3244"/>
      <c r="P37" s="3244"/>
      <c r="Q37" s="3244"/>
      <c r="R37" s="3244"/>
      <c r="S37" s="3244"/>
      <c r="T37" s="3244"/>
      <c r="U37" s="3244"/>
      <c r="V37" s="3244"/>
      <c r="W37" s="3244"/>
      <c r="X37" s="3244"/>
      <c r="Y37" s="3244"/>
      <c r="Z37" s="3248"/>
      <c r="AA37" s="3248"/>
      <c r="AB37" s="3248"/>
      <c r="AC37" s="3248"/>
      <c r="AD37" s="3248"/>
      <c r="AE37" s="3248"/>
      <c r="AF37" s="3248"/>
      <c r="AK37" s="3246"/>
    </row>
    <row r="38" spans="1:37" s="3279" customFormat="1" ht="13.5">
      <c r="A38" s="3248"/>
      <c r="B38" s="3401"/>
      <c r="C38" s="3244"/>
      <c r="D38" s="3244"/>
      <c r="E38" s="3244"/>
      <c r="F38" s="3244"/>
      <c r="G38" s="3244"/>
      <c r="H38" s="3244"/>
      <c r="I38" s="3244"/>
      <c r="J38" s="3244"/>
      <c r="K38" s="3366"/>
      <c r="L38" s="3244"/>
      <c r="M38" s="3244"/>
      <c r="N38" s="3244"/>
      <c r="O38" s="3244"/>
      <c r="P38" s="3244"/>
      <c r="Q38" s="3244"/>
      <c r="R38" s="3244"/>
      <c r="S38" s="3244"/>
      <c r="T38" s="3244"/>
      <c r="U38" s="3244"/>
      <c r="V38" s="3244"/>
      <c r="W38" s="3244"/>
      <c r="X38" s="3244"/>
      <c r="Y38" s="3244"/>
      <c r="Z38" s="3248"/>
      <c r="AA38" s="3248"/>
      <c r="AB38" s="3248"/>
      <c r="AC38" s="3248"/>
      <c r="AD38" s="3248"/>
      <c r="AE38" s="3366"/>
      <c r="AF38" s="3366"/>
    </row>
    <row r="39" spans="1:37" ht="14.25" thickBot="1">
      <c r="A39" s="3402" t="s">
        <v>3641</v>
      </c>
      <c r="B39" s="3403"/>
      <c r="C39" s="3404"/>
      <c r="D39" s="3404"/>
      <c r="E39" s="3404"/>
      <c r="F39" s="3405"/>
      <c r="G39" s="3404"/>
      <c r="H39" s="3405"/>
      <c r="I39" s="3404"/>
      <c r="J39" s="3404"/>
      <c r="L39" s="3244"/>
      <c r="M39" s="3244"/>
      <c r="N39" s="3244"/>
      <c r="O39" s="3244"/>
      <c r="P39" s="3244"/>
      <c r="Q39" s="3244"/>
      <c r="R39" s="3244"/>
      <c r="S39" s="3244"/>
      <c r="T39" s="3244"/>
      <c r="U39" s="3244"/>
      <c r="V39" s="3244"/>
      <c r="W39" s="3244"/>
      <c r="X39" s="3244"/>
      <c r="Y39" s="3244"/>
      <c r="Z39" s="3248"/>
      <c r="AA39" s="3248"/>
      <c r="AB39" s="3248"/>
      <c r="AC39" s="3248"/>
      <c r="AD39" s="3248"/>
      <c r="AE39" s="3248"/>
      <c r="AF39" s="3248"/>
    </row>
    <row r="40" spans="1:37" ht="14.25" hidden="1" thickBot="1">
      <c r="A40" s="3406" t="s">
        <v>673</v>
      </c>
      <c r="B40" s="3407">
        <f>1+E42</f>
        <v>1</v>
      </c>
      <c r="C40" s="3408"/>
      <c r="D40" s="3409"/>
      <c r="E40" s="3410"/>
      <c r="F40" s="3402"/>
      <c r="G40" s="3405"/>
      <c r="H40" s="3404"/>
      <c r="I40" s="3404"/>
      <c r="J40" s="3404"/>
      <c r="L40" s="3244"/>
      <c r="M40" s="3244"/>
      <c r="N40" s="3244"/>
      <c r="O40" s="3244"/>
      <c r="P40" s="3244"/>
      <c r="Q40" s="3244"/>
      <c r="R40" s="3244"/>
      <c r="S40" s="3244"/>
      <c r="T40" s="3244"/>
      <c r="U40" s="3244"/>
      <c r="V40" s="3244"/>
      <c r="W40" s="3244"/>
      <c r="X40" s="3244"/>
      <c r="Y40" s="3244"/>
      <c r="Z40" s="3248"/>
      <c r="AA40" s="3248"/>
      <c r="AB40" s="3248"/>
      <c r="AC40" s="3248"/>
      <c r="AD40" s="3248"/>
      <c r="AE40" s="3248"/>
      <c r="AF40" s="3248"/>
    </row>
    <row r="41" spans="1:37" ht="14.25" hidden="1" thickBot="1">
      <c r="A41" s="3411" t="s">
        <v>3642</v>
      </c>
      <c r="B41" s="3412" t="s">
        <v>3643</v>
      </c>
      <c r="C41" s="3412" t="s">
        <v>3644</v>
      </c>
      <c r="D41" s="3412" t="s">
        <v>3645</v>
      </c>
      <c r="E41" s="3413" t="s">
        <v>3646</v>
      </c>
      <c r="F41" s="3414" t="s">
        <v>3396</v>
      </c>
      <c r="G41" s="3414" t="s">
        <v>3394</v>
      </c>
      <c r="H41" s="3414" t="s">
        <v>3395</v>
      </c>
      <c r="I41" s="3414" t="s">
        <v>3647</v>
      </c>
      <c r="J41" s="3414" t="s">
        <v>3648</v>
      </c>
      <c r="L41" s="3244"/>
      <c r="M41" s="3244"/>
      <c r="N41" s="3244"/>
      <c r="O41" s="3244"/>
      <c r="P41" s="3244"/>
      <c r="Q41" s="3244"/>
      <c r="R41" s="3244"/>
      <c r="S41" s="3244"/>
      <c r="T41" s="3244"/>
      <c r="U41" s="3244"/>
      <c r="V41" s="3244"/>
      <c r="W41" s="3244"/>
      <c r="X41" s="3244"/>
      <c r="Y41" s="3244"/>
      <c r="Z41" s="3248"/>
      <c r="AA41" s="3248"/>
      <c r="AB41" s="3248"/>
      <c r="AC41" s="3248"/>
      <c r="AD41" s="3248"/>
      <c r="AE41" s="3248"/>
      <c r="AF41" s="3248"/>
    </row>
    <row r="42" spans="1:37" ht="36.75" hidden="1" thickBot="1">
      <c r="A42" s="3411" t="s">
        <v>3649</v>
      </c>
      <c r="B42" s="3415" t="str">
        <f>[1]估价对象房地状况!C4</f>
        <v>估价对象位于XX商圈，周边商业氛围成熟，人流量大，商业繁华度好</v>
      </c>
      <c r="C42" s="3416"/>
      <c r="D42" s="3417">
        <f t="shared" ref="D42:D48" si="1">SUMIF($F$41:$J$41,C42,F42:J42)</f>
        <v>0</v>
      </c>
      <c r="E42" s="3418">
        <f>SUM(D42:D48)</f>
        <v>0</v>
      </c>
      <c r="F42" s="3419">
        <f>SUMPRODUCT(('[1]2002因素修正幅度'!$A$36:$A$42=A42)*('[1]2002因素修正幅度'!$B$35:$K$35=$G$2)*('[1]2002因素修正幅度'!$B$36:$K$42))</f>
        <v>4.4999999999999998E-2</v>
      </c>
      <c r="G42" s="3419">
        <f>F42/2</f>
        <v>2.2499999999999999E-2</v>
      </c>
      <c r="H42" s="3420">
        <v>0</v>
      </c>
      <c r="I42" s="3419">
        <f>J42/2</f>
        <v>-2.2499999999999999E-2</v>
      </c>
      <c r="J42" s="3419">
        <f>SUMPRODUCT(('[1]2002因素修正幅度'!$A$66:$A$72=A42)*('[1]2002因素修正幅度'!$B$35:$K$35=$G$2)*('[1]2002因素修正幅度'!$B$66:$K$72))</f>
        <v>-4.4999999999999998E-2</v>
      </c>
      <c r="L42" s="3244"/>
      <c r="M42" s="3244"/>
      <c r="N42" s="3421"/>
      <c r="O42" s="3244"/>
      <c r="P42" s="3244"/>
      <c r="Q42" s="3244"/>
      <c r="R42" s="3244"/>
      <c r="S42" s="3244"/>
      <c r="T42" s="3244"/>
      <c r="U42" s="3244"/>
      <c r="V42" s="3244"/>
      <c r="W42" s="3244"/>
      <c r="X42" s="3244"/>
      <c r="Y42" s="3244"/>
      <c r="Z42" s="3248"/>
      <c r="AA42" s="3248"/>
      <c r="AB42" s="3248"/>
      <c r="AC42" s="3248"/>
      <c r="AD42" s="3248"/>
      <c r="AE42" s="3248"/>
      <c r="AF42" s="3248"/>
    </row>
    <row r="43" spans="1:37" ht="48.75" hidden="1" thickBot="1">
      <c r="A43" s="3411" t="s">
        <v>3650</v>
      </c>
      <c r="B43" s="3412" t="str">
        <f>[1]估价对象房地状况!C6</f>
        <v>估价对象周边道路状况、公共交通通达情况、停车便捷程度，综合评价交通便捷度较好</v>
      </c>
      <c r="C43" s="3416"/>
      <c r="D43" s="3417">
        <f t="shared" si="1"/>
        <v>0</v>
      </c>
      <c r="E43" s="3422"/>
      <c r="F43" s="3419">
        <f>SUMPRODUCT(('[1]2002因素修正幅度'!$A$36:$A$42=A43)*('[1]2002因素修正幅度'!$B$35:$K$35=$G$2)*('[1]2002因素修正幅度'!$B$36:$K$42))</f>
        <v>2.2499999999999999E-2</v>
      </c>
      <c r="G43" s="3419">
        <f t="shared" ref="G43:G48" si="2">F43/2</f>
        <v>1.125E-2</v>
      </c>
      <c r="H43" s="3420">
        <v>0</v>
      </c>
      <c r="I43" s="3419">
        <f t="shared" ref="I43:I48" si="3">J43/2</f>
        <v>-1.125E-2</v>
      </c>
      <c r="J43" s="3419">
        <f>SUMPRODUCT(('[1]2002因素修正幅度'!$A$66:$A$72=A43)*('[1]2002因素修正幅度'!$B$35:$K$35=$G$2)*('[1]2002因素修正幅度'!$B$66:$K$72))</f>
        <v>-2.2499999999999999E-2</v>
      </c>
      <c r="L43" s="3244"/>
      <c r="M43" s="3244"/>
      <c r="N43" s="3244"/>
      <c r="O43" s="3244"/>
      <c r="P43" s="3244"/>
      <c r="Q43" s="3244"/>
      <c r="R43" s="3244"/>
      <c r="S43" s="3244"/>
      <c r="T43" s="3244"/>
      <c r="U43" s="3244"/>
      <c r="V43" s="3244"/>
      <c r="W43" s="3244"/>
      <c r="X43" s="3244"/>
      <c r="Y43" s="3248"/>
      <c r="Z43" s="3248"/>
      <c r="AA43" s="3248"/>
      <c r="AB43" s="3248"/>
      <c r="AC43" s="3248"/>
      <c r="AD43" s="3248"/>
      <c r="AE43" s="3244"/>
      <c r="AF43" s="3244"/>
      <c r="AG43" s="3245"/>
      <c r="AH43" s="3245"/>
      <c r="AI43" s="3245"/>
      <c r="AJ43" s="3245"/>
    </row>
    <row r="44" spans="1:37" ht="24.75" hidden="1" thickBot="1">
      <c r="A44" s="3411" t="s">
        <v>3651</v>
      </c>
      <c r="B44" s="3412" t="str">
        <f>[1]估价对象房地状况!C7</f>
        <v>零星有其他用地，基本不影响本宗地</v>
      </c>
      <c r="C44" s="3416"/>
      <c r="D44" s="3417">
        <f t="shared" si="1"/>
        <v>0</v>
      </c>
      <c r="E44" s="3422"/>
      <c r="F44" s="3419">
        <f>SUMPRODUCT(('[1]2002因素修正幅度'!$A$36:$A$42=A44)*('[1]2002因素修正幅度'!$B$35:$K$35=$G$2)*('[1]2002因素修正幅度'!$B$36:$K$42))</f>
        <v>1.4999999999999999E-2</v>
      </c>
      <c r="G44" s="3419">
        <f t="shared" si="2"/>
        <v>7.4999999999999997E-3</v>
      </c>
      <c r="H44" s="3420">
        <v>0</v>
      </c>
      <c r="I44" s="3419">
        <f t="shared" si="3"/>
        <v>-7.4999999999999997E-3</v>
      </c>
      <c r="J44" s="3419">
        <f>SUMPRODUCT(('[1]2002因素修正幅度'!$A$66:$A$72=A44)*('[1]2002因素修正幅度'!$B$35:$K$35=$G$2)*('[1]2002因素修正幅度'!$B$66:$K$72))</f>
        <v>-1.4999999999999999E-2</v>
      </c>
      <c r="L44" s="3244"/>
      <c r="M44" s="3244"/>
      <c r="N44" s="3244"/>
      <c r="O44" s="3244"/>
      <c r="P44" s="3244"/>
      <c r="Q44" s="3244"/>
      <c r="R44" s="3244"/>
      <c r="S44" s="3244"/>
      <c r="T44" s="3244"/>
      <c r="U44" s="3244"/>
      <c r="V44" s="3244"/>
      <c r="W44" s="3248"/>
      <c r="X44" s="3248"/>
      <c r="Y44" s="3248"/>
      <c r="Z44" s="3248"/>
      <c r="AA44" s="3248"/>
      <c r="AB44" s="3248"/>
      <c r="AC44" s="3248"/>
      <c r="AE44" s="3244"/>
      <c r="AF44" s="3244"/>
      <c r="AG44" s="3245"/>
      <c r="AH44" s="3245"/>
      <c r="AI44" s="3245"/>
      <c r="AJ44" s="3245"/>
    </row>
    <row r="45" spans="1:37" ht="36.75" hidden="1" thickBot="1">
      <c r="A45" s="3411" t="s">
        <v>3652</v>
      </c>
      <c r="B45" s="3423" t="s">
        <v>3653</v>
      </c>
      <c r="C45" s="3416"/>
      <c r="D45" s="3417">
        <f t="shared" si="1"/>
        <v>0</v>
      </c>
      <c r="E45" s="3422"/>
      <c r="F45" s="3419">
        <f>SUMPRODUCT(('[1]2002因素修正幅度'!$A$36:$A$42=A45)*('[1]2002因素修正幅度'!$B$35:$K$35=$G$2)*('[1]2002因素修正幅度'!$B$36:$K$42))</f>
        <v>0.03</v>
      </c>
      <c r="G45" s="3419">
        <f t="shared" si="2"/>
        <v>1.4999999999999999E-2</v>
      </c>
      <c r="H45" s="3420">
        <v>0</v>
      </c>
      <c r="I45" s="3419">
        <f t="shared" si="3"/>
        <v>-1.4999999999999999E-2</v>
      </c>
      <c r="J45" s="3419">
        <f>SUMPRODUCT(('[1]2002因素修正幅度'!$A$66:$A$72=A45)*('[1]2002因素修正幅度'!$B$35:$K$35=$G$2)*('[1]2002因素修正幅度'!$B$66:$K$72))</f>
        <v>-0.03</v>
      </c>
      <c r="L45" s="3244"/>
      <c r="M45" s="3244"/>
      <c r="N45" s="3244"/>
      <c r="O45" s="3244"/>
      <c r="P45" s="3244"/>
      <c r="Q45" s="3244"/>
      <c r="R45" s="3244"/>
      <c r="S45" s="3244"/>
      <c r="T45" s="3244"/>
      <c r="U45" s="3244"/>
      <c r="V45" s="3244"/>
      <c r="W45" s="3248"/>
      <c r="X45" s="3248"/>
      <c r="Y45" s="3248"/>
      <c r="Z45" s="3248"/>
      <c r="AA45" s="3248"/>
      <c r="AB45" s="3248"/>
      <c r="AC45" s="3248"/>
      <c r="AE45" s="3244"/>
      <c r="AF45" s="3244"/>
      <c r="AG45" s="3245"/>
      <c r="AH45" s="3245"/>
      <c r="AI45" s="3245"/>
      <c r="AJ45" s="3245"/>
    </row>
    <row r="46" spans="1:37" ht="15" hidden="1" thickBot="1">
      <c r="A46" s="3411" t="s">
        <v>3654</v>
      </c>
      <c r="B46" s="3412">
        <f>[1]估价对象房地状况!C12</f>
        <v>0</v>
      </c>
      <c r="C46" s="3416"/>
      <c r="D46" s="3417">
        <f t="shared" si="1"/>
        <v>0</v>
      </c>
      <c r="E46" s="3422"/>
      <c r="F46" s="3419">
        <f>SUMPRODUCT(('[1]2002因素修正幅度'!$A$36:$A$42=A46)*('[1]2002因素修正幅度'!$B$35:$K$35=$G$2)*('[1]2002因素修正幅度'!$B$36:$K$42))</f>
        <v>1.4999999999999999E-2</v>
      </c>
      <c r="G46" s="3419">
        <f t="shared" si="2"/>
        <v>7.4999999999999997E-3</v>
      </c>
      <c r="H46" s="3420">
        <v>0</v>
      </c>
      <c r="I46" s="3419">
        <f t="shared" si="3"/>
        <v>-7.4999999999999997E-3</v>
      </c>
      <c r="J46" s="3419">
        <f>SUMPRODUCT(('[1]2002因素修正幅度'!$A$66:$A$72=A46)*('[1]2002因素修正幅度'!$B$35:$K$35=$G$2)*('[1]2002因素修正幅度'!$B$66:$K$72))</f>
        <v>-1.4999999999999999E-2</v>
      </c>
      <c r="L46" s="3244"/>
      <c r="M46" s="3244"/>
      <c r="N46" s="3244"/>
      <c r="O46" s="3244"/>
      <c r="P46" s="3244"/>
      <c r="Q46" s="3244"/>
      <c r="R46" s="3244"/>
      <c r="S46" s="3244"/>
      <c r="T46" s="3244"/>
      <c r="U46" s="3244"/>
      <c r="V46" s="3244"/>
      <c r="W46" s="3248"/>
      <c r="X46" s="3248"/>
      <c r="Y46" s="3248"/>
      <c r="Z46" s="3248"/>
      <c r="AA46" s="3248"/>
      <c r="AB46" s="3248"/>
      <c r="AC46" s="3248"/>
      <c r="AE46" s="3244"/>
      <c r="AF46" s="3244"/>
      <c r="AG46" s="3245"/>
      <c r="AH46" s="3245"/>
      <c r="AI46" s="3245"/>
      <c r="AJ46" s="3245"/>
    </row>
    <row r="47" spans="1:37" ht="24.75" hidden="1" thickBot="1">
      <c r="A47" s="3411" t="s">
        <v>3655</v>
      </c>
      <c r="B47" s="3424" t="s">
        <v>3656</v>
      </c>
      <c r="C47" s="3416"/>
      <c r="D47" s="3417">
        <f t="shared" si="1"/>
        <v>0</v>
      </c>
      <c r="E47" s="3422"/>
      <c r="F47" s="3419">
        <f>SUMPRODUCT(('[1]2002因素修正幅度'!$A$36:$A$42=A47)*('[1]2002因素修正幅度'!$B$35:$K$35=$G$2)*('[1]2002因素修正幅度'!$B$36:$K$42))</f>
        <v>1.2E-2</v>
      </c>
      <c r="G47" s="3419">
        <f t="shared" si="2"/>
        <v>6.0000000000000001E-3</v>
      </c>
      <c r="H47" s="3420">
        <v>0</v>
      </c>
      <c r="I47" s="3419">
        <f t="shared" si="3"/>
        <v>-6.0000000000000001E-3</v>
      </c>
      <c r="J47" s="3419">
        <f>SUMPRODUCT(('[1]2002因素修正幅度'!$A$66:$A$72=A47)*('[1]2002因素修正幅度'!$B$35:$K$35=$G$2)*('[1]2002因素修正幅度'!$B$66:$K$72))</f>
        <v>-1.2E-2</v>
      </c>
      <c r="L47" s="3244"/>
      <c r="M47" s="3244"/>
      <c r="N47" s="3244"/>
      <c r="O47" s="3244"/>
      <c r="P47" s="3244"/>
      <c r="Q47" s="3244"/>
      <c r="R47" s="3244"/>
      <c r="S47" s="3244"/>
      <c r="T47" s="3244"/>
      <c r="U47" s="3244"/>
      <c r="V47" s="3244"/>
      <c r="W47" s="3248"/>
      <c r="X47" s="3248"/>
      <c r="Y47" s="3248"/>
      <c r="Z47" s="3248"/>
      <c r="AA47" s="3248"/>
      <c r="AB47" s="3248"/>
      <c r="AC47" s="3248"/>
      <c r="AE47" s="3248"/>
      <c r="AF47" s="3248"/>
    </row>
    <row r="48" spans="1:37" ht="24.75" hidden="1" thickBot="1">
      <c r="A48" s="3425" t="s">
        <v>3657</v>
      </c>
      <c r="B48" s="3412" t="str">
        <f>[1]估价对象房地状况!C10</f>
        <v>估价对象所在区域基础设施水平</v>
      </c>
      <c r="C48" s="3416"/>
      <c r="D48" s="3417">
        <f t="shared" si="1"/>
        <v>0</v>
      </c>
      <c r="E48" s="3422"/>
      <c r="F48" s="3419">
        <f>SUMPRODUCT(('[1]2002因素修正幅度'!$A$36:$A$42=A48)*('[1]2002因素修正幅度'!$B$35:$K$35=$G$2)*('[1]2002因素修正幅度'!$B$36:$K$42))</f>
        <v>1.0500000000000001E-2</v>
      </c>
      <c r="G48" s="3419">
        <f t="shared" si="2"/>
        <v>5.2500000000000003E-3</v>
      </c>
      <c r="H48" s="3420">
        <v>0</v>
      </c>
      <c r="I48" s="3419">
        <f t="shared" si="3"/>
        <v>-5.2500000000000003E-3</v>
      </c>
      <c r="J48" s="3419">
        <f>SUMPRODUCT(('[1]2002因素修正幅度'!$A$66:$A$72=A48)*('[1]2002因素修正幅度'!$B$35:$K$35=$G$2)*('[1]2002因素修正幅度'!$B$66:$K$72))</f>
        <v>-1.0500000000000001E-2</v>
      </c>
      <c r="L48" s="3244"/>
      <c r="M48" s="3244"/>
      <c r="N48" s="3244"/>
      <c r="O48" s="3244"/>
      <c r="P48" s="3244"/>
      <c r="Q48" s="3244"/>
      <c r="R48" s="3244"/>
      <c r="S48" s="3244"/>
      <c r="T48" s="3244"/>
      <c r="U48" s="3244"/>
      <c r="V48" s="3244"/>
      <c r="W48" s="3248"/>
      <c r="X48" s="3248"/>
      <c r="Y48" s="3248"/>
      <c r="Z48" s="3248"/>
      <c r="AA48" s="3248"/>
      <c r="AB48" s="3248"/>
      <c r="AC48" s="3248"/>
      <c r="AE48" s="3248"/>
      <c r="AF48" s="3248"/>
    </row>
    <row r="49" spans="1:36" ht="15.75" hidden="1" thickBot="1">
      <c r="A49" s="3406" t="s">
        <v>3639</v>
      </c>
      <c r="B49" s="3426">
        <f>1+E51</f>
        <v>1</v>
      </c>
      <c r="C49" s="3409"/>
      <c r="D49" s="3427"/>
      <c r="E49" s="3428"/>
      <c r="F49" s="3429"/>
      <c r="G49" s="3429"/>
      <c r="H49" s="3429"/>
      <c r="I49" s="3429"/>
      <c r="J49" s="3429"/>
      <c r="L49" s="3244"/>
      <c r="M49" s="3244"/>
      <c r="N49" s="3244"/>
      <c r="O49" s="3244"/>
      <c r="P49" s="3244"/>
      <c r="Q49" s="3244"/>
      <c r="R49" s="3244"/>
      <c r="S49" s="3244"/>
      <c r="T49" s="3244"/>
      <c r="U49" s="3244"/>
      <c r="V49" s="3244"/>
      <c r="W49" s="3248"/>
      <c r="X49" s="3248"/>
      <c r="Y49" s="3248"/>
      <c r="Z49" s="3248"/>
      <c r="AA49" s="3248"/>
      <c r="AB49" s="3248"/>
      <c r="AC49" s="3248"/>
      <c r="AE49" s="3248"/>
      <c r="AF49" s="3248"/>
    </row>
    <row r="50" spans="1:36" ht="14.25" hidden="1" thickBot="1">
      <c r="A50" s="3411" t="s">
        <v>3642</v>
      </c>
      <c r="B50" s="3412"/>
      <c r="C50" s="3412" t="s">
        <v>3644</v>
      </c>
      <c r="D50" s="3430" t="s">
        <v>3658</v>
      </c>
      <c r="E50" s="3431" t="s">
        <v>3659</v>
      </c>
      <c r="F50" s="3432" t="s">
        <v>3660</v>
      </c>
      <c r="G50" s="3432" t="s">
        <v>3661</v>
      </c>
      <c r="H50" s="3432" t="s">
        <v>3662</v>
      </c>
      <c r="I50" s="3432" t="s">
        <v>3663</v>
      </c>
      <c r="J50" s="3432" t="s">
        <v>3664</v>
      </c>
      <c r="L50" s="3244"/>
      <c r="M50" s="3244"/>
      <c r="N50" s="3244"/>
      <c r="O50" s="3244"/>
      <c r="P50" s="3244"/>
      <c r="Q50" s="3244"/>
      <c r="R50" s="3244"/>
      <c r="S50" s="3244"/>
      <c r="T50" s="3244"/>
      <c r="U50" s="3244"/>
      <c r="V50" s="3244"/>
      <c r="W50" s="3248"/>
      <c r="X50" s="3248"/>
      <c r="Y50" s="3248"/>
      <c r="Z50" s="3248"/>
      <c r="AA50" s="3248"/>
      <c r="AB50" s="3248"/>
      <c r="AC50" s="3248"/>
      <c r="AE50" s="3248"/>
      <c r="AF50" s="3248"/>
    </row>
    <row r="51" spans="1:36" ht="36.75" hidden="1" thickBot="1">
      <c r="A51" s="3411" t="s">
        <v>3665</v>
      </c>
      <c r="B51" s="3415" t="str">
        <f>[1]估价对象房地状况!C5</f>
        <v>估价对象位于XX商圈，周边办公楼项目较多，入驻率高，办公集聚程度较好</v>
      </c>
      <c r="C51" s="3416"/>
      <c r="D51" s="3417">
        <f t="shared" ref="D51:D57" si="4">SUMIF($F$50:$J$50,C51,F51:J51)</f>
        <v>0</v>
      </c>
      <c r="E51" s="3418">
        <f>SUM(D51:D57)</f>
        <v>0</v>
      </c>
      <c r="F51" s="3419">
        <f>SUMPRODUCT(('[1]2002因素修正幅度'!$A$43:$A$49=A51)*('[1]2002因素修正幅度'!$B$35:$K$35=$G$2)*('[1]2002因素修正幅度'!$B$43:$K$49))</f>
        <v>0.03</v>
      </c>
      <c r="G51" s="3419">
        <f>F51/2</f>
        <v>1.4999999999999999E-2</v>
      </c>
      <c r="H51" s="3420">
        <v>0</v>
      </c>
      <c r="I51" s="3419">
        <f>J51/2</f>
        <v>-1.4999999999999999E-2</v>
      </c>
      <c r="J51" s="3419">
        <f>SUMPRODUCT(('[1]2002因素修正幅度'!$A$73:$A$79=A51)*('[1]2002因素修正幅度'!$B$35:$K$35=$G$2)*('[1]2002因素修正幅度'!$B$73:$K$79))</f>
        <v>-0.03</v>
      </c>
      <c r="L51" s="3244"/>
      <c r="M51" s="3244"/>
      <c r="N51" s="3244"/>
      <c r="O51" s="3244"/>
      <c r="P51" s="3244"/>
      <c r="Q51" s="3244"/>
      <c r="R51" s="3244"/>
      <c r="S51" s="3244"/>
      <c r="T51" s="3244"/>
      <c r="U51" s="3244"/>
      <c r="V51" s="3244"/>
      <c r="W51" s="3248"/>
      <c r="X51" s="3248"/>
      <c r="Y51" s="3248"/>
      <c r="Z51" s="3248"/>
      <c r="AA51" s="3248"/>
      <c r="AB51" s="3248"/>
      <c r="AC51" s="3248"/>
      <c r="AE51" s="3248"/>
      <c r="AF51" s="3248"/>
    </row>
    <row r="52" spans="1:36" ht="48.75" hidden="1" thickBot="1">
      <c r="A52" s="3411" t="s">
        <v>3650</v>
      </c>
      <c r="B52" s="3412" t="str">
        <f>[1]估价对象房地状况!C6</f>
        <v>估价对象周边道路状况、公共交通通达情况、停车便捷程度，综合评价交通便捷度较好</v>
      </c>
      <c r="C52" s="3416"/>
      <c r="D52" s="3417">
        <f t="shared" si="4"/>
        <v>0</v>
      </c>
      <c r="E52" s="3422"/>
      <c r="F52" s="3419">
        <f>SUMPRODUCT(('[1]2002因素修正幅度'!$A$43:$A$49=A52)*('[1]2002因素修正幅度'!$B$35:$K$35=$G$2)*('[1]2002因素修正幅度'!$B$43:$K$49))</f>
        <v>3.7499999999999999E-2</v>
      </c>
      <c r="G52" s="3419">
        <f t="shared" ref="G52:G57" si="5">F52/2</f>
        <v>1.8749999999999999E-2</v>
      </c>
      <c r="H52" s="3420">
        <v>0</v>
      </c>
      <c r="I52" s="3419">
        <f t="shared" ref="I52:I57" si="6">J52/2</f>
        <v>-1.8749999999999999E-2</v>
      </c>
      <c r="J52" s="3419">
        <f>SUMPRODUCT(('[1]2002因素修正幅度'!$A$73:$A$79=A52)*('[1]2002因素修正幅度'!$B$35:$K$35=$G$2)*('[1]2002因素修正幅度'!$B$73:$K$79))</f>
        <v>-3.7499999999999999E-2</v>
      </c>
      <c r="L52" s="3244"/>
      <c r="M52" s="3244"/>
      <c r="N52" s="3244"/>
      <c r="O52" s="3244"/>
      <c r="P52" s="3244"/>
      <c r="Q52" s="3244"/>
      <c r="R52" s="3244"/>
      <c r="S52" s="3244"/>
      <c r="T52" s="3244"/>
      <c r="U52" s="3244"/>
      <c r="V52" s="3244"/>
      <c r="W52" s="3248"/>
      <c r="X52" s="3248"/>
      <c r="Y52" s="3248"/>
      <c r="Z52" s="3248"/>
      <c r="AA52" s="3248"/>
      <c r="AB52" s="3248"/>
      <c r="AC52" s="3248"/>
      <c r="AE52" s="3248"/>
      <c r="AF52" s="3248"/>
    </row>
    <row r="53" spans="1:36" ht="24.75" hidden="1" thickBot="1">
      <c r="A53" s="3411" t="s">
        <v>3651</v>
      </c>
      <c r="B53" s="3412" t="str">
        <f>[1]估价对象房地状况!C7</f>
        <v>零星有其他用地，基本不影响本宗地</v>
      </c>
      <c r="C53" s="3416"/>
      <c r="D53" s="3417">
        <f t="shared" si="4"/>
        <v>0</v>
      </c>
      <c r="E53" s="3422"/>
      <c r="F53" s="3419">
        <f>SUMPRODUCT(('[1]2002因素修正幅度'!$A$43:$A$49=A53)*('[1]2002因素修正幅度'!$B$35:$K$35=$G$2)*('[1]2002因素修正幅度'!$B$43:$K$49))</f>
        <v>1.4999999999999999E-2</v>
      </c>
      <c r="G53" s="3419">
        <f t="shared" si="5"/>
        <v>7.4999999999999997E-3</v>
      </c>
      <c r="H53" s="3420">
        <v>0</v>
      </c>
      <c r="I53" s="3419">
        <f t="shared" si="6"/>
        <v>-7.4999999999999997E-3</v>
      </c>
      <c r="J53" s="3419">
        <f>SUMPRODUCT(('[1]2002因素修正幅度'!$A$73:$A$79=A53)*('[1]2002因素修正幅度'!$B$35:$K$35=$G$2)*('[1]2002因素修正幅度'!$B$73:$K$79))</f>
        <v>-1.4999999999999999E-2</v>
      </c>
      <c r="L53" s="3244"/>
      <c r="M53" s="3244"/>
      <c r="N53" s="3244"/>
      <c r="O53" s="3244"/>
      <c r="P53" s="3244"/>
      <c r="Q53" s="3244"/>
      <c r="R53" s="3244"/>
      <c r="S53" s="3244"/>
      <c r="T53" s="3244"/>
      <c r="U53" s="3244"/>
      <c r="V53" s="3244"/>
      <c r="W53" s="3248"/>
      <c r="X53" s="3248"/>
      <c r="Y53" s="3248"/>
      <c r="Z53" s="3248"/>
      <c r="AA53" s="3248"/>
      <c r="AB53" s="3248"/>
      <c r="AC53" s="3248"/>
      <c r="AE53" s="3248"/>
      <c r="AF53" s="3248"/>
    </row>
    <row r="54" spans="1:36" s="3421" customFormat="1" ht="36.75" hidden="1" thickBot="1">
      <c r="A54" s="3411" t="s">
        <v>3652</v>
      </c>
      <c r="B54" s="3423" t="s">
        <v>3653</v>
      </c>
      <c r="C54" s="3416"/>
      <c r="D54" s="3417">
        <f t="shared" si="4"/>
        <v>0</v>
      </c>
      <c r="E54" s="3422"/>
      <c r="F54" s="3419">
        <f>SUMPRODUCT(('[1]2002因素修正幅度'!$A$43:$A$49=A54)*('[1]2002因素修正幅度'!$B$35:$K$35=$G$2)*('[1]2002因素修正幅度'!$B$43:$K$49))</f>
        <v>1.4999999999999999E-2</v>
      </c>
      <c r="G54" s="3419">
        <f t="shared" si="5"/>
        <v>7.4999999999999997E-3</v>
      </c>
      <c r="H54" s="3420">
        <v>0</v>
      </c>
      <c r="I54" s="3419">
        <f t="shared" si="6"/>
        <v>-7.4999999999999997E-3</v>
      </c>
      <c r="J54" s="3419">
        <f>SUMPRODUCT(('[1]2002因素修正幅度'!$A$73:$A$79=A54)*('[1]2002因素修正幅度'!$B$35:$K$35=$G$2)*('[1]2002因素修正幅度'!$B$73:$K$79))</f>
        <v>-1.4999999999999999E-2</v>
      </c>
      <c r="K54" s="3244"/>
      <c r="L54" s="3244"/>
      <c r="M54" s="3244"/>
      <c r="N54" s="3244"/>
      <c r="O54" s="3244"/>
      <c r="P54" s="3244"/>
      <c r="Q54" s="3244"/>
      <c r="R54" s="3244"/>
      <c r="S54" s="3244"/>
      <c r="T54" s="3244"/>
      <c r="U54" s="3244"/>
      <c r="V54" s="3244"/>
      <c r="W54" s="3248"/>
      <c r="X54" s="3248"/>
      <c r="Y54" s="3248"/>
      <c r="Z54" s="3248"/>
      <c r="AA54" s="3248"/>
      <c r="AB54" s="3248"/>
      <c r="AC54" s="3248"/>
      <c r="AD54" s="3247"/>
      <c r="AE54" s="3248"/>
      <c r="AF54" s="3248"/>
      <c r="AG54" s="3247"/>
      <c r="AH54" s="3247"/>
      <c r="AI54" s="3247"/>
      <c r="AJ54" s="3247"/>
    </row>
    <row r="55" spans="1:36" s="3421" customFormat="1" ht="15" hidden="1" thickBot="1">
      <c r="A55" s="3411" t="s">
        <v>3654</v>
      </c>
      <c r="B55" s="3412">
        <f>[1]估价对象房地状况!C12</f>
        <v>0</v>
      </c>
      <c r="C55" s="3416"/>
      <c r="D55" s="3417">
        <f t="shared" si="4"/>
        <v>0</v>
      </c>
      <c r="E55" s="3422"/>
      <c r="F55" s="3419">
        <f>SUMPRODUCT(('[1]2002因素修正幅度'!$A$43:$A$49=A55)*('[1]2002因素修正幅度'!$B$35:$K$35=$G$2)*('[1]2002因素修正幅度'!$B$43:$K$49))</f>
        <v>2.2499999999999999E-2</v>
      </c>
      <c r="G55" s="3419">
        <f t="shared" si="5"/>
        <v>1.125E-2</v>
      </c>
      <c r="H55" s="3420">
        <v>0</v>
      </c>
      <c r="I55" s="3419">
        <f t="shared" si="6"/>
        <v>-1.125E-2</v>
      </c>
      <c r="J55" s="3419">
        <f>SUMPRODUCT(('[1]2002因素修正幅度'!$A$73:$A$79=A55)*('[1]2002因素修正幅度'!$B$35:$K$35=$G$2)*('[1]2002因素修正幅度'!$B$73:$K$79))</f>
        <v>-2.2499999999999999E-2</v>
      </c>
      <c r="K55" s="3244"/>
      <c r="L55" s="3244"/>
      <c r="M55" s="3244"/>
      <c r="N55" s="3244"/>
      <c r="O55" s="3244"/>
      <c r="P55" s="3244"/>
      <c r="Q55" s="3244"/>
      <c r="R55" s="3244"/>
      <c r="S55" s="3244"/>
      <c r="T55" s="3244"/>
      <c r="U55" s="3244"/>
      <c r="V55" s="3244"/>
      <c r="W55" s="3248"/>
      <c r="X55" s="3248"/>
      <c r="Y55" s="3248"/>
      <c r="Z55" s="3248"/>
      <c r="AA55" s="3248"/>
      <c r="AB55" s="3248"/>
      <c r="AC55" s="3248"/>
      <c r="AD55" s="3247"/>
      <c r="AE55" s="3248"/>
      <c r="AF55" s="3248"/>
      <c r="AG55" s="3247"/>
      <c r="AH55" s="3247"/>
      <c r="AI55" s="3247"/>
      <c r="AJ55" s="3247"/>
    </row>
    <row r="56" spans="1:36" s="3421" customFormat="1" ht="24.75" hidden="1" thickBot="1">
      <c r="A56" s="3411" t="s">
        <v>3655</v>
      </c>
      <c r="B56" s="3424" t="s">
        <v>3656</v>
      </c>
      <c r="C56" s="3416"/>
      <c r="D56" s="3417">
        <f t="shared" si="4"/>
        <v>0</v>
      </c>
      <c r="E56" s="3422"/>
      <c r="F56" s="3419">
        <f>SUMPRODUCT(('[1]2002因素修正幅度'!$A$43:$A$49=A56)*('[1]2002因素修正幅度'!$B$35:$K$35=$G$2)*('[1]2002因素修正幅度'!$B$43:$K$49))</f>
        <v>1.2E-2</v>
      </c>
      <c r="G56" s="3419">
        <f t="shared" si="5"/>
        <v>6.0000000000000001E-3</v>
      </c>
      <c r="H56" s="3420">
        <v>0</v>
      </c>
      <c r="I56" s="3419">
        <f t="shared" si="6"/>
        <v>-6.0000000000000001E-3</v>
      </c>
      <c r="J56" s="3419">
        <f>SUMPRODUCT(('[1]2002因素修正幅度'!$A$73:$A$79=A56)*('[1]2002因素修正幅度'!$B$35:$K$35=$G$2)*('[1]2002因素修正幅度'!$B$73:$K$79))</f>
        <v>-1.2E-2</v>
      </c>
      <c r="K56" s="3244"/>
      <c r="L56" s="3244"/>
      <c r="M56" s="3244"/>
      <c r="N56" s="3244"/>
      <c r="O56" s="3244"/>
      <c r="P56" s="3244"/>
      <c r="Q56" s="3244"/>
      <c r="R56" s="3244"/>
      <c r="S56" s="3244"/>
      <c r="T56" s="3244"/>
      <c r="U56" s="3244"/>
      <c r="V56" s="3244"/>
      <c r="W56" s="3248"/>
      <c r="X56" s="3248"/>
      <c r="Y56" s="3248"/>
      <c r="Z56" s="3248"/>
      <c r="AA56" s="3248"/>
      <c r="AB56" s="3248"/>
      <c r="AC56" s="3248"/>
      <c r="AD56" s="3247"/>
      <c r="AE56" s="3248"/>
      <c r="AF56" s="3248"/>
      <c r="AG56" s="3247"/>
      <c r="AH56" s="3247"/>
      <c r="AI56" s="3247"/>
      <c r="AJ56" s="3247"/>
    </row>
    <row r="57" spans="1:36" s="3421" customFormat="1" ht="36.75" hidden="1" thickBot="1">
      <c r="A57" s="3411" t="s">
        <v>3666</v>
      </c>
      <c r="B57" s="3433" t="str">
        <f>[1]估价对象房地状况!C9&amp;","&amp;[1]估价对象房地状况!C10</f>
        <v>估价对象所在区域公共配套设施齐备情况,估价对象所在区域基础设施水平</v>
      </c>
      <c r="C57" s="3416"/>
      <c r="D57" s="3417">
        <f t="shared" si="4"/>
        <v>0</v>
      </c>
      <c r="E57" s="3422"/>
      <c r="F57" s="3419">
        <f>SUMPRODUCT(('[1]2002因素修正幅度'!$A$43:$A$49=A57)*('[1]2002因素修正幅度'!$B$35:$K$35=$G$2)*('[1]2002因素修正幅度'!$B$43:$K$49))</f>
        <v>1.7999999999999999E-2</v>
      </c>
      <c r="G57" s="3419">
        <f t="shared" si="5"/>
        <v>8.9999999999999993E-3</v>
      </c>
      <c r="H57" s="3420">
        <v>0</v>
      </c>
      <c r="I57" s="3419">
        <f t="shared" si="6"/>
        <v>-8.9999999999999993E-3</v>
      </c>
      <c r="J57" s="3419">
        <f>SUMPRODUCT(('[1]2002因素修正幅度'!$A$73:$A$79=A57)*('[1]2002因素修正幅度'!$B$35:$K$35=$G$2)*('[1]2002因素修正幅度'!$B$73:$K$79))</f>
        <v>-1.7999999999999999E-2</v>
      </c>
      <c r="K57" s="3244"/>
      <c r="L57" s="3244"/>
      <c r="M57" s="3244"/>
      <c r="N57" s="3244"/>
      <c r="O57" s="3244"/>
      <c r="P57" s="3244"/>
      <c r="Q57" s="3244"/>
      <c r="R57" s="3244"/>
      <c r="S57" s="3244"/>
      <c r="T57" s="3244"/>
      <c r="U57" s="3244"/>
      <c r="V57" s="3244"/>
      <c r="W57" s="3248"/>
      <c r="X57" s="3248"/>
      <c r="Y57" s="3248"/>
      <c r="Z57" s="3248"/>
      <c r="AA57" s="3248"/>
      <c r="AB57" s="3248"/>
      <c r="AC57" s="3248"/>
      <c r="AD57" s="3247"/>
      <c r="AE57" s="3248"/>
      <c r="AF57" s="3248"/>
      <c r="AG57" s="3247"/>
      <c r="AH57" s="3247"/>
      <c r="AI57" s="3247"/>
      <c r="AJ57" s="3247"/>
    </row>
    <row r="58" spans="1:36" s="3421" customFormat="1" ht="15">
      <c r="A58" s="3406" t="s">
        <v>3640</v>
      </c>
      <c r="B58" s="3426">
        <f>1+E60</f>
        <v>1.0549999999999999</v>
      </c>
      <c r="C58" s="3409"/>
      <c r="D58" s="3427"/>
      <c r="E58" s="3428"/>
      <c r="F58" s="3429"/>
      <c r="G58" s="3429"/>
      <c r="H58" s="3429"/>
      <c r="I58" s="3429"/>
      <c r="J58" s="3429"/>
      <c r="K58" s="3244"/>
      <c r="L58" s="3244"/>
      <c r="M58" s="3244"/>
      <c r="N58" s="3244"/>
      <c r="O58" s="3244"/>
      <c r="P58" s="3244"/>
      <c r="Q58" s="3244"/>
      <c r="R58" s="3244"/>
      <c r="S58" s="3244"/>
      <c r="T58" s="3244"/>
      <c r="U58" s="3244"/>
      <c r="V58" s="3244"/>
      <c r="W58" s="3248"/>
      <c r="X58" s="3248"/>
      <c r="Y58" s="3248"/>
      <c r="Z58" s="3248"/>
      <c r="AA58" s="3248"/>
      <c r="AB58" s="3248"/>
      <c r="AC58" s="3248"/>
      <c r="AD58" s="3247"/>
      <c r="AE58" s="3248"/>
      <c r="AF58" s="3248"/>
      <c r="AG58" s="3247"/>
      <c r="AH58" s="3247"/>
      <c r="AI58" s="3247"/>
      <c r="AJ58" s="3247"/>
    </row>
    <row r="59" spans="1:36" s="3421" customFormat="1" ht="13.5">
      <c r="A59" s="3411" t="s">
        <v>3642</v>
      </c>
      <c r="B59" s="3412"/>
      <c r="C59" s="3412" t="s">
        <v>3644</v>
      </c>
      <c r="D59" s="3430" t="s">
        <v>3658</v>
      </c>
      <c r="E59" s="3431" t="s">
        <v>3659</v>
      </c>
      <c r="F59" s="3432" t="s">
        <v>3660</v>
      </c>
      <c r="G59" s="3432" t="s">
        <v>3661</v>
      </c>
      <c r="H59" s="3432" t="s">
        <v>3662</v>
      </c>
      <c r="I59" s="3432" t="s">
        <v>3663</v>
      </c>
      <c r="J59" s="3432" t="s">
        <v>3664</v>
      </c>
      <c r="K59" s="3244"/>
      <c r="L59" s="3244"/>
      <c r="M59" s="3244"/>
      <c r="N59" s="3244"/>
      <c r="O59" s="3244"/>
      <c r="P59" s="3244"/>
      <c r="Q59" s="3244"/>
      <c r="R59" s="3244"/>
      <c r="S59" s="3244"/>
      <c r="T59" s="3244"/>
      <c r="U59" s="3244"/>
      <c r="V59" s="3244"/>
      <c r="W59" s="3248"/>
      <c r="X59" s="3248"/>
      <c r="Y59" s="3248"/>
      <c r="Z59" s="3248"/>
      <c r="AA59" s="3248"/>
      <c r="AB59" s="3248"/>
      <c r="AC59" s="3248"/>
      <c r="AD59" s="3247"/>
      <c r="AE59" s="3248"/>
      <c r="AF59" s="3248"/>
      <c r="AG59" s="3247"/>
      <c r="AH59" s="3247"/>
      <c r="AI59" s="3247"/>
      <c r="AJ59" s="3247"/>
    </row>
    <row r="60" spans="1:36" s="3421" customFormat="1" ht="48">
      <c r="A60" s="3411" t="s">
        <v>3667</v>
      </c>
      <c r="B60" s="3415" t="str">
        <f>[1]估价对象房地状况!C3</f>
        <v>估价对象周边居住用地比例、居住小区规模和社区发展完善程度，综合评价居住社区成熟度一般</v>
      </c>
      <c r="C60" s="3416" t="s">
        <v>3394</v>
      </c>
      <c r="D60" s="3417">
        <f t="shared" ref="D60:D67" si="7">SUMIF($F$59:$J$59,C60,F60:J60)</f>
        <v>1.2500000000000001E-2</v>
      </c>
      <c r="E60" s="3418">
        <f>SUM(D60:D67)</f>
        <v>5.5000000000000007E-2</v>
      </c>
      <c r="F60" s="3419">
        <f>SUMPRODUCT(('[1]2002因素修正幅度'!$A$50:$A$57=A60)*('[1]2002因素修正幅度'!$B$35:$K$35=$G$2)*('[1]2002因素修正幅度'!$B$50:$K$57))</f>
        <v>2.5000000000000001E-2</v>
      </c>
      <c r="G60" s="3419">
        <f>F60/2</f>
        <v>1.2500000000000001E-2</v>
      </c>
      <c r="H60" s="3420">
        <v>0</v>
      </c>
      <c r="I60" s="3419">
        <f>J60/2</f>
        <v>-7.4999999999999997E-3</v>
      </c>
      <c r="J60" s="3419">
        <f>SUMPRODUCT(('[1]2002因素修正幅度'!$A$80:$A$87=A60)*('[1]2002因素修正幅度'!$B$35:$K$35=$G$2)*('[1]2002因素修正幅度'!$B$80:$K$87))</f>
        <v>-1.4999999999999999E-2</v>
      </c>
      <c r="K60" s="3244"/>
      <c r="L60" s="3244"/>
      <c r="M60" s="3244"/>
      <c r="N60" s="3244"/>
      <c r="O60" s="3244"/>
      <c r="P60" s="3244"/>
      <c r="Q60" s="3244"/>
      <c r="R60" s="3244"/>
      <c r="S60" s="3244"/>
      <c r="T60" s="3244"/>
      <c r="U60" s="3244"/>
      <c r="V60" s="3244"/>
      <c r="W60" s="3248"/>
      <c r="X60" s="3248"/>
      <c r="Y60" s="3248"/>
      <c r="Z60" s="3248"/>
      <c r="AA60" s="3248"/>
      <c r="AB60" s="3248"/>
      <c r="AC60" s="3248"/>
      <c r="AD60" s="3247"/>
      <c r="AE60" s="3248"/>
      <c r="AF60" s="3247"/>
      <c r="AG60" s="3247"/>
      <c r="AH60" s="3247"/>
      <c r="AI60" s="3247"/>
    </row>
    <row r="61" spans="1:36" s="3421" customFormat="1" ht="48">
      <c r="A61" s="3411" t="s">
        <v>3650</v>
      </c>
      <c r="B61" s="3412" t="str">
        <f>[1]估价对象房地状况!C6</f>
        <v>估价对象周边道路状况、公共交通通达情况、停车便捷程度，综合评价交通便捷度较好</v>
      </c>
      <c r="C61" s="3416" t="s">
        <v>3395</v>
      </c>
      <c r="D61" s="3417">
        <f t="shared" si="7"/>
        <v>0</v>
      </c>
      <c r="E61" s="3434"/>
      <c r="F61" s="3419">
        <f>SUMPRODUCT(('[1]2002因素修正幅度'!$A$50:$A$57=A61)*('[1]2002因素修正幅度'!$B$35:$K$35=$G$2)*('[1]2002因素修正幅度'!$B$50:$K$57))</f>
        <v>0.05</v>
      </c>
      <c r="G61" s="3419">
        <f t="shared" ref="G61:G67" si="8">F61/2</f>
        <v>2.5000000000000001E-2</v>
      </c>
      <c r="H61" s="3420">
        <v>0</v>
      </c>
      <c r="I61" s="3419">
        <f t="shared" ref="I61:I67" si="9">J61/2</f>
        <v>-1.4999999999999999E-2</v>
      </c>
      <c r="J61" s="3419">
        <f>SUMPRODUCT(('[1]2002因素修正幅度'!$A$80:$A$87=A61)*('[1]2002因素修正幅度'!$B$35:$K$35=$G$2)*('[1]2002因素修正幅度'!$B$80:$K$87))</f>
        <v>-0.03</v>
      </c>
      <c r="K61" s="3244"/>
      <c r="L61" s="3244"/>
      <c r="M61" s="3244"/>
      <c r="N61" s="3244"/>
      <c r="O61" s="3244"/>
      <c r="P61" s="3244"/>
      <c r="Q61" s="3244"/>
      <c r="R61" s="3244"/>
      <c r="S61" s="3244"/>
      <c r="T61" s="3244"/>
      <c r="U61" s="3244"/>
      <c r="V61" s="3244"/>
      <c r="W61" s="3248"/>
      <c r="X61" s="3248"/>
      <c r="Y61" s="3248"/>
      <c r="Z61" s="3248"/>
      <c r="AA61" s="3248"/>
      <c r="AB61" s="3248"/>
      <c r="AC61" s="3248"/>
      <c r="AD61" s="3247"/>
      <c r="AE61" s="3247"/>
      <c r="AF61" s="3247"/>
      <c r="AG61" s="3247"/>
    </row>
    <row r="62" spans="1:36" s="3421" customFormat="1" ht="24">
      <c r="A62" s="3411" t="s">
        <v>3651</v>
      </c>
      <c r="B62" s="3412" t="str">
        <f>[1]估价对象房地状况!C7</f>
        <v>零星有其他用地，基本不影响本宗地</v>
      </c>
      <c r="C62" s="3416" t="s">
        <v>3394</v>
      </c>
      <c r="D62" s="3417">
        <f t="shared" si="7"/>
        <v>1.2500000000000001E-2</v>
      </c>
      <c r="E62" s="3434"/>
      <c r="F62" s="3419">
        <f>SUMPRODUCT(('[1]2002因素修正幅度'!$A$50:$A$57=A62)*('[1]2002因素修正幅度'!$B$35:$K$35=$G$2)*('[1]2002因素修正幅度'!$B$50:$K$57))</f>
        <v>2.5000000000000001E-2</v>
      </c>
      <c r="G62" s="3419">
        <f t="shared" si="8"/>
        <v>1.2500000000000001E-2</v>
      </c>
      <c r="H62" s="3420">
        <v>0</v>
      </c>
      <c r="I62" s="3419">
        <f t="shared" si="9"/>
        <v>-7.4999999999999997E-3</v>
      </c>
      <c r="J62" s="3419">
        <f>SUMPRODUCT(('[1]2002因素修正幅度'!$A$80:$A$87=A62)*('[1]2002因素修正幅度'!$B$35:$K$35=$G$2)*('[1]2002因素修正幅度'!$B$80:$K$87))</f>
        <v>-1.4999999999999999E-2</v>
      </c>
      <c r="K62" s="3244"/>
      <c r="L62" s="3244"/>
      <c r="M62" s="3244"/>
      <c r="N62" s="3244"/>
      <c r="O62" s="3244"/>
      <c r="P62" s="3244"/>
      <c r="Q62" s="3244"/>
      <c r="R62" s="3244"/>
      <c r="S62" s="3244"/>
      <c r="T62" s="3244"/>
      <c r="U62" s="3244"/>
      <c r="V62" s="3244"/>
      <c r="W62" s="3248"/>
      <c r="X62" s="3248"/>
      <c r="Y62" s="3248"/>
      <c r="Z62" s="3248"/>
      <c r="AA62" s="3248"/>
      <c r="AB62" s="3248"/>
      <c r="AC62" s="3248"/>
      <c r="AD62" s="3247"/>
      <c r="AE62" s="3247"/>
      <c r="AF62" s="3247"/>
      <c r="AG62" s="3247"/>
    </row>
    <row r="63" spans="1:36" s="3421" customFormat="1" ht="14.25">
      <c r="A63" s="3411" t="s">
        <v>3668</v>
      </c>
      <c r="B63" s="3412">
        <f>[1]估价对象房地状况!C12</f>
        <v>0</v>
      </c>
      <c r="C63" s="3416" t="s">
        <v>3647</v>
      </c>
      <c r="D63" s="3417">
        <f t="shared" si="7"/>
        <v>-7.4999999999999997E-3</v>
      </c>
      <c r="E63" s="3434"/>
      <c r="F63" s="3419">
        <f>SUMPRODUCT(('[1]2002因素修正幅度'!$A$50:$A$57=A63)*('[1]2002因素修正幅度'!$B$35:$K$35=$G$2)*('[1]2002因素修正幅度'!$B$50:$K$57))</f>
        <v>2.5000000000000001E-2</v>
      </c>
      <c r="G63" s="3419">
        <f t="shared" si="8"/>
        <v>1.2500000000000001E-2</v>
      </c>
      <c r="H63" s="3420">
        <v>0</v>
      </c>
      <c r="I63" s="3419">
        <f t="shared" si="9"/>
        <v>-7.4999999999999997E-3</v>
      </c>
      <c r="J63" s="3419">
        <f>SUMPRODUCT(('[1]2002因素修正幅度'!$A$80:$A$87=A63)*('[1]2002因素修正幅度'!$B$35:$K$35=$G$2)*('[1]2002因素修正幅度'!$B$80:$K$87))</f>
        <v>-1.4999999999999999E-2</v>
      </c>
      <c r="K63" s="3244"/>
      <c r="L63" s="3244"/>
      <c r="M63" s="3244"/>
      <c r="N63" s="3244"/>
      <c r="O63" s="3244"/>
      <c r="P63" s="3244"/>
      <c r="Q63" s="3244"/>
      <c r="R63" s="3244"/>
      <c r="S63" s="3244"/>
      <c r="T63" s="3244"/>
      <c r="U63" s="3244"/>
      <c r="V63" s="3244"/>
      <c r="W63" s="3248"/>
      <c r="X63" s="3248"/>
      <c r="Y63" s="3248"/>
      <c r="Z63" s="3248"/>
      <c r="AA63" s="3248"/>
      <c r="AB63" s="3248"/>
      <c r="AC63" s="3248"/>
      <c r="AD63" s="3247"/>
      <c r="AE63" s="3247"/>
      <c r="AF63" s="3247"/>
      <c r="AG63" s="3247"/>
    </row>
    <row r="64" spans="1:36" s="3421" customFormat="1" ht="24">
      <c r="A64" s="3411" t="s">
        <v>3655</v>
      </c>
      <c r="B64" s="3424" t="s">
        <v>3656</v>
      </c>
      <c r="C64" s="3416" t="s">
        <v>3394</v>
      </c>
      <c r="D64" s="3417">
        <f t="shared" si="7"/>
        <v>0.01</v>
      </c>
      <c r="E64" s="3434"/>
      <c r="F64" s="3419">
        <f>SUMPRODUCT(('[1]2002因素修正幅度'!$A$50:$A$57=A64)*('[1]2002因素修正幅度'!$B$35:$K$35=$G$2)*('[1]2002因素修正幅度'!$B$50:$K$57))</f>
        <v>0.02</v>
      </c>
      <c r="G64" s="3419">
        <f t="shared" si="8"/>
        <v>0.01</v>
      </c>
      <c r="H64" s="3420">
        <v>0</v>
      </c>
      <c r="I64" s="3419">
        <f t="shared" si="9"/>
        <v>-6.0000000000000001E-3</v>
      </c>
      <c r="J64" s="3419">
        <f>SUMPRODUCT(('[1]2002因素修正幅度'!$A$80:$A$87=A64)*('[1]2002因素修正幅度'!$B$35:$K$35=$G$2)*('[1]2002因素修正幅度'!$B$80:$K$87))</f>
        <v>-1.2E-2</v>
      </c>
      <c r="K64" s="3244"/>
      <c r="L64" s="3244"/>
      <c r="M64" s="3244"/>
      <c r="N64" s="3244"/>
      <c r="O64" s="3244"/>
      <c r="P64" s="3244"/>
      <c r="Q64" s="3244"/>
      <c r="R64" s="3244"/>
      <c r="S64" s="3244"/>
      <c r="T64" s="3244"/>
      <c r="U64" s="3244"/>
      <c r="V64" s="3244"/>
      <c r="W64" s="3248"/>
      <c r="X64" s="3248"/>
      <c r="Y64" s="3248"/>
      <c r="Z64" s="3248"/>
      <c r="AA64" s="3248"/>
      <c r="AB64" s="3248"/>
      <c r="AC64" s="3248"/>
      <c r="AD64" s="3247"/>
      <c r="AE64" s="3247"/>
      <c r="AF64" s="3247"/>
      <c r="AG64" s="3247"/>
    </row>
    <row r="65" spans="1:33" s="3421" customFormat="1" ht="36">
      <c r="A65" s="3411" t="s">
        <v>3666</v>
      </c>
      <c r="B65" s="3433" t="str">
        <f>[1]估价对象房地状况!C9&amp;","&amp;[1]估价对象房地状况!C10</f>
        <v>估价对象所在区域公共配套设施齐备情况,估价对象所在区域基础设施水平</v>
      </c>
      <c r="C65" s="3416" t="s">
        <v>3394</v>
      </c>
      <c r="D65" s="3417">
        <f t="shared" si="7"/>
        <v>1.4999999999999999E-2</v>
      </c>
      <c r="E65" s="3434"/>
      <c r="F65" s="3419">
        <f>SUMPRODUCT(('[1]2002因素修正幅度'!$A$50:$A$57=A65)*('[1]2002因素修正幅度'!$B$35:$K$35=$G$2)*('[1]2002因素修正幅度'!$B$50:$K$57))</f>
        <v>0.03</v>
      </c>
      <c r="G65" s="3419">
        <f t="shared" si="8"/>
        <v>1.4999999999999999E-2</v>
      </c>
      <c r="H65" s="3420">
        <v>0</v>
      </c>
      <c r="I65" s="3419">
        <f t="shared" si="9"/>
        <v>-8.9999999999999993E-3</v>
      </c>
      <c r="J65" s="3419">
        <f>SUMPRODUCT(('[1]2002因素修正幅度'!$A$80:$A$87=A65)*('[1]2002因素修正幅度'!$B$35:$K$35=$G$2)*('[1]2002因素修正幅度'!$B$80:$K$87))</f>
        <v>-1.7999999999999999E-2</v>
      </c>
      <c r="K65" s="3244"/>
      <c r="L65" s="3244"/>
      <c r="M65" s="3244"/>
      <c r="N65" s="3244"/>
      <c r="O65" s="3244"/>
      <c r="P65" s="3244"/>
      <c r="Q65" s="3244"/>
      <c r="R65" s="3244"/>
      <c r="S65" s="3244"/>
      <c r="T65" s="3244"/>
      <c r="U65" s="3244"/>
      <c r="V65" s="3244"/>
      <c r="W65" s="3248"/>
      <c r="X65" s="3248"/>
      <c r="Y65" s="3248"/>
      <c r="Z65" s="3248"/>
      <c r="AA65" s="3248"/>
      <c r="AB65" s="3248"/>
      <c r="AC65" s="3248"/>
      <c r="AD65" s="3247"/>
      <c r="AE65" s="3247"/>
      <c r="AF65" s="3247"/>
      <c r="AG65" s="3247"/>
    </row>
    <row r="66" spans="1:33" s="3421" customFormat="1" ht="36">
      <c r="A66" s="3411" t="s">
        <v>3669</v>
      </c>
      <c r="B66" s="3415" t="str">
        <f>[1]估价对象房地状况!C8</f>
        <v>区域自然环境：；人文环境；综合评价环境状况一般</v>
      </c>
      <c r="C66" s="3416" t="s">
        <v>3395</v>
      </c>
      <c r="D66" s="3417">
        <f t="shared" si="7"/>
        <v>0</v>
      </c>
      <c r="E66" s="3434"/>
      <c r="F66" s="3419">
        <f>SUMPRODUCT(('[1]2002因素修正幅度'!$A$50:$A$57=A66)*('[1]2002因素修正幅度'!$B$35:$K$35=$G$2)*('[1]2002因素修正幅度'!$B$50:$K$57))</f>
        <v>0.05</v>
      </c>
      <c r="G66" s="3419">
        <f t="shared" si="8"/>
        <v>2.5000000000000001E-2</v>
      </c>
      <c r="H66" s="3420">
        <v>0</v>
      </c>
      <c r="I66" s="3419">
        <f t="shared" si="9"/>
        <v>-1.4999999999999999E-2</v>
      </c>
      <c r="J66" s="3419">
        <f>SUMPRODUCT(('[1]2002因素修正幅度'!$A$80:$A$87=A66)*('[1]2002因素修正幅度'!$B$35:$K$35=$G$2)*('[1]2002因素修正幅度'!$B$80:$K$87))</f>
        <v>-0.03</v>
      </c>
      <c r="K66" s="3244"/>
      <c r="L66" s="3244"/>
      <c r="M66" s="3244"/>
      <c r="N66" s="3244"/>
      <c r="O66" s="3244"/>
      <c r="P66" s="3244"/>
      <c r="Q66" s="3244"/>
      <c r="R66" s="3244"/>
      <c r="S66" s="3244"/>
      <c r="T66" s="3244"/>
      <c r="U66" s="3244"/>
      <c r="V66" s="3244"/>
      <c r="W66" s="3248"/>
      <c r="X66" s="3248"/>
      <c r="Y66" s="3248"/>
      <c r="Z66" s="3248"/>
      <c r="AA66" s="3248"/>
      <c r="AB66" s="3248"/>
      <c r="AC66" s="3248"/>
      <c r="AD66" s="3247"/>
      <c r="AE66" s="3247"/>
      <c r="AF66" s="3247"/>
      <c r="AG66" s="3247"/>
    </row>
    <row r="67" spans="1:33" s="3421" customFormat="1" ht="24.75" thickBot="1">
      <c r="A67" s="3435" t="s">
        <v>3670</v>
      </c>
      <c r="B67" s="3436"/>
      <c r="C67" s="3416" t="s">
        <v>3394</v>
      </c>
      <c r="D67" s="3417">
        <f t="shared" si="7"/>
        <v>1.2500000000000001E-2</v>
      </c>
      <c r="E67" s="3437"/>
      <c r="F67" s="3419">
        <f>SUMPRODUCT(('[1]2002因素修正幅度'!$A$50:$A$57=A67)*('[1]2002因素修正幅度'!$B$35:$K$35=$G$2)*('[1]2002因素修正幅度'!$B$50:$K$57))</f>
        <v>2.5000000000000001E-2</v>
      </c>
      <c r="G67" s="3419">
        <f t="shared" si="8"/>
        <v>1.2500000000000001E-2</v>
      </c>
      <c r="H67" s="3420">
        <v>0</v>
      </c>
      <c r="I67" s="3419">
        <f t="shared" si="9"/>
        <v>-7.4999999999999997E-3</v>
      </c>
      <c r="J67" s="3419">
        <f>SUMPRODUCT(('[1]2002因素修正幅度'!$A$80:$A$87=A67)*('[1]2002因素修正幅度'!$B$35:$K$35=$G$2)*('[1]2002因素修正幅度'!$B$80:$K$87))</f>
        <v>-1.4999999999999999E-2</v>
      </c>
      <c r="K67" s="3244"/>
      <c r="L67" s="3245"/>
      <c r="M67" s="3245"/>
      <c r="N67" s="3245"/>
      <c r="O67" s="3245"/>
      <c r="P67" s="3245"/>
      <c r="Q67" s="3245"/>
      <c r="R67" s="3245"/>
      <c r="S67" s="3245"/>
      <c r="T67" s="3245"/>
      <c r="U67" s="3245"/>
      <c r="V67" s="3245"/>
      <c r="W67" s="3246"/>
      <c r="X67" s="3247"/>
      <c r="Y67" s="3247"/>
      <c r="Z67" s="3247"/>
      <c r="AA67" s="3247"/>
      <c r="AB67" s="3247"/>
      <c r="AC67" s="3247"/>
      <c r="AD67" s="3246"/>
      <c r="AE67" s="3247"/>
      <c r="AF67" s="3247"/>
      <c r="AG67" s="3247"/>
    </row>
    <row r="68" spans="1:33" s="3421" customFormat="1" ht="15">
      <c r="A68" s="3406" t="s">
        <v>3</v>
      </c>
      <c r="B68" s="3426">
        <f>1+E70</f>
        <v>1</v>
      </c>
      <c r="C68" s="3409"/>
      <c r="D68" s="3427"/>
      <c r="E68" s="3428"/>
      <c r="F68" s="3429"/>
      <c r="G68" s="3429"/>
      <c r="H68" s="3429"/>
      <c r="I68" s="3429"/>
      <c r="J68" s="3429"/>
      <c r="K68" s="3244"/>
      <c r="L68" s="3244"/>
      <c r="M68" s="3244"/>
      <c r="N68" s="3244"/>
      <c r="O68" s="3244"/>
      <c r="P68" s="3244"/>
      <c r="Q68" s="3244"/>
      <c r="R68" s="3244"/>
      <c r="S68" s="3244"/>
      <c r="T68" s="3244"/>
      <c r="U68" s="3244"/>
      <c r="V68" s="3244"/>
      <c r="W68" s="3248"/>
      <c r="X68" s="3248"/>
      <c r="Y68" s="3248"/>
      <c r="Z68" s="3248"/>
      <c r="AA68" s="3248"/>
      <c r="AB68" s="3248"/>
      <c r="AC68" s="3248"/>
      <c r="AD68" s="3247"/>
      <c r="AE68" s="3247"/>
      <c r="AF68" s="3247"/>
      <c r="AG68" s="3247"/>
    </row>
    <row r="69" spans="1:33" s="3421" customFormat="1" ht="13.5">
      <c r="A69" s="3411" t="s">
        <v>3642</v>
      </c>
      <c r="B69" s="3412"/>
      <c r="C69" s="3412" t="s">
        <v>3644</v>
      </c>
      <c r="D69" s="3430" t="s">
        <v>3658</v>
      </c>
      <c r="E69" s="3431" t="s">
        <v>3659</v>
      </c>
      <c r="F69" s="3432" t="s">
        <v>3660</v>
      </c>
      <c r="G69" s="3432" t="s">
        <v>3661</v>
      </c>
      <c r="H69" s="3432" t="s">
        <v>3662</v>
      </c>
      <c r="I69" s="3432" t="s">
        <v>3663</v>
      </c>
      <c r="J69" s="3432" t="s">
        <v>3664</v>
      </c>
      <c r="K69" s="3244"/>
      <c r="L69" s="3245"/>
      <c r="M69" s="3245"/>
      <c r="N69" s="3245"/>
      <c r="O69" s="3245"/>
      <c r="P69" s="3245"/>
      <c r="Q69" s="3245"/>
      <c r="R69" s="3245"/>
      <c r="S69" s="3245"/>
      <c r="T69" s="3245"/>
      <c r="U69" s="3245"/>
      <c r="V69" s="3245"/>
      <c r="W69" s="3246"/>
      <c r="X69" s="3247"/>
      <c r="Y69" s="3247"/>
      <c r="Z69" s="3247"/>
      <c r="AA69" s="3247"/>
      <c r="AB69" s="3247"/>
      <c r="AC69" s="3247"/>
      <c r="AD69" s="3246"/>
      <c r="AE69" s="3247"/>
      <c r="AF69" s="3247"/>
      <c r="AG69" s="3247"/>
    </row>
    <row r="70" spans="1:33" s="3421" customFormat="1" ht="36">
      <c r="A70" s="3411" t="s">
        <v>3671</v>
      </c>
      <c r="B70" s="3412" t="str">
        <f>[1]估价对象房地状况!G3</f>
        <v>估价对象位于XX开发区，园区建设成熟度？产业集聚程度？</v>
      </c>
      <c r="C70" s="3416"/>
      <c r="D70" s="3417">
        <f t="shared" ref="D70:D76" si="10">SUMIF($F$69:$J$69,C70,F70:J70)</f>
        <v>0</v>
      </c>
      <c r="E70" s="3418">
        <f>SUM(D70:D76)</f>
        <v>0</v>
      </c>
      <c r="F70" s="3419">
        <f>SUMPRODUCT(('[1]2002因素修正幅度'!$A$58:$A$64=A70)*('[1]2002因素修正幅度'!$B$35:$K$35=$G$2)*('[1]2002因素修正幅度'!$B$58:$K$64))</f>
        <v>0.04</v>
      </c>
      <c r="G70" s="3419">
        <f t="shared" ref="G70:G76" si="11">F70/2</f>
        <v>0.02</v>
      </c>
      <c r="H70" s="3420">
        <v>0</v>
      </c>
      <c r="I70" s="3419">
        <f t="shared" ref="I70:I76" si="12">J70/2</f>
        <v>-0.02</v>
      </c>
      <c r="J70" s="3419">
        <f>SUMPRODUCT(('[1]2002因素修正幅度'!$A$88:$A$94=A70)*('[1]2002因素修正幅度'!$B$35:$K$35=$G$2)*('[1]2002因素修正幅度'!$B$88:$K$94))</f>
        <v>-0.04</v>
      </c>
      <c r="K70" s="3244"/>
      <c r="L70" s="3245"/>
      <c r="M70" s="3245"/>
      <c r="N70" s="3245"/>
      <c r="O70" s="3245"/>
      <c r="P70" s="3245"/>
      <c r="Q70" s="3245"/>
      <c r="R70" s="3245"/>
      <c r="S70" s="3245"/>
      <c r="T70" s="3245"/>
      <c r="U70" s="3245"/>
      <c r="V70" s="3245"/>
      <c r="W70" s="3246"/>
      <c r="X70" s="3247"/>
      <c r="Y70" s="3247"/>
      <c r="Z70" s="3247"/>
      <c r="AA70" s="3247"/>
      <c r="AB70" s="3247"/>
      <c r="AC70" s="3247"/>
      <c r="AD70" s="3246"/>
      <c r="AE70" s="3247"/>
      <c r="AF70" s="3247"/>
      <c r="AG70" s="3247"/>
    </row>
    <row r="71" spans="1:33" s="3421" customFormat="1" ht="48">
      <c r="A71" s="3411" t="s">
        <v>3650</v>
      </c>
      <c r="B71" s="3412" t="str">
        <f>[1]估价对象房地状况!G4</f>
        <v>估价对象周边道路状况、公共交通通达情况、停车便捷程度，综合评价交通便捷度较好</v>
      </c>
      <c r="C71" s="3416"/>
      <c r="D71" s="3417">
        <f t="shared" si="10"/>
        <v>0</v>
      </c>
      <c r="E71" s="3434"/>
      <c r="F71" s="3419">
        <f>SUMPRODUCT(('[1]2002因素修正幅度'!$A$58:$A$64=A71)*('[1]2002因素修正幅度'!$B$35:$K$35=$G$2)*('[1]2002因素修正幅度'!$B$58:$K$64))</f>
        <v>6.4000000000000001E-2</v>
      </c>
      <c r="G71" s="3419">
        <f t="shared" si="11"/>
        <v>3.2000000000000001E-2</v>
      </c>
      <c r="H71" s="3420">
        <v>0</v>
      </c>
      <c r="I71" s="3419">
        <f t="shared" si="12"/>
        <v>-3.2000000000000001E-2</v>
      </c>
      <c r="J71" s="3419">
        <f>SUMPRODUCT(('[1]2002因素修正幅度'!$A$88:$A$94=A71)*('[1]2002因素修正幅度'!$B$35:$K$35=$G$2)*('[1]2002因素修正幅度'!$B$88:$K$94))</f>
        <v>-6.4000000000000001E-2</v>
      </c>
      <c r="K71" s="3244"/>
      <c r="L71" s="3245"/>
      <c r="M71" s="3245"/>
      <c r="N71" s="3245"/>
      <c r="O71" s="3245"/>
      <c r="P71" s="3245"/>
      <c r="Q71" s="3245"/>
      <c r="R71" s="3245"/>
      <c r="S71" s="3245"/>
      <c r="T71" s="3245"/>
      <c r="U71" s="3245"/>
      <c r="V71" s="3245"/>
      <c r="W71" s="3246"/>
      <c r="X71" s="3247"/>
      <c r="Y71" s="3247"/>
      <c r="Z71" s="3247"/>
      <c r="AA71" s="3247"/>
      <c r="AB71" s="3247"/>
      <c r="AC71" s="3247"/>
      <c r="AD71" s="3246"/>
      <c r="AE71" s="3247"/>
      <c r="AF71" s="3247"/>
      <c r="AG71" s="3247"/>
    </row>
    <row r="72" spans="1:33" s="3421" customFormat="1" ht="24">
      <c r="A72" s="3411" t="s">
        <v>3651</v>
      </c>
      <c r="B72" s="3412" t="str">
        <f>[1]估价对象房地状况!G5</f>
        <v>零星有其他用地，基本不影响本宗地</v>
      </c>
      <c r="C72" s="3416"/>
      <c r="D72" s="3417">
        <f t="shared" si="10"/>
        <v>0</v>
      </c>
      <c r="E72" s="3434"/>
      <c r="F72" s="3419">
        <f>SUMPRODUCT(('[1]2002因素修正幅度'!$A$58:$A$64=A72)*('[1]2002因素修正幅度'!$B$35:$K$35=$G$2)*('[1]2002因素修正幅度'!$B$58:$K$64))</f>
        <v>0.02</v>
      </c>
      <c r="G72" s="3419">
        <f t="shared" si="11"/>
        <v>0.01</v>
      </c>
      <c r="H72" s="3420">
        <v>0</v>
      </c>
      <c r="I72" s="3419">
        <f t="shared" si="12"/>
        <v>-0.01</v>
      </c>
      <c r="J72" s="3419">
        <f>SUMPRODUCT(('[1]2002因素修正幅度'!$A$88:$A$94=A72)*('[1]2002因素修正幅度'!$B$35:$K$35=$G$2)*('[1]2002因素修正幅度'!$B$88:$K$94))</f>
        <v>-0.02</v>
      </c>
      <c r="K72" s="3244"/>
      <c r="L72" s="3245"/>
      <c r="M72" s="3245"/>
      <c r="N72" s="3245"/>
      <c r="O72" s="3245"/>
      <c r="P72" s="3245"/>
      <c r="Q72" s="3245"/>
      <c r="R72" s="3245"/>
      <c r="S72" s="3245"/>
      <c r="T72" s="3245"/>
      <c r="U72" s="3245"/>
      <c r="V72" s="3245"/>
      <c r="W72" s="3246"/>
      <c r="X72" s="3247"/>
      <c r="Y72" s="3247"/>
      <c r="Z72" s="3247"/>
      <c r="AA72" s="3247"/>
      <c r="AB72" s="3247"/>
      <c r="AC72" s="3247"/>
      <c r="AD72" s="3246"/>
      <c r="AE72" s="3247"/>
      <c r="AF72" s="3247"/>
      <c r="AG72" s="3247"/>
    </row>
    <row r="73" spans="1:33" s="3421" customFormat="1" ht="14.25">
      <c r="A73" s="3411" t="s">
        <v>3668</v>
      </c>
      <c r="B73" s="3412">
        <f>[1]估价对象房地状况!G10</f>
        <v>0</v>
      </c>
      <c r="C73" s="3416"/>
      <c r="D73" s="3417">
        <f t="shared" si="10"/>
        <v>0</v>
      </c>
      <c r="E73" s="3434"/>
      <c r="F73" s="3419">
        <f>SUMPRODUCT(('[1]2002因素修正幅度'!$A$58:$A$64=A73)*('[1]2002因素修正幅度'!$B$35:$K$35=$G$2)*('[1]2002因素修正幅度'!$B$58:$K$64))</f>
        <v>1.6E-2</v>
      </c>
      <c r="G73" s="3419">
        <f t="shared" si="11"/>
        <v>8.0000000000000002E-3</v>
      </c>
      <c r="H73" s="3420">
        <v>0</v>
      </c>
      <c r="I73" s="3419">
        <f t="shared" si="12"/>
        <v>-8.0000000000000002E-3</v>
      </c>
      <c r="J73" s="3419">
        <f>SUMPRODUCT(('[1]2002因素修正幅度'!$A$88:$A$94=A73)*('[1]2002因素修正幅度'!$B$35:$K$35=$G$2)*('[1]2002因素修正幅度'!$B$88:$K$94))</f>
        <v>-1.6E-2</v>
      </c>
      <c r="K73" s="3244"/>
      <c r="L73" s="3245"/>
      <c r="M73" s="3245"/>
      <c r="N73" s="3245"/>
      <c r="O73" s="3245"/>
      <c r="P73" s="3245"/>
      <c r="Q73" s="3245"/>
      <c r="R73" s="3245"/>
      <c r="S73" s="3245"/>
      <c r="T73" s="3245"/>
      <c r="U73" s="3245"/>
      <c r="V73" s="3245"/>
      <c r="W73" s="3246"/>
      <c r="X73" s="3247"/>
      <c r="Y73" s="3247"/>
      <c r="Z73" s="3247"/>
      <c r="AA73" s="3247"/>
      <c r="AB73" s="3247"/>
      <c r="AC73" s="3247"/>
      <c r="AD73" s="3246"/>
      <c r="AE73" s="3247"/>
      <c r="AF73" s="3247"/>
      <c r="AG73" s="3247"/>
    </row>
    <row r="74" spans="1:33" s="3421" customFormat="1" ht="24">
      <c r="A74" s="3411" t="s">
        <v>3655</v>
      </c>
      <c r="B74" s="3424" t="s">
        <v>3656</v>
      </c>
      <c r="C74" s="3416"/>
      <c r="D74" s="3417">
        <f t="shared" si="10"/>
        <v>0</v>
      </c>
      <c r="E74" s="3434"/>
      <c r="F74" s="3419">
        <f>SUMPRODUCT(('[1]2002因素修正幅度'!$A$58:$A$64=A74)*('[1]2002因素修正幅度'!$B$35:$K$35=$G$2)*('[1]2002因素修正幅度'!$B$58:$K$64))</f>
        <v>2.4E-2</v>
      </c>
      <c r="G74" s="3419">
        <f t="shared" si="11"/>
        <v>1.2E-2</v>
      </c>
      <c r="H74" s="3420">
        <v>0</v>
      </c>
      <c r="I74" s="3419">
        <f t="shared" si="12"/>
        <v>-1.2E-2</v>
      </c>
      <c r="J74" s="3419">
        <f>SUMPRODUCT(('[1]2002因素修正幅度'!$A$88:$A$94=A74)*('[1]2002因素修正幅度'!$B$35:$K$35=$G$2)*('[1]2002因素修正幅度'!$B$88:$K$94))</f>
        <v>-2.4E-2</v>
      </c>
      <c r="K74" s="3244"/>
      <c r="L74" s="3245"/>
      <c r="M74" s="3245"/>
      <c r="N74" s="3245"/>
      <c r="O74" s="3245"/>
      <c r="P74" s="3245"/>
      <c r="Q74" s="3245"/>
      <c r="R74" s="3245"/>
      <c r="S74" s="3245"/>
      <c r="T74" s="3245"/>
      <c r="U74" s="3245"/>
      <c r="V74" s="3245"/>
      <c r="W74" s="3246"/>
      <c r="X74" s="3247"/>
      <c r="Y74" s="3247"/>
      <c r="Z74" s="3247"/>
      <c r="AA74" s="3247"/>
      <c r="AB74" s="3247"/>
      <c r="AC74" s="3247"/>
      <c r="AD74" s="3246"/>
      <c r="AE74" s="3247"/>
      <c r="AF74" s="3247"/>
      <c r="AG74" s="3247"/>
    </row>
    <row r="75" spans="1:33" s="3421" customFormat="1" ht="24">
      <c r="A75" s="3411" t="s">
        <v>3657</v>
      </c>
      <c r="B75" s="3433" t="str">
        <f>[1]估价对象房地状况!G8</f>
        <v>估价对象所在区域基础设施水平</v>
      </c>
      <c r="C75" s="3416"/>
      <c r="D75" s="3417">
        <f t="shared" si="10"/>
        <v>0</v>
      </c>
      <c r="E75" s="3434"/>
      <c r="F75" s="3419">
        <f>SUMPRODUCT(('[1]2002因素修正幅度'!$A$58:$A$64=A75)*('[1]2002因素修正幅度'!$B$35:$K$35=$G$2)*('[1]2002因素修正幅度'!$B$58:$K$64))</f>
        <v>0.02</v>
      </c>
      <c r="G75" s="3419">
        <f t="shared" si="11"/>
        <v>0.01</v>
      </c>
      <c r="H75" s="3420">
        <v>0</v>
      </c>
      <c r="I75" s="3419">
        <f t="shared" si="12"/>
        <v>-0.01</v>
      </c>
      <c r="J75" s="3419">
        <f>SUMPRODUCT(('[1]2002因素修正幅度'!$A$88:$A$94=A75)*('[1]2002因素修正幅度'!$B$35:$K$35=$G$2)*('[1]2002因素修正幅度'!$B$88:$K$94))</f>
        <v>-0.02</v>
      </c>
      <c r="K75" s="3244"/>
      <c r="L75" s="3245"/>
      <c r="M75" s="3245"/>
      <c r="N75" s="3245"/>
      <c r="O75" s="3245"/>
      <c r="P75" s="3245"/>
      <c r="Q75" s="3245"/>
      <c r="R75" s="3245"/>
      <c r="S75" s="3245"/>
      <c r="T75" s="3245"/>
      <c r="U75" s="3245"/>
      <c r="V75" s="3245"/>
      <c r="W75" s="3246"/>
      <c r="X75" s="3247"/>
      <c r="Y75" s="3247"/>
      <c r="Z75" s="3247"/>
      <c r="AA75" s="3247"/>
      <c r="AB75" s="3247"/>
      <c r="AC75" s="3247"/>
      <c r="AD75" s="3246"/>
      <c r="AE75" s="3247"/>
      <c r="AF75" s="3247"/>
      <c r="AG75" s="3247"/>
    </row>
    <row r="76" spans="1:33" s="3421" customFormat="1" ht="36.75" thickBot="1">
      <c r="A76" s="3435" t="s">
        <v>3672</v>
      </c>
      <c r="B76" s="3438" t="str">
        <f>[1]估价对象房地状况!G6</f>
        <v>该园区内无污染型企业，绿化较好，卫生条件良好，整体环境状况较好</v>
      </c>
      <c r="C76" s="3416"/>
      <c r="D76" s="3417">
        <f t="shared" si="10"/>
        <v>0</v>
      </c>
      <c r="E76" s="3437"/>
      <c r="F76" s="3419">
        <f>SUMPRODUCT(('[1]2002因素修正幅度'!$A$58:$A$64=A76)*('[1]2002因素修正幅度'!$B$35:$K$35=$G$2)*('[1]2002因素修正幅度'!$B$58:$K$64))</f>
        <v>1.6E-2</v>
      </c>
      <c r="G76" s="3419">
        <f t="shared" si="11"/>
        <v>8.0000000000000002E-3</v>
      </c>
      <c r="H76" s="3420">
        <v>0</v>
      </c>
      <c r="I76" s="3419">
        <f t="shared" si="12"/>
        <v>-8.0000000000000002E-3</v>
      </c>
      <c r="J76" s="3419">
        <f>SUMPRODUCT(('[1]2002因素修正幅度'!$A$88:$A$94=A76)*('[1]2002因素修正幅度'!$B$35:$K$35=$G$2)*('[1]2002因素修正幅度'!$B$88:$K$94))</f>
        <v>-1.6E-2</v>
      </c>
      <c r="K76" s="3244"/>
      <c r="L76" s="3245"/>
      <c r="M76" s="3245"/>
      <c r="N76" s="3245"/>
      <c r="O76" s="3245"/>
      <c r="P76" s="3245"/>
      <c r="Q76" s="3245"/>
      <c r="R76" s="3245"/>
      <c r="S76" s="3245"/>
      <c r="T76" s="3245"/>
      <c r="U76" s="3245"/>
      <c r="V76" s="3245"/>
      <c r="W76" s="3246"/>
      <c r="X76" s="3247"/>
      <c r="Y76" s="3247"/>
      <c r="Z76" s="3247"/>
      <c r="AA76" s="3247"/>
      <c r="AB76" s="3247"/>
      <c r="AC76" s="3247"/>
      <c r="AD76" s="3246"/>
      <c r="AE76" s="3247"/>
      <c r="AF76" s="3247"/>
      <c r="AG76" s="3247"/>
    </row>
    <row r="77" spans="1:33" s="3421" customFormat="1">
      <c r="A77" s="3246"/>
      <c r="B77" s="3387"/>
      <c r="C77" s="3245"/>
      <c r="D77" s="3245"/>
      <c r="E77" s="3245"/>
      <c r="F77" s="3245"/>
      <c r="G77" s="3245"/>
      <c r="H77" s="3245"/>
      <c r="I77" s="3245"/>
      <c r="J77" s="3245"/>
      <c r="K77" s="3244"/>
      <c r="L77" s="3245"/>
      <c r="M77" s="3245"/>
      <c r="N77" s="3245"/>
      <c r="O77" s="3245"/>
      <c r="P77" s="3245"/>
      <c r="Q77" s="3245"/>
      <c r="R77" s="3245"/>
      <c r="S77" s="3245"/>
      <c r="T77" s="3245"/>
      <c r="U77" s="3245"/>
      <c r="V77" s="3245"/>
      <c r="W77" s="3246"/>
      <c r="X77" s="3247"/>
      <c r="Y77" s="3247"/>
      <c r="Z77" s="3247"/>
      <c r="AA77" s="3247"/>
      <c r="AB77" s="3247"/>
      <c r="AC77" s="3247"/>
      <c r="AD77" s="3246"/>
      <c r="AE77" s="3247"/>
      <c r="AF77" s="3247"/>
      <c r="AG77" s="3247"/>
    </row>
    <row r="78" spans="1:33" s="3421" customFormat="1">
      <c r="A78" s="3246"/>
      <c r="B78" s="3387"/>
      <c r="C78" s="3245"/>
      <c r="D78" s="3245"/>
      <c r="E78" s="3245"/>
      <c r="F78" s="3245"/>
      <c r="G78" s="3245"/>
      <c r="H78" s="3245"/>
      <c r="I78" s="3245"/>
      <c r="J78" s="3245"/>
      <c r="K78" s="3244"/>
      <c r="L78" s="3245"/>
      <c r="M78" s="3245"/>
      <c r="N78" s="3245"/>
      <c r="O78" s="3245"/>
      <c r="P78" s="3245"/>
      <c r="Q78" s="3245"/>
      <c r="R78" s="3245"/>
      <c r="S78" s="3245"/>
      <c r="T78" s="3245"/>
      <c r="U78" s="3245"/>
      <c r="V78" s="3245"/>
      <c r="W78" s="3246"/>
      <c r="X78" s="3247"/>
      <c r="Y78" s="3247"/>
      <c r="Z78" s="3247"/>
      <c r="AA78" s="3247"/>
      <c r="AB78" s="3247"/>
      <c r="AC78" s="3247"/>
      <c r="AD78" s="3246"/>
      <c r="AE78" s="3247"/>
      <c r="AF78" s="3247"/>
      <c r="AG78" s="3247"/>
    </row>
    <row r="79" spans="1:33" s="3421" customFormat="1">
      <c r="A79" s="3246"/>
      <c r="B79" s="3387"/>
      <c r="C79" s="3245"/>
      <c r="D79" s="3245"/>
      <c r="E79" s="3245"/>
      <c r="F79" s="3245"/>
      <c r="G79" s="3245"/>
      <c r="H79" s="3245"/>
      <c r="I79" s="3245"/>
      <c r="J79" s="3245"/>
      <c r="K79" s="3244"/>
      <c r="L79" s="3245"/>
      <c r="M79" s="3245"/>
      <c r="N79" s="3245"/>
      <c r="O79" s="3245"/>
      <c r="P79" s="3245"/>
      <c r="Q79" s="3245"/>
      <c r="R79" s="3245"/>
      <c r="S79" s="3245"/>
      <c r="T79" s="3245"/>
      <c r="U79" s="3245"/>
      <c r="V79" s="3245"/>
      <c r="W79" s="3246"/>
      <c r="X79" s="3247"/>
      <c r="Y79" s="3247"/>
      <c r="Z79" s="3247"/>
      <c r="AA79" s="3247"/>
      <c r="AB79" s="3247"/>
      <c r="AC79" s="3247"/>
      <c r="AD79" s="3246"/>
      <c r="AE79" s="3247"/>
      <c r="AF79" s="3247"/>
      <c r="AG79" s="3247"/>
    </row>
    <row r="80" spans="1:33" s="3421" customFormat="1" ht="13.5">
      <c r="A80" s="3253" t="s">
        <v>3673</v>
      </c>
      <c r="B80" s="3439">
        <f>G3</f>
        <v>2</v>
      </c>
      <c r="C80" s="3245"/>
      <c r="D80" s="3245"/>
      <c r="E80" s="3245"/>
      <c r="F80" s="3245"/>
      <c r="G80" s="3440"/>
      <c r="H80" s="3440"/>
      <c r="I80" s="3440"/>
      <c r="J80" s="3440"/>
      <c r="K80" s="3244"/>
      <c r="L80" s="3245"/>
      <c r="M80" s="3245"/>
      <c r="N80" s="3245"/>
      <c r="O80" s="3245"/>
      <c r="P80" s="3245"/>
      <c r="Q80" s="3245"/>
      <c r="R80" s="3245"/>
      <c r="S80" s="3245"/>
      <c r="T80" s="3245"/>
      <c r="U80" s="3245"/>
      <c r="V80" s="3245"/>
      <c r="W80" s="3245"/>
      <c r="X80" s="3245"/>
      <c r="Y80" s="3245"/>
      <c r="Z80" s="3246"/>
      <c r="AA80" s="3247"/>
      <c r="AB80" s="3247"/>
      <c r="AC80" s="3247"/>
      <c r="AD80" s="3247"/>
      <c r="AE80" s="3247"/>
      <c r="AF80" s="3247"/>
      <c r="AG80" s="3247"/>
    </row>
    <row r="81" spans="1:36" s="3421" customFormat="1" ht="12.75">
      <c r="A81" s="3253" t="s">
        <v>3674</v>
      </c>
      <c r="B81" s="3430">
        <f>SUMIF(A82:A85,E2,B82:B85)</f>
        <v>0.97419999999999995</v>
      </c>
      <c r="C81" s="3245"/>
      <c r="D81" s="3245"/>
      <c r="E81" s="3245"/>
      <c r="F81" s="3245"/>
      <c r="G81" s="3245"/>
      <c r="H81" s="3245"/>
      <c r="I81" s="3245"/>
      <c r="J81" s="3245"/>
      <c r="K81" s="3244"/>
      <c r="L81" s="3245"/>
      <c r="M81" s="3245"/>
      <c r="N81" s="3245"/>
      <c r="O81" s="3245"/>
      <c r="P81" s="3245"/>
      <c r="Q81" s="3245"/>
      <c r="R81" s="3245"/>
      <c r="S81" s="3245"/>
      <c r="T81" s="3245"/>
      <c r="U81" s="3245"/>
      <c r="V81" s="3245"/>
      <c r="W81" s="3245"/>
      <c r="X81" s="3245"/>
      <c r="Y81" s="3245"/>
      <c r="Z81" s="3246"/>
      <c r="AA81" s="3247"/>
      <c r="AB81" s="3247"/>
      <c r="AC81" s="3247"/>
      <c r="AD81" s="3247"/>
      <c r="AE81" s="3247"/>
      <c r="AF81" s="3247"/>
      <c r="AG81" s="3247"/>
    </row>
    <row r="82" spans="1:36" s="3421" customFormat="1" ht="12.75">
      <c r="A82" s="3441" t="s">
        <v>673</v>
      </c>
      <c r="B82" s="3430">
        <f>ROUND(0.892-0.0373*B80,4)</f>
        <v>0.81740000000000002</v>
      </c>
      <c r="C82" s="3245"/>
      <c r="D82" s="3245"/>
      <c r="E82" s="3245"/>
      <c r="F82" s="3245"/>
      <c r="G82" s="3245"/>
      <c r="H82" s="3245"/>
      <c r="I82" s="3245"/>
      <c r="J82" s="3245"/>
      <c r="K82" s="3244"/>
      <c r="L82" s="3245"/>
      <c r="M82" s="3245"/>
      <c r="N82" s="3245"/>
      <c r="O82" s="3245"/>
      <c r="P82" s="3245"/>
      <c r="Q82" s="3245"/>
      <c r="R82" s="3245"/>
      <c r="S82" s="3245"/>
      <c r="T82" s="3245"/>
      <c r="U82" s="3245"/>
      <c r="V82" s="3245"/>
      <c r="W82" s="3245"/>
      <c r="X82" s="3245"/>
      <c r="Y82" s="3245"/>
      <c r="Z82" s="3246"/>
      <c r="AA82" s="3247"/>
      <c r="AB82" s="3247"/>
      <c r="AC82" s="3247"/>
      <c r="AD82" s="3247"/>
      <c r="AE82" s="3247"/>
      <c r="AF82" s="3247"/>
      <c r="AG82" s="3247"/>
    </row>
    <row r="83" spans="1:36" s="3421" customFormat="1" ht="13.5">
      <c r="A83" s="3441" t="s">
        <v>3639</v>
      </c>
      <c r="B83" s="3430">
        <f>ROUND(1.007-0.0278*B80,4)</f>
        <v>0.95140000000000002</v>
      </c>
      <c r="C83" s="3245"/>
      <c r="D83" s="3245"/>
      <c r="E83" s="3245"/>
      <c r="F83" s="3245"/>
      <c r="G83" s="3245"/>
      <c r="H83" s="3245"/>
      <c r="I83" s="3245"/>
      <c r="J83" s="3245"/>
      <c r="K83" s="3244"/>
      <c r="L83" s="3440"/>
      <c r="M83" s="3440"/>
      <c r="N83" s="3245"/>
      <c r="O83" s="3245"/>
      <c r="P83" s="3245"/>
      <c r="Q83" s="3245"/>
      <c r="R83" s="3245"/>
      <c r="S83" s="3245"/>
      <c r="T83" s="3245"/>
      <c r="U83" s="3245"/>
      <c r="V83" s="3245"/>
      <c r="W83" s="3245"/>
      <c r="X83" s="3245"/>
      <c r="Y83" s="3245"/>
      <c r="Z83" s="3246"/>
      <c r="AA83" s="3247"/>
      <c r="AB83" s="3247"/>
      <c r="AC83" s="3247"/>
      <c r="AD83" s="3247"/>
      <c r="AE83" s="3247"/>
      <c r="AF83" s="3247"/>
      <c r="AG83" s="3247"/>
    </row>
    <row r="84" spans="1:36" ht="12.75">
      <c r="A84" s="3441" t="s">
        <v>3640</v>
      </c>
      <c r="B84" s="3430">
        <f>ROUND(1.018-0.0219*B80,4)</f>
        <v>0.97419999999999995</v>
      </c>
      <c r="K84" s="3245"/>
      <c r="AE84" s="3246"/>
      <c r="AF84" s="3246"/>
      <c r="AH84" s="3245"/>
      <c r="AI84" s="3245"/>
      <c r="AJ84" s="3245"/>
    </row>
    <row r="85" spans="1:36" s="3421" customFormat="1" ht="13.5" thickBot="1">
      <c r="A85" s="3442" t="s">
        <v>3675</v>
      </c>
      <c r="B85" s="3443">
        <f>ROUND(0.7275-0.01*B80,4)</f>
        <v>0.70750000000000002</v>
      </c>
      <c r="C85" s="3245"/>
      <c r="D85" s="3245"/>
      <c r="E85" s="3245"/>
      <c r="F85" s="3245"/>
      <c r="G85" s="3245"/>
      <c r="H85" s="3245"/>
      <c r="I85" s="3245"/>
      <c r="J85" s="3245"/>
      <c r="K85" s="3244"/>
      <c r="L85" s="3245"/>
      <c r="M85" s="3245"/>
      <c r="N85" s="3245"/>
      <c r="O85" s="3245"/>
      <c r="P85" s="3245"/>
      <c r="Q85" s="3245"/>
      <c r="R85" s="3245"/>
      <c r="S85" s="3245"/>
      <c r="T85" s="3245"/>
      <c r="U85" s="3245"/>
      <c r="V85" s="3245"/>
      <c r="W85" s="3245"/>
      <c r="X85" s="3245"/>
      <c r="Y85" s="3245"/>
      <c r="Z85" s="3246"/>
      <c r="AA85" s="3247"/>
      <c r="AB85" s="3247"/>
      <c r="AC85" s="3247"/>
      <c r="AD85" s="3247"/>
      <c r="AE85" s="3247"/>
      <c r="AF85" s="3247"/>
      <c r="AG85" s="3247"/>
    </row>
    <row r="86" spans="1:36">
      <c r="K86" s="3245"/>
      <c r="AE86" s="3246"/>
      <c r="AF86" s="3246"/>
      <c r="AH86" s="3245"/>
      <c r="AI86" s="3245"/>
      <c r="AJ86" s="3245"/>
    </row>
    <row r="87" spans="1:36" ht="12.75" thickBot="1">
      <c r="K87" s="3245"/>
      <c r="AE87" s="3246"/>
      <c r="AF87" s="3246"/>
      <c r="AH87" s="3245"/>
      <c r="AI87" s="3245"/>
      <c r="AJ87" s="3245"/>
    </row>
    <row r="88" spans="1:36" ht="14.25" thickBot="1">
      <c r="A88" s="3444" t="s">
        <v>675</v>
      </c>
      <c r="B88" s="3445" t="s">
        <v>144</v>
      </c>
      <c r="C88" s="3445" t="s">
        <v>184</v>
      </c>
      <c r="D88" s="3445" t="s">
        <v>296</v>
      </c>
      <c r="E88" s="3445" t="s">
        <v>110</v>
      </c>
      <c r="F88" s="3445" t="s">
        <v>303</v>
      </c>
      <c r="G88" s="3445" t="s">
        <v>29</v>
      </c>
      <c r="H88" s="3445" t="s">
        <v>304</v>
      </c>
      <c r="I88" s="3445" t="s">
        <v>305</v>
      </c>
      <c r="J88" s="3445" t="s">
        <v>306</v>
      </c>
      <c r="K88" s="3445" t="s">
        <v>307</v>
      </c>
      <c r="AE88" s="3246"/>
      <c r="AF88" s="3246"/>
      <c r="AH88" s="3245"/>
      <c r="AI88" s="3245"/>
      <c r="AJ88" s="3245"/>
    </row>
    <row r="89" spans="1:36" ht="13.5">
      <c r="A89" s="3446" t="s">
        <v>673</v>
      </c>
      <c r="B89" s="3447">
        <v>2</v>
      </c>
      <c r="C89" s="3447">
        <v>2</v>
      </c>
      <c r="D89" s="3447">
        <v>2</v>
      </c>
      <c r="E89" s="3447">
        <v>2</v>
      </c>
      <c r="F89" s="3447">
        <v>2</v>
      </c>
      <c r="G89" s="3447">
        <v>2</v>
      </c>
      <c r="H89" s="3448">
        <v>1</v>
      </c>
      <c r="I89" s="3448">
        <v>1</v>
      </c>
      <c r="J89" s="3448">
        <v>1</v>
      </c>
      <c r="K89" s="3448">
        <v>1</v>
      </c>
      <c r="AE89" s="3246"/>
      <c r="AF89" s="3246"/>
      <c r="AH89" s="3245"/>
      <c r="AI89" s="3245"/>
      <c r="AJ89" s="3245"/>
    </row>
    <row r="90" spans="1:36" ht="13.5">
      <c r="A90" s="3449" t="s">
        <v>3639</v>
      </c>
      <c r="B90" s="3450">
        <v>2</v>
      </c>
      <c r="C90" s="3450">
        <v>2</v>
      </c>
      <c r="D90" s="3450">
        <v>2</v>
      </c>
      <c r="E90" s="3450">
        <v>2</v>
      </c>
      <c r="F90" s="3450">
        <v>2</v>
      </c>
      <c r="G90" s="3450">
        <v>2</v>
      </c>
      <c r="H90" s="3451">
        <v>1</v>
      </c>
      <c r="I90" s="3451">
        <v>1</v>
      </c>
      <c r="J90" s="3451">
        <v>1</v>
      </c>
      <c r="K90" s="3451">
        <v>1</v>
      </c>
      <c r="AE90" s="3246"/>
      <c r="AF90" s="3246"/>
      <c r="AH90" s="3245"/>
      <c r="AI90" s="3245"/>
      <c r="AJ90" s="3245"/>
    </row>
    <row r="91" spans="1:36" ht="13.5">
      <c r="A91" s="3449" t="s">
        <v>3640</v>
      </c>
      <c r="B91" s="3450">
        <v>2</v>
      </c>
      <c r="C91" s="3450">
        <v>2</v>
      </c>
      <c r="D91" s="3450">
        <v>2</v>
      </c>
      <c r="E91" s="3450">
        <v>2</v>
      </c>
      <c r="F91" s="3450">
        <v>2</v>
      </c>
      <c r="G91" s="3450">
        <v>2</v>
      </c>
      <c r="H91" s="3451">
        <v>1</v>
      </c>
      <c r="I91" s="3451">
        <v>1</v>
      </c>
      <c r="J91" s="3451">
        <v>1</v>
      </c>
      <c r="K91" s="3451">
        <v>1</v>
      </c>
      <c r="AE91" s="3246"/>
      <c r="AF91" s="3246"/>
      <c r="AH91" s="3245"/>
      <c r="AI91" s="3245"/>
      <c r="AJ91" s="3245"/>
    </row>
    <row r="92" spans="1:36" ht="14.25" thickBot="1">
      <c r="A92" s="3452" t="s">
        <v>3</v>
      </c>
      <c r="B92" s="3453">
        <v>1</v>
      </c>
      <c r="C92" s="3453">
        <v>1</v>
      </c>
      <c r="D92" s="3453">
        <v>1</v>
      </c>
      <c r="E92" s="3453">
        <v>1</v>
      </c>
      <c r="F92" s="3453">
        <v>1</v>
      </c>
      <c r="G92" s="3453">
        <v>1</v>
      </c>
      <c r="H92" s="3453">
        <v>1</v>
      </c>
      <c r="I92" s="3453">
        <v>1</v>
      </c>
      <c r="J92" s="3453">
        <v>1</v>
      </c>
      <c r="K92" s="3453">
        <v>1</v>
      </c>
      <c r="AE92" s="3246"/>
      <c r="AF92" s="3246"/>
      <c r="AH92" s="3245"/>
      <c r="AI92" s="3245"/>
      <c r="AJ92" s="3245"/>
    </row>
    <row r="93" spans="1:36">
      <c r="K93" s="3245"/>
      <c r="AE93" s="3246"/>
      <c r="AF93" s="3246"/>
      <c r="AH93" s="3245"/>
      <c r="AI93" s="3245"/>
      <c r="AJ93" s="3245"/>
    </row>
  </sheetData>
  <sheetProtection password="CEE9" sheet="1" objects="1" scenarios="1" formatCells="0" formatColumns="0" formatRows="0"/>
  <mergeCells count="2">
    <mergeCell ref="A18:A19"/>
    <mergeCell ref="A20:A21"/>
  </mergeCells>
  <phoneticPr fontId="134" type="noConversion"/>
  <dataValidations count="9">
    <dataValidation type="list" allowBlank="1" showInputMessage="1" showErrorMessage="1" sqref="C42:C48 C51:C57 C60:C67 C70:C76" xr:uid="{57D6DC61-C081-40C8-A18D-B5DBAD463235}">
      <formula1>五等判定</formula1>
    </dataValidation>
    <dataValidation type="list" allowBlank="1" showInputMessage="1" showErrorMessage="1" sqref="D22" xr:uid="{F9935FCF-1993-464F-B0D9-5647D4C1C71A}">
      <formula1>"四环路外,四环路内"</formula1>
    </dataValidation>
    <dataValidation type="list" allowBlank="1" showInputMessage="1" showErrorMessage="1" sqref="F16" xr:uid="{DB7A862D-A37A-460A-A78A-74C030D50DCD}">
      <formula1>"三通一平,四通一平,五通一平,六通一平,七通一平"</formula1>
    </dataValidation>
    <dataValidation type="list" allowBlank="1" showInputMessage="1" showErrorMessage="1" sqref="D11" xr:uid="{F83A6E01-DDA4-4EA1-90B9-3FCC1B467EA7}">
      <formula1>"市区,郊区"</formula1>
    </dataValidation>
    <dataValidation type="list" allowBlank="1" showInputMessage="1" showErrorMessage="1" sqref="F10" xr:uid="{6D4687C6-BEB8-45B2-A447-6245E752DB6A}">
      <formula1>"剩余土地使用年限,剩余土地使用年限（设定）"</formula1>
    </dataValidation>
    <dataValidation type="list" allowBlank="1" showInputMessage="1" showErrorMessage="1" sqref="E3" xr:uid="{DD18303D-EF16-4A69-B1B3-109946D086D8}">
      <formula1>二级分类</formula1>
    </dataValidation>
    <dataValidation type="list" allowBlank="1" showInputMessage="1" showErrorMessage="1" sqref="I2" xr:uid="{77E44A28-ECAF-4AE9-8FBA-61C3B5987CF8}">
      <formula1>"地上,地下"</formula1>
    </dataValidation>
    <dataValidation type="list" allowBlank="1" showInputMessage="1" showErrorMessage="1" sqref="C25" xr:uid="{A09BB67A-AFE5-4731-B8EB-F4DA268BB874}">
      <formula1>季度2002</formula1>
    </dataValidation>
    <dataValidation type="list" allowBlank="1" showInputMessage="1" showErrorMessage="1" sqref="F3" xr:uid="{9908B128-92F8-4923-B8BB-397E0061C487}">
      <formula1>"容积率,设定容积率"</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7" zoomScaleNormal="70" zoomScaleSheetLayoutView="100" workbookViewId="0">
      <selection activeCell="C51" sqref="C5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3375</v>
      </c>
      <c r="C1" s="1716" t="s">
        <v>1563</v>
      </c>
      <c r="D1" s="190"/>
      <c r="E1" s="190"/>
      <c r="F1" s="190"/>
      <c r="G1" s="1062">
        <f>MATCH(B1,'数据-取费表'!A6:A16,0)+5</f>
        <v>6</v>
      </c>
      <c r="H1" s="998" t="str">
        <f>IF(ISERROR(FIND("住宅",B1)),"非住宅","住宅")</f>
        <v>住宅</v>
      </c>
    </row>
    <row r="2" spans="1:8" s="192" customFormat="1" ht="18" customHeight="1">
      <c r="A2" s="193" t="s">
        <v>1462</v>
      </c>
      <c r="B2" s="3118">
        <f ca="1">ROUND(IF(D2="——",C52/10000,C52/10000-E2),4)</f>
        <v>259.57049999999998</v>
      </c>
      <c r="C2" s="191" t="s">
        <v>1463</v>
      </c>
      <c r="D2" s="1710" t="s">
        <v>43</v>
      </c>
      <c r="E2" s="1089">
        <f ca="1">SUMIF(INDIRECT("'"&amp;G2&amp;"'"&amp;"!A:A"),"承租人权益价值",INDIRECT("'"&amp;G2&amp;"'"&amp;"!c:c"))</f>
        <v>0</v>
      </c>
      <c r="F2" s="1711" t="s">
        <v>1463</v>
      </c>
      <c r="G2" s="1712" t="s">
        <v>3580</v>
      </c>
    </row>
    <row r="3" spans="1:8" s="192" customFormat="1" ht="18" customHeight="1" thickBot="1">
      <c r="A3" s="195" t="s">
        <v>1464</v>
      </c>
      <c r="B3" s="196">
        <f ca="1">ROUND(B2*10000/(IF(B1="",'数据-汇总表'!E3,INDIRECT("'数据-取费表'!k"&amp;$G$1))),0)</f>
        <v>12690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1315946</v>
      </c>
      <c r="D5" s="203" t="s">
        <v>1469</v>
      </c>
      <c r="E5" s="204" t="s">
        <v>1470</v>
      </c>
      <c r="F5" s="204" t="s">
        <v>1471</v>
      </c>
      <c r="G5" s="205"/>
    </row>
    <row r="6" spans="1:8" s="206" customFormat="1" ht="13.5" customHeight="1">
      <c r="A6" s="732" t="s">
        <v>1472</v>
      </c>
      <c r="B6" s="207" t="s">
        <v>1473</v>
      </c>
      <c r="C6" s="208">
        <f>ROUND(6088*'数据-取费表'!K6,0)</f>
        <v>1245240</v>
      </c>
      <c r="D6" s="209"/>
      <c r="E6" s="210"/>
      <c r="F6" s="210"/>
      <c r="G6" s="211"/>
    </row>
    <row r="7" spans="1:8" s="206" customFormat="1" ht="13.5" customHeight="1">
      <c r="A7" s="732" t="s">
        <v>1474</v>
      </c>
      <c r="B7" s="207" t="s">
        <v>1475</v>
      </c>
      <c r="C7" s="212">
        <f>ROUND(C6*F7,0)</f>
        <v>37980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32726</v>
      </c>
      <c r="D8" s="214"/>
      <c r="E8" s="212"/>
      <c r="F8" s="213"/>
      <c r="G8" s="1713" t="s">
        <v>3397</v>
      </c>
    </row>
    <row r="9" spans="1:8" s="206" customFormat="1" ht="13.5" customHeight="1">
      <c r="A9" s="733" t="s">
        <v>355</v>
      </c>
      <c r="B9" s="216" t="s">
        <v>1478</v>
      </c>
      <c r="C9" s="217">
        <f ca="1">ROUND(D9*E9,0)</f>
        <v>32726</v>
      </c>
      <c r="D9" s="795">
        <f ca="1">IF(B1="",'数据-汇总表'!E5,IF(INDIRECT("'数据-取费表'!c"&amp;$G$1)="住宅",INDIRECT("'数据-取费表'!k"&amp;$G$1),0))</f>
        <v>204.54</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204.54</v>
      </c>
      <c r="E19" s="203">
        <f>'数据-取费表'!B31</f>
        <v>200</v>
      </c>
      <c r="F19" s="223"/>
      <c r="G19" s="1713" t="s">
        <v>3398</v>
      </c>
    </row>
    <row r="20" spans="1:7" s="206" customFormat="1" ht="13.5" customHeight="1">
      <c r="A20" s="247" t="s">
        <v>1574</v>
      </c>
      <c r="B20" s="202" t="s">
        <v>1575</v>
      </c>
      <c r="C20" s="224">
        <f ca="1">ROUND((C5+C19)*F20,0)</f>
        <v>26319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77753</v>
      </c>
      <c r="D22" s="227">
        <f ca="1">C26</f>
        <v>5.9999999999999995E-4</v>
      </c>
      <c r="E22" s="228" t="s">
        <v>1579</v>
      </c>
      <c r="F22" s="229">
        <f ca="1">'数据-取费表'!B40</f>
        <v>5.8499999999999996E-2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76983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268453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268453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1834497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600837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511350</v>
      </c>
      <c r="D34" s="209"/>
      <c r="E34" s="212"/>
      <c r="F34" s="249"/>
      <c r="G34" s="211"/>
    </row>
    <row r="35" spans="1:7" ht="13.5" customHeight="1">
      <c r="A35" s="734" t="s">
        <v>351</v>
      </c>
      <c r="B35" s="207" t="s">
        <v>1527</v>
      </c>
      <c r="C35" s="212">
        <f ca="1">ROUND(C34*F35,0)</f>
        <v>15341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25568</v>
      </c>
      <c r="D36" s="212"/>
      <c r="E36" s="212"/>
      <c r="F36" s="251">
        <f>'数据-取费表'!B34</f>
        <v>0.05</v>
      </c>
      <c r="G36" s="252" t="s">
        <v>1530</v>
      </c>
    </row>
    <row r="37" spans="1:7" s="250" customFormat="1" ht="13.5" customHeight="1">
      <c r="A37" s="734" t="s">
        <v>353</v>
      </c>
      <c r="B37" s="207" t="s">
        <v>1531</v>
      </c>
      <c r="C37" s="241">
        <f ca="1">ROUND(E37*D37,0)</f>
        <v>40908</v>
      </c>
      <c r="D37" s="209">
        <f ca="1">D19</f>
        <v>204.54</v>
      </c>
      <c r="E37" s="241">
        <f>'数据-取费表'!B35</f>
        <v>200</v>
      </c>
      <c r="F37" s="251"/>
      <c r="G37" s="253"/>
    </row>
    <row r="38" spans="1:7" ht="13.5" customHeight="1">
      <c r="A38" s="734" t="s">
        <v>354</v>
      </c>
      <c r="B38" s="207" t="s">
        <v>1533</v>
      </c>
      <c r="C38" s="212">
        <f ca="1">ROUND(C34*F38,0)</f>
        <v>7670</v>
      </c>
      <c r="D38" s="212"/>
      <c r="E38" s="212"/>
      <c r="F38" s="251">
        <f>'数据-取费表'!B36</f>
        <v>1.4999999999999999E-2</v>
      </c>
      <c r="G38" s="211" t="s">
        <v>1528</v>
      </c>
    </row>
    <row r="39" spans="1:7" s="206" customFormat="1" ht="13.5" customHeight="1">
      <c r="A39" s="247" t="s">
        <v>1534</v>
      </c>
      <c r="B39" s="202" t="s">
        <v>1535</v>
      </c>
      <c r="C39" s="224">
        <f ca="1">ROUND(C33*F20,0)</f>
        <v>12017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17925</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17574</v>
      </c>
      <c r="D42" s="230"/>
      <c r="E42" s="230"/>
      <c r="F42" s="231"/>
      <c r="G42" s="3636" t="s">
        <v>1591</v>
      </c>
    </row>
    <row r="43" spans="1:7" ht="13.5" customHeight="1">
      <c r="A43" s="734" t="s">
        <v>347</v>
      </c>
      <c r="B43" s="207" t="s">
        <v>1545</v>
      </c>
      <c r="C43" s="230">
        <f ca="1">ROUND(IF('数据-取费表'!B22&lt;=1,C39*F22*'数据-取费表'!B20/2,C39*(POWER((1+F22),'数据-取费表'!B20/2)-1)),0)</f>
        <v>351</v>
      </c>
      <c r="D43" s="230"/>
      <c r="E43" s="230"/>
      <c r="F43" s="231"/>
      <c r="G43" s="3637"/>
    </row>
    <row r="44" spans="1:7" ht="13.5" customHeight="1">
      <c r="A44" s="734" t="s">
        <v>348</v>
      </c>
      <c r="B44" s="207" t="s">
        <v>1546</v>
      </c>
      <c r="C44" s="230">
        <f ca="1">ROUND(IF('数据-取费表'!B22&lt;=1,C40*F22*'数据-取费表'!B20/2,C40*(POWER((1+F22),'数据-取费表'!B20/2)-1)),4)</f>
        <v>5.9999999999999995E-4</v>
      </c>
      <c r="D44" s="230"/>
      <c r="E44" s="230"/>
      <c r="F44" s="231"/>
      <c r="G44" s="3638"/>
    </row>
    <row r="45" spans="1:7" s="206" customFormat="1" ht="13.5" customHeight="1">
      <c r="A45" s="247" t="s">
        <v>1547</v>
      </c>
      <c r="B45" s="236" t="s">
        <v>1513</v>
      </c>
      <c r="C45" s="237">
        <f ca="1">C46</f>
        <v>122571</v>
      </c>
      <c r="D45" s="227">
        <f ca="1">C47</f>
        <v>4.0000000000000001E-3</v>
      </c>
      <c r="E45" s="228" t="s">
        <v>1539</v>
      </c>
      <c r="F45" s="238">
        <f ca="1">F27</f>
        <v>0.2</v>
      </c>
      <c r="G45" s="239" t="s">
        <v>1548</v>
      </c>
    </row>
    <row r="46" spans="1:7" s="206" customFormat="1" ht="13.5" customHeight="1">
      <c r="A46" s="734" t="s">
        <v>346</v>
      </c>
      <c r="B46" s="240" t="s">
        <v>1549</v>
      </c>
      <c r="C46" s="241">
        <f ca="1">ROUND((C33+C39)*F27,0)</f>
        <v>122571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818503</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761208</v>
      </c>
      <c r="D51" s="224"/>
      <c r="E51" s="224"/>
      <c r="F51" s="256"/>
      <c r="G51" s="226" t="s">
        <v>1560</v>
      </c>
    </row>
    <row r="52" spans="1:7" s="200" customFormat="1" ht="16.5" thickBot="1">
      <c r="A52" s="257" t="s">
        <v>1561</v>
      </c>
      <c r="B52" s="258"/>
      <c r="C52" s="259">
        <f ca="1">C31+C51</f>
        <v>2595705</v>
      </c>
      <c r="D52" s="258"/>
      <c r="E52" s="258"/>
      <c r="F52" s="258"/>
      <c r="G52" s="260"/>
    </row>
    <row r="55" spans="1:7" ht="15">
      <c r="B55" s="262" t="s">
        <v>1562</v>
      </c>
      <c r="C55" s="263"/>
    </row>
    <row r="56" spans="1:7">
      <c r="B56" s="265" t="s">
        <v>802</v>
      </c>
      <c r="C56" s="267">
        <f ca="1">1-C57</f>
        <v>0.70700000000000007</v>
      </c>
    </row>
    <row r="57" spans="1:7">
      <c r="B57" s="265" t="s">
        <v>803</v>
      </c>
      <c r="C57" s="266">
        <f ca="1">ROUND(C51/C52,3)</f>
        <v>0.29299999999999998</v>
      </c>
    </row>
  </sheetData>
  <sheetProtection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1923</v>
      </c>
      <c r="B1" s="189"/>
      <c r="C1" s="193" t="s">
        <v>1924</v>
      </c>
      <c r="D1" s="333">
        <f>SUM(D33:D34,D37:D42)</f>
        <v>204.54</v>
      </c>
      <c r="E1" s="1838"/>
      <c r="F1" s="1838"/>
      <c r="G1" s="1838"/>
      <c r="H1" s="1838"/>
      <c r="I1" s="1838"/>
      <c r="J1" s="1838"/>
      <c r="K1" s="1056"/>
      <c r="L1" s="1839" t="s">
        <v>1925</v>
      </c>
      <c r="M1" s="810">
        <f>SUMPRODUCT((区片价!B5:B9=I2)*(区片价!C3:G3=E2)*(区片价!C5:G9))</f>
        <v>0</v>
      </c>
      <c r="N1" s="813">
        <f>SUMPRODUCT((因素修正幅度!B5:B9=I2)*(因素修正幅度!C3:G3=E2)*(因素修正幅度!C5:G9))</f>
        <v>0</v>
      </c>
      <c r="O1" s="1840"/>
      <c r="P1" s="1840"/>
      <c r="Q1" s="1056"/>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3" t="s">
        <v>1931</v>
      </c>
      <c r="B2" s="196">
        <f>C30</f>
        <v>0</v>
      </c>
      <c r="C2" s="1842" t="s">
        <v>1932</v>
      </c>
      <c r="D2" s="162" t="s">
        <v>1933</v>
      </c>
      <c r="E2" s="3116" t="s">
        <v>3375</v>
      </c>
      <c r="F2" s="162" t="s">
        <v>1934</v>
      </c>
      <c r="G2" s="163" t="str">
        <f>IF(E2="商业",项目基本情况!B37,IF(E2="办公",项目基本情况!C37,IF(E2="住宅",项目基本情况!D37,IF(E2="工业",项目基本情况!E37,项目基本情况!F37))))</f>
        <v>二级</v>
      </c>
      <c r="H2" s="162" t="s">
        <v>1935</v>
      </c>
      <c r="I2" s="163" t="str">
        <f>IF(E2="商业",项目基本情况!B38,IF(E2="办公",项目基本情况!C38,IF(E2="住宅",项目基本情况!D38,IF(E2="工业",项目基本情况!E38,项目基本情况!F38))))</f>
        <v>Ⅱ—15</v>
      </c>
      <c r="J2" s="1838"/>
      <c r="K2" s="1056"/>
      <c r="L2" s="1843" t="s">
        <v>1936</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1937</v>
      </c>
      <c r="B3" s="196">
        <f>ROUND(B2*10000/D1,0)</f>
        <v>0</v>
      </c>
      <c r="C3" s="1842" t="s">
        <v>1938</v>
      </c>
      <c r="D3" s="162" t="s">
        <v>1939</v>
      </c>
      <c r="E3" s="3114" t="s">
        <v>3392</v>
      </c>
      <c r="F3" s="1844" t="s">
        <v>3393</v>
      </c>
      <c r="G3" s="708">
        <f>IF(F3="宗地容积率",'数据-汇总表'!I4,IF(F3="估价对象容积率",'数据-汇总表'!I6,'数据-汇总表'!I7))</f>
        <v>3.35</v>
      </c>
      <c r="H3" s="162" t="s">
        <v>1940</v>
      </c>
      <c r="I3" s="729"/>
      <c r="J3" s="1838" t="s">
        <v>1941</v>
      </c>
      <c r="K3" s="1056"/>
      <c r="L3" s="1843" t="s">
        <v>1942</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751"/>
      <c r="B4" s="3752"/>
      <c r="C4" s="3752"/>
      <c r="D4" s="3753"/>
      <c r="E4" s="3753"/>
      <c r="F4" s="3753"/>
      <c r="G4" s="3753"/>
      <c r="H4" s="3753"/>
      <c r="I4" s="3753"/>
      <c r="J4" s="3754"/>
      <c r="K4" s="1056"/>
      <c r="L4" s="1843" t="s">
        <v>1943</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1944</v>
      </c>
      <c r="C5" s="709">
        <f>ROUND(IF(E2="商业",C6*C7*C17+C20,(IF(E2="住宅",C6*C13*C17+C20,IF(E2="办公",C6*C12*C17+C20,C6+C20)))),0)</f>
        <v>33726</v>
      </c>
      <c r="D5" s="1251">
        <f>ROUND(C6*C17+C20,0)</f>
        <v>32120</v>
      </c>
      <c r="E5" s="1251"/>
      <c r="F5" s="1847"/>
      <c r="G5" s="1848"/>
      <c r="H5" s="1848"/>
      <c r="I5" s="1848"/>
      <c r="J5" s="1849"/>
      <c r="K5" s="1850"/>
      <c r="L5" s="1843" t="s">
        <v>1945</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1946</v>
      </c>
      <c r="B6" s="1856" t="s">
        <v>1947</v>
      </c>
      <c r="C6" s="710">
        <f>SUMIF(L1:L12,G2,M1:M12)</f>
        <v>32120</v>
      </c>
      <c r="D6" s="1857"/>
      <c r="E6" s="1858"/>
      <c r="F6" s="1858"/>
      <c r="G6" s="1859"/>
      <c r="H6" s="1859"/>
      <c r="I6" s="1859"/>
      <c r="J6" s="1860"/>
      <c r="K6" s="1291"/>
      <c r="L6" s="1843" t="s">
        <v>1948</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1949</v>
      </c>
      <c r="C7" s="711" t="e">
        <f>IF(C8="不临65条商业街",1,ROUND(1+(1.6*E8+1.2*E9+0.8*E10+0.4*E11)*C9,4))</f>
        <v>#DIV/0!</v>
      </c>
      <c r="D7" s="1862" t="s">
        <v>1950</v>
      </c>
      <c r="E7" s="730"/>
      <c r="F7" s="1863"/>
      <c r="G7" s="1864"/>
      <c r="H7" s="1864"/>
      <c r="I7" s="1864"/>
      <c r="J7" s="1865"/>
      <c r="K7" s="1291"/>
      <c r="L7" s="1843" t="s">
        <v>1951</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1952</v>
      </c>
      <c r="X7" s="1130" t="str">
        <f>G2</f>
        <v>二级</v>
      </c>
      <c r="Y7" s="1130" t="s">
        <v>1953</v>
      </c>
      <c r="Z7" s="1131">
        <f>G3</f>
        <v>3.35</v>
      </c>
      <c r="AA7" s="1132"/>
      <c r="AB7" s="1132"/>
      <c r="AC7" s="1133"/>
      <c r="AD7" s="1134"/>
      <c r="AE7" s="1134"/>
      <c r="AF7" s="1134"/>
      <c r="AG7" s="1134"/>
      <c r="AH7" s="1134"/>
      <c r="AI7" s="1134"/>
      <c r="AJ7" s="1135"/>
    </row>
    <row r="8" spans="1:36" ht="15">
      <c r="A8" s="3005"/>
      <c r="B8" s="162" t="s">
        <v>1954</v>
      </c>
      <c r="C8" s="1866"/>
      <c r="D8" s="712" t="s">
        <v>112</v>
      </c>
      <c r="E8" s="713" t="e">
        <f>ROUND(C11/E7,4)</f>
        <v>#DIV/0!</v>
      </c>
      <c r="F8" s="1867" t="s">
        <v>1955</v>
      </c>
      <c r="G8" s="1868"/>
      <c r="H8" s="1868"/>
      <c r="I8" s="1868"/>
      <c r="J8" s="1869"/>
      <c r="K8" s="1056"/>
      <c r="L8" s="1843" t="s">
        <v>1956</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748" t="s">
        <v>1957</v>
      </c>
      <c r="X8" s="3749"/>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5"/>
      <c r="B9" s="162" t="s">
        <v>1970</v>
      </c>
      <c r="C9" s="714">
        <f>SUMIF(修正!C71:C138,C8,修正!E71:E138)</f>
        <v>0</v>
      </c>
      <c r="D9" s="163" t="s">
        <v>113</v>
      </c>
      <c r="E9" s="163" t="e">
        <f>ROUND(C11/E7,4)</f>
        <v>#DIV/0!</v>
      </c>
      <c r="F9" s="1867" t="s">
        <v>1971</v>
      </c>
      <c r="G9" s="1868"/>
      <c r="H9" s="1868"/>
      <c r="I9" s="1868"/>
      <c r="J9" s="1869"/>
      <c r="K9" s="1056"/>
      <c r="L9" s="1843" t="s">
        <v>1972</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750"/>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67" t="s">
        <v>1974</v>
      </c>
      <c r="G10" s="1868"/>
      <c r="H10" s="1868"/>
      <c r="I10" s="1868"/>
      <c r="J10" s="1869"/>
      <c r="K10" s="1056"/>
      <c r="L10" s="1843" t="s">
        <v>1975</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75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1976</v>
      </c>
      <c r="C11" s="715">
        <f>C10/4</f>
        <v>0</v>
      </c>
      <c r="D11" s="715" t="s">
        <v>115</v>
      </c>
      <c r="E11" s="715" t="e">
        <f>ROUND(C11/E7,4)</f>
        <v>#DIV/0!</v>
      </c>
      <c r="F11" s="1871" t="s">
        <v>1977</v>
      </c>
      <c r="G11" s="1872"/>
      <c r="H11" s="1872"/>
      <c r="I11" s="1872"/>
      <c r="J11" s="1873"/>
      <c r="K11" s="1056"/>
      <c r="L11" s="1843" t="s">
        <v>1978</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2" t="s">
        <v>1981</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1979</v>
      </c>
      <c r="C13" s="711">
        <f>ROUND(C16*D16*E16*F16*G16*H16*I16*J16,4)</f>
        <v>1.05</v>
      </c>
      <c r="D13" s="1875" t="s">
        <v>1980</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1982</v>
      </c>
      <c r="C14" s="1880" t="s">
        <v>1983</v>
      </c>
      <c r="D14" s="1260" t="s">
        <v>1984</v>
      </c>
      <c r="E14" s="27" t="s">
        <v>1985</v>
      </c>
      <c r="F14" s="3016" t="s">
        <v>3243</v>
      </c>
      <c r="G14" s="3016" t="s">
        <v>3243</v>
      </c>
      <c r="H14" s="3016" t="s">
        <v>3243</v>
      </c>
      <c r="I14" s="3016" t="s">
        <v>3243</v>
      </c>
      <c r="J14" s="3016" t="s">
        <v>3243</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3244</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1986</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3248</v>
      </c>
      <c r="E18" s="2352"/>
      <c r="F18" s="3026" t="s">
        <v>3251</v>
      </c>
      <c r="G18" s="3030">
        <f>ROUND(1-(1/(POWER(1+G24,E18))),4)</f>
        <v>0</v>
      </c>
      <c r="H18" s="3026" t="s">
        <v>3253</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3249</v>
      </c>
      <c r="E19" s="3039"/>
      <c r="F19" s="3040" t="s">
        <v>3252</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755" t="s">
        <v>3254</v>
      </c>
      <c r="B20" s="159" t="s">
        <v>1991</v>
      </c>
      <c r="C20" s="3027">
        <f>ROUND(IF(F21="与级别开发程度一致",0,(G21-E21)/C21),0)</f>
        <v>0</v>
      </c>
      <c r="D20" s="3042" t="s">
        <v>1995</v>
      </c>
      <c r="E20" s="3043"/>
      <c r="F20" s="3761" t="s">
        <v>1992</v>
      </c>
      <c r="G20" s="3762"/>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756"/>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1997</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1998</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1999</v>
      </c>
      <c r="E23" s="717">
        <v>44197</v>
      </c>
      <c r="F23" s="1892" t="s">
        <v>2000</v>
      </c>
      <c r="G23" s="718">
        <f>'数据-取费表'!B2</f>
        <v>38867</v>
      </c>
      <c r="H23" s="3044" t="s">
        <v>3256</v>
      </c>
      <c r="I23" s="3045" t="str">
        <f>IF(H23="季度增幅（自定义）",SUMIF(N25:N28,E2,O25:O28),"")</f>
        <v/>
      </c>
      <c r="J23" s="3137" t="s">
        <v>3255</v>
      </c>
      <c r="K23" s="1061"/>
      <c r="L23" s="1893" t="s">
        <v>2001</v>
      </c>
      <c r="M23" s="1240">
        <f>ROUND(SUMIF(地价!B2:G2,E2,地价!B16:G16),0)</f>
        <v>687</v>
      </c>
      <c r="N23" s="1894" t="s">
        <v>2002</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2003</v>
      </c>
      <c r="C24" s="720">
        <f>ROUND(POWER(1+G24,J24-I24)*(POWER(1+G24,I24)-1)/(POWER(1+G24,J24)-1),4)</f>
        <v>1</v>
      </c>
      <c r="D24" s="1898" t="s">
        <v>2004</v>
      </c>
      <c r="E24" s="1247">
        <f>存贷款利率!E22/100</f>
        <v>4.3499999999999997E-2</v>
      </c>
      <c r="F24" s="1898" t="s">
        <v>1996</v>
      </c>
      <c r="G24" s="724">
        <f>SUMIF(M30:Q30,E2,M33:Q33)</f>
        <v>0.05</v>
      </c>
      <c r="H24" s="1898" t="s">
        <v>2005</v>
      </c>
      <c r="I24" s="725">
        <f>SUMIF('数据-取费表'!C6:C15,E2,'数据-取费表'!F6:F15)/COUNTIF('数据-取费表'!C6:C15,E2)</f>
        <v>70</v>
      </c>
      <c r="J24" s="726">
        <f>IF(E2="住宅",70,IF(E2="商业",40,50))</f>
        <v>70</v>
      </c>
      <c r="K24" s="1061"/>
      <c r="L24" s="1899" t="s">
        <v>2006</v>
      </c>
      <c r="M24" s="1241">
        <f>ROUND(SUMPRODUCT((地价!A4:A16=YEAR(G23)&amp;"-"&amp;ROUNDUP(MONTH(G23)/3,0))*(地价!B2:G2=E2)*(地价!B4:G16)),0)</f>
        <v>0</v>
      </c>
      <c r="N24" s="1900" t="s">
        <v>2007</v>
      </c>
      <c r="O24" s="1901" t="s">
        <v>2008</v>
      </c>
      <c r="P24" s="1902" t="s">
        <v>2009</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3335</v>
      </c>
      <c r="C25" s="461">
        <f>IF(B25="容积率修正",IF(G3&lt;10,D26,J26),C27)</f>
        <v>0.95130000000000003</v>
      </c>
      <c r="D25" s="1905"/>
      <c r="E25" s="1905"/>
      <c r="F25" s="1905"/>
      <c r="G25" s="1905"/>
      <c r="H25" s="1905"/>
      <c r="I25" s="1905"/>
      <c r="J25" s="1906"/>
      <c r="K25" s="1061"/>
      <c r="L25" s="2548"/>
      <c r="M25" s="2548"/>
      <c r="N25" s="1907"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2011</v>
      </c>
      <c r="B26" s="1908" t="s">
        <v>2012</v>
      </c>
      <c r="C26" s="1908" t="s">
        <v>3257</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3258</v>
      </c>
      <c r="J26" s="374" t="str">
        <f>IF(G3&gt;=10,D115,"——")</f>
        <v>——</v>
      </c>
      <c r="K26" s="1061"/>
      <c r="L26" s="2548"/>
      <c r="M26" s="2548"/>
      <c r="N26" s="1907" t="s">
        <v>2013</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2014</v>
      </c>
      <c r="B27" s="1909" t="s">
        <v>2015</v>
      </c>
      <c r="C27" s="791">
        <f>ROUND(IF(I3&lt;6,SUMPRODUCT((B106:B110=I3)*(C105:N105=G2)*(C106:N110)),SUMIF(C105:N105,G2,C112:N112)),4)</f>
        <v>0</v>
      </c>
      <c r="D27" s="1838"/>
      <c r="E27" s="1838"/>
      <c r="F27" s="1910"/>
      <c r="G27" s="1911"/>
      <c r="H27" s="1912"/>
      <c r="I27" s="1913"/>
      <c r="J27" s="1914"/>
      <c r="K27" s="1056"/>
      <c r="L27" s="1840"/>
      <c r="M27" s="1840"/>
      <c r="N27" s="1907" t="s">
        <v>2016</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2017</v>
      </c>
      <c r="C28" s="716">
        <f>SUMIF(A47:A101,E2,B47:B101)</f>
        <v>1.0448999999999999</v>
      </c>
      <c r="D28" s="1890"/>
      <c r="E28" s="1915"/>
      <c r="F28" s="1915"/>
      <c r="G28" s="1915"/>
      <c r="H28" s="1915"/>
      <c r="I28" s="1915"/>
      <c r="J28" s="1916"/>
      <c r="K28" s="1061"/>
      <c r="L28" s="2548"/>
      <c r="M28" s="2548"/>
      <c r="N28" s="1917"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2019</v>
      </c>
      <c r="C29" s="721"/>
      <c r="D29" s="1864"/>
      <c r="E29" s="1864"/>
      <c r="F29" s="1919"/>
      <c r="G29" s="1864"/>
      <c r="H29" s="1864"/>
      <c r="I29" s="1864"/>
      <c r="J29" s="1865"/>
      <c r="K29" s="1056"/>
      <c r="L29" s="1840"/>
      <c r="M29" s="1840"/>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2021</v>
      </c>
      <c r="C30" s="2141">
        <f>IF(B25="容积率修正",E33+SUM(E37:E42),SUM(V2:V16)+SUM(E37:E42))</f>
        <v>0</v>
      </c>
      <c r="D30" s="1921"/>
      <c r="E30" s="1838"/>
      <c r="F30" s="1922"/>
      <c r="G30" s="1838"/>
      <c r="H30" s="1838"/>
      <c r="I30" s="1838"/>
      <c r="J30" s="1923"/>
      <c r="K30" s="1056"/>
      <c r="L30" s="3051" t="s">
        <v>1933</v>
      </c>
      <c r="M30" s="3052" t="s">
        <v>1987</v>
      </c>
      <c r="N30" s="3052" t="s">
        <v>1988</v>
      </c>
      <c r="O30" s="3052" t="s">
        <v>1989</v>
      </c>
      <c r="P30" s="3052" t="s">
        <v>1990</v>
      </c>
      <c r="Q30" s="3055" t="s">
        <v>3262</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2022</v>
      </c>
      <c r="C31" s="722">
        <f>E34+SUM(I37:I42)</f>
        <v>0</v>
      </c>
      <c r="D31" s="1925"/>
      <c r="E31" s="1926"/>
      <c r="F31" s="1927"/>
      <c r="G31" s="1926"/>
      <c r="H31" s="1926"/>
      <c r="I31" s="1926"/>
      <c r="J31" s="1928"/>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2023</v>
      </c>
      <c r="C32" s="1931" t="s">
        <v>2024</v>
      </c>
      <c r="D32" s="1931" t="s">
        <v>2025</v>
      </c>
      <c r="E32" s="1932" t="s">
        <v>2026</v>
      </c>
      <c r="F32" s="1933"/>
      <c r="G32" s="1877"/>
      <c r="H32" s="1877"/>
      <c r="I32" s="1877"/>
      <c r="J32" s="1878"/>
      <c r="K32" s="1056"/>
      <c r="L32" s="3054" t="s">
        <v>1996</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2027</v>
      </c>
      <c r="C33" s="167">
        <f>ROUND(C5*C22*C23*C24*C25*C28,0)</f>
        <v>0</v>
      </c>
      <c r="D33" s="1936">
        <f>'数据-汇总表'!F19</f>
        <v>204.54</v>
      </c>
      <c r="E33" s="727">
        <f>ROUND(C33*D33/10000,0)</f>
        <v>0</v>
      </c>
      <c r="F33" s="3046" t="s">
        <v>3260</v>
      </c>
      <c r="G33" s="1937"/>
      <c r="H33" s="1937"/>
      <c r="I33" s="1937"/>
      <c r="J33" s="1938"/>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2028</v>
      </c>
      <c r="C34" s="179">
        <f>ROUND(IF(E2="工业",C33*M42,IF(B25="楼层修正",SUM(V2:V16)*M41*10000/D34,C33*M41)),0)</f>
        <v>0</v>
      </c>
      <c r="D34" s="1941"/>
      <c r="E34" s="727">
        <f>ROUND(IF(B25="楼层修正",SUM(V2:V16)*M40,C34*D34/10000),0)</f>
        <v>0</v>
      </c>
      <c r="F34" s="1942" t="s">
        <v>2029</v>
      </c>
      <c r="G34" s="1943"/>
      <c r="H34" s="1943"/>
      <c r="I34" s="1943"/>
      <c r="J34" s="1944"/>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2030</v>
      </c>
      <c r="C35" s="3047" t="s">
        <v>3261</v>
      </c>
      <c r="D35" s="1877"/>
      <c r="E35" s="1947"/>
      <c r="F35" s="1947"/>
      <c r="G35" s="1875" t="s">
        <v>2031</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2024</v>
      </c>
      <c r="D36" s="433" t="s">
        <v>2025</v>
      </c>
      <c r="E36" s="433" t="s">
        <v>2026</v>
      </c>
      <c r="F36" s="333" t="s">
        <v>2032</v>
      </c>
      <c r="G36" s="1950" t="s">
        <v>2024</v>
      </c>
      <c r="H36" s="1950" t="s">
        <v>2025</v>
      </c>
      <c r="I36" s="1950" t="s">
        <v>2026</v>
      </c>
      <c r="J36" s="235"/>
      <c r="K36" s="1960" t="s">
        <v>3265</v>
      </c>
      <c r="L36" s="3138">
        <f ca="1">'数据-取费表'!B40</f>
        <v>5.8499999999999996E-2</v>
      </c>
      <c r="M36" s="2361">
        <f ca="1">ROUND($L$36*(1+M31),3)</f>
        <v>7.2999999999999995E-2</v>
      </c>
      <c r="N36" s="2361">
        <f ca="1">ROUND($L$36*(1+N31),3)</f>
        <v>7.0000000000000007E-2</v>
      </c>
      <c r="O36" s="2361">
        <f ca="1">ROUND($L$36*(1+O31),3)</f>
        <v>6.7000000000000004E-2</v>
      </c>
      <c r="P36" s="2361">
        <f ca="1">ROUND($L$36*(1+P31),3)</f>
        <v>6.4000000000000001E-2</v>
      </c>
      <c r="Q36" s="2361">
        <f ca="1">ROUND($L$36*(1+Q31),3)</f>
        <v>6.7000000000000004E-2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759"/>
      <c r="B37" s="1951" t="s">
        <v>2033</v>
      </c>
      <c r="C37" s="167">
        <f>ROUND(D5*C22*C23*C24*C28*F37,0)</f>
        <v>0</v>
      </c>
      <c r="D37" s="1936"/>
      <c r="E37" s="163">
        <f>ROUND(C37*D37/10000,0)</f>
        <v>0</v>
      </c>
      <c r="F37" s="163">
        <f>SUMIF(修正!A57:A68,G2,修正!B57:B68)</f>
        <v>0.7</v>
      </c>
      <c r="G37" s="163">
        <f>ROUND(IF(E2="工业",C37*$M$42,C37*$M$41),0)</f>
        <v>0</v>
      </c>
      <c r="H37" s="163">
        <f>D37</f>
        <v>0</v>
      </c>
      <c r="I37" s="163">
        <f>ROUND(G37*H37/10000,0)</f>
        <v>0</v>
      </c>
      <c r="J37" s="2750"/>
      <c r="K37" s="3057" t="s">
        <v>3266</v>
      </c>
      <c r="L37" s="1960">
        <f ca="1">L36+K38</f>
        <v>6.3500000000000001E-2</v>
      </c>
      <c r="M37" s="2361">
        <f ca="1">ROUND($L$37*(1+M31),3)</f>
        <v>7.9000000000000001E-2</v>
      </c>
      <c r="N37" s="2361">
        <f t="shared" ref="N37:Q37" ca="1" si="3">ROUND($L$37*(1+N31),3)</f>
        <v>7.5999999999999998E-2</v>
      </c>
      <c r="O37" s="2361">
        <f t="shared" ca="1" si="3"/>
        <v>7.2999999999999995E-2</v>
      </c>
      <c r="P37" s="2361">
        <f t="shared" ca="1" si="3"/>
        <v>7.0000000000000007E-2</v>
      </c>
      <c r="Q37" s="2361">
        <f t="shared" ca="1" si="3"/>
        <v>7.2999999999999995E-2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760"/>
      <c r="B38" s="1880" t="s">
        <v>2034</v>
      </c>
      <c r="C38" s="167">
        <f>ROUND(D5*C22*C23*C24*C28*F38,0)</f>
        <v>0</v>
      </c>
      <c r="D38" s="1936"/>
      <c r="E38" s="163">
        <f t="shared" ref="E38:E42" si="4">ROUND(C38*D38/10000,0)</f>
        <v>0</v>
      </c>
      <c r="F38" s="163">
        <f>SUMIF(修正!A57:A68,G2,修正!C57:C68)</f>
        <v>0.4</v>
      </c>
      <c r="G38" s="163">
        <f>ROUND(IF(E2="工业",C38*$M$42,C38*$M$41),0)</f>
        <v>0</v>
      </c>
      <c r="H38" s="163">
        <f t="shared" ref="H38:H42" si="5">D38</f>
        <v>0</v>
      </c>
      <c r="I38" s="163">
        <f t="shared" ref="I38:I42" si="6">ROUND(G38*H38/10000,0)</f>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760"/>
      <c r="B39" s="1880" t="s">
        <v>3259</v>
      </c>
      <c r="C39" s="167">
        <f>ROUND(D5*C22*C23*C24*C28*F39,0)</f>
        <v>0</v>
      </c>
      <c r="D39" s="1936"/>
      <c r="E39" s="163">
        <f t="shared" si="4"/>
        <v>0</v>
      </c>
      <c r="F39" s="163">
        <f>SUMIF(修正!A57:A68,G2,修正!D57:D68)</f>
        <v>0.3</v>
      </c>
      <c r="G39" s="163">
        <f>ROUND(IF(E2="工业",C39*$M$42,C39*$M$41),0)</f>
        <v>0</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2035</v>
      </c>
      <c r="C40" s="163">
        <f>ROUND(D5*C22*C23*C24*C28*F40,0)</f>
        <v>0</v>
      </c>
      <c r="D40" s="1936"/>
      <c r="E40" s="163">
        <f t="shared" si="4"/>
        <v>0</v>
      </c>
      <c r="F40" s="167">
        <f>SUMIF(修正!A57:A68,G2,修正!E57:E68)</f>
        <v>0.3</v>
      </c>
      <c r="G40" s="163">
        <f>ROUND(IF(E2="工业",C40*$M$42,C40*$M$41),0)</f>
        <v>0</v>
      </c>
      <c r="H40" s="163">
        <f t="shared" si="5"/>
        <v>0</v>
      </c>
      <c r="I40" s="163">
        <f t="shared" si="6"/>
        <v>0</v>
      </c>
      <c r="J40" s="939"/>
      <c r="L40" s="1953" t="s">
        <v>2036</v>
      </c>
      <c r="M40" s="1954"/>
      <c r="Z40" s="1057"/>
      <c r="AA40" s="1057"/>
      <c r="AB40" s="1057"/>
      <c r="AC40" s="1057"/>
      <c r="AD40" s="1057"/>
      <c r="AE40" s="1057"/>
      <c r="AF40" s="1057"/>
      <c r="AG40" s="1057"/>
      <c r="AH40" s="1057"/>
      <c r="AI40" s="1057"/>
      <c r="AJ40" s="1057"/>
    </row>
    <row r="41" spans="1:37" s="1056" customFormat="1">
      <c r="A41" s="1952"/>
      <c r="B41" s="1880" t="s">
        <v>2037</v>
      </c>
      <c r="C41" s="163">
        <f>ROUND(D5*C22*C23*C44*C28*F41,0)</f>
        <v>0</v>
      </c>
      <c r="D41" s="1936"/>
      <c r="E41" s="163">
        <f t="shared" si="4"/>
        <v>0</v>
      </c>
      <c r="F41" s="167">
        <f>SUMIF(修正!A57:A68,G2,修正!F57:F68)</f>
        <v>0.3</v>
      </c>
      <c r="G41" s="163">
        <f>ROUND(IF(E2="工业",C41*$M$42,C41*$M$41),0)</f>
        <v>0</v>
      </c>
      <c r="H41" s="163">
        <f t="shared" si="5"/>
        <v>0</v>
      </c>
      <c r="I41" s="163">
        <f t="shared" si="6"/>
        <v>0</v>
      </c>
      <c r="J41" s="939"/>
      <c r="L41" s="3058" t="s">
        <v>3267</v>
      </c>
      <c r="M41" s="1955">
        <v>0.25</v>
      </c>
      <c r="Z41" s="1057"/>
      <c r="AA41" s="1057"/>
      <c r="AB41" s="1057"/>
      <c r="AC41" s="1057"/>
      <c r="AD41" s="1057"/>
      <c r="AE41" s="1057"/>
      <c r="AF41" s="1057"/>
      <c r="AG41" s="1057"/>
      <c r="AH41" s="1057"/>
      <c r="AI41" s="1057"/>
      <c r="AJ41" s="1057"/>
    </row>
    <row r="42" spans="1:37" s="1056" customFormat="1" ht="13.5" thickBot="1">
      <c r="A42" s="1939"/>
      <c r="B42" s="1956" t="s">
        <v>2038</v>
      </c>
      <c r="C42" s="179">
        <f>ROUND(D5*C22*C23*C44*C28*F42,0)</f>
        <v>0</v>
      </c>
      <c r="D42" s="1941"/>
      <c r="E42" s="179">
        <f t="shared" si="4"/>
        <v>0</v>
      </c>
      <c r="F42" s="723">
        <f>SUMIF(修正!A57:A68,G2,修正!G57:G68)</f>
        <v>0.2</v>
      </c>
      <c r="G42" s="179">
        <f>ROUND(IF(E2="工业",C42*$M$42,C42*$M$41),0)</f>
        <v>0</v>
      </c>
      <c r="H42" s="179">
        <f t="shared" si="5"/>
        <v>0</v>
      </c>
      <c r="I42" s="179">
        <f t="shared" si="6"/>
        <v>0</v>
      </c>
      <c r="J42" s="1957"/>
      <c r="L42" s="1958" t="s">
        <v>1990</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2119</v>
      </c>
      <c r="C44" s="333">
        <f>ROUND(POWER(1+E44,H44-G44)*(POWER(1+E44,G44)-1)/(POWER(1+E44,H44)-1),4)</f>
        <v>0</v>
      </c>
      <c r="D44" s="163" t="s">
        <v>1996</v>
      </c>
      <c r="E44" s="1987">
        <f>G24</f>
        <v>0.05</v>
      </c>
      <c r="F44" s="163" t="s">
        <v>2005</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2039</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2040</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2041</v>
      </c>
      <c r="B49" s="1261" t="s">
        <v>2042</v>
      </c>
      <c r="C49" s="1261" t="s">
        <v>2043</v>
      </c>
      <c r="D49" s="1261" t="s">
        <v>2044</v>
      </c>
      <c r="E49" s="701" t="s">
        <v>2045</v>
      </c>
      <c r="F49" s="1967" t="s">
        <v>2046</v>
      </c>
      <c r="G49" s="1261" t="s">
        <v>310</v>
      </c>
      <c r="H49" s="1968" t="s">
        <v>2047</v>
      </c>
      <c r="I49" s="1261" t="s">
        <v>2048</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2049</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hidden="1">
      <c r="A51" s="1966" t="s">
        <v>2050</v>
      </c>
      <c r="B51" s="1261" t="str">
        <f>估价对象房地状况!C18</f>
        <v>周边有601路、709路等多条公交线路，综合评价交通便捷度一般</v>
      </c>
      <c r="C51" s="1883"/>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3269</v>
      </c>
      <c r="B52" s="1261">
        <f>估价对象房地状况!C19</f>
        <v>0</v>
      </c>
      <c r="C52" s="1883"/>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6" t="s">
        <v>2051</v>
      </c>
      <c r="B53" s="1970" t="s">
        <v>2052</v>
      </c>
      <c r="C53" s="1883"/>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6" t="s">
        <v>2053</v>
      </c>
      <c r="B54" s="1261">
        <f>估价对象房地状况!C24</f>
        <v>0</v>
      </c>
      <c r="C54" s="1883"/>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6" t="s">
        <v>2054</v>
      </c>
      <c r="B55" s="1971" t="s">
        <v>2055</v>
      </c>
      <c r="C55" s="1883"/>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91.25" hidden="1">
      <c r="A56" s="1972" t="s">
        <v>2056</v>
      </c>
      <c r="B56" s="1239" t="str">
        <f>估价对象房地状况!C21</f>
        <v>银行：等金融机构；
医院：中国人民解放军第304医院等医疗机构；
学校：首都师范大学、首都师范大学附属中学等教育机构；
商业：社区级商业设施；
综合评价公共服务设施齐备度一般。</v>
      </c>
      <c r="C56" s="1883"/>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2" t="s">
        <v>2057</v>
      </c>
      <c r="B57" s="1261" t="str">
        <f>估价对象房地状况!C22</f>
        <v>估价对象所在区域基础设施水平</v>
      </c>
      <c r="C57" s="1883"/>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4.5" hidden="1" thickBot="1">
      <c r="A58" s="1973" t="s">
        <v>2058</v>
      </c>
      <c r="B58" s="1974" t="str">
        <f>估价对象房地状况!C20</f>
        <v>人文环境：首都师范大学等人文场所；
综合评价环境状况一般。</v>
      </c>
      <c r="C58" s="1883"/>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3" t="s">
        <v>2059</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2041</v>
      </c>
      <c r="B60" s="1261"/>
      <c r="C60" s="1261" t="s">
        <v>2043</v>
      </c>
      <c r="D60" s="1261" t="s">
        <v>2044</v>
      </c>
      <c r="E60" s="701" t="s">
        <v>2045</v>
      </c>
      <c r="F60" s="1967" t="s">
        <v>2060</v>
      </c>
      <c r="G60" s="1261" t="s">
        <v>310</v>
      </c>
      <c r="H60" s="1968" t="s">
        <v>2047</v>
      </c>
      <c r="I60" s="1261" t="s">
        <v>2048</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2061</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66" t="s">
        <v>2050</v>
      </c>
      <c r="B62" s="1261" t="str">
        <f>估价对象房地状况!C18</f>
        <v>周边有601路、709路等多条公交线路，综合评价交通便捷度一般</v>
      </c>
      <c r="C62" s="1883"/>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3269</v>
      </c>
      <c r="B63" s="1261">
        <f>估价对象房地状况!C19</f>
        <v>0</v>
      </c>
      <c r="C63" s="1883"/>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6" t="s">
        <v>2051</v>
      </c>
      <c r="B64" s="1970" t="s">
        <v>2052</v>
      </c>
      <c r="C64" s="1883"/>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6" t="s">
        <v>2053</v>
      </c>
      <c r="B65" s="1261">
        <f>估价对象房地状况!C24</f>
        <v>0</v>
      </c>
      <c r="C65" s="1883"/>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6" t="s">
        <v>2054</v>
      </c>
      <c r="B66" s="1971" t="s">
        <v>2055</v>
      </c>
      <c r="C66" s="1883"/>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91.25" hidden="1">
      <c r="A67" s="1966" t="s">
        <v>2056</v>
      </c>
      <c r="B67" s="1239" t="str">
        <f>估价对象房地状况!C21</f>
        <v>银行：等金融机构；
医院：中国人民解放军第304医院等医疗机构；
学校：首都师范大学、首都师范大学附属中学等教育机构；
商业：社区级商业设施；
综合评价公共服务设施齐备度一般。</v>
      </c>
      <c r="C67" s="1883"/>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6" t="s">
        <v>2057</v>
      </c>
      <c r="B68" s="1239" t="str">
        <f>估价对象房地状况!C22</f>
        <v>估价对象所在区域基础设施水平</v>
      </c>
      <c r="C68" s="1883"/>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4.5" hidden="1" thickBot="1">
      <c r="A69" s="1973" t="s">
        <v>2058</v>
      </c>
      <c r="B69" s="1975" t="str">
        <f>估价对象房地状况!C20</f>
        <v>人文环境：首都师范大学等人文场所；
综合评价环境状况一般。</v>
      </c>
      <c r="C69" s="1883"/>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2062</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2041</v>
      </c>
      <c r="B71" s="1261"/>
      <c r="C71" s="1261" t="s">
        <v>2043</v>
      </c>
      <c r="D71" s="1261" t="s">
        <v>2044</v>
      </c>
      <c r="E71" s="701" t="s">
        <v>2045</v>
      </c>
      <c r="F71" s="1967" t="s">
        <v>2060</v>
      </c>
      <c r="G71" s="1261" t="s">
        <v>310</v>
      </c>
      <c r="H71" s="1968" t="s">
        <v>2047</v>
      </c>
      <c r="I71" s="1261" t="s">
        <v>2048</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38.25">
      <c r="A72" s="1966" t="s">
        <v>2063</v>
      </c>
      <c r="B72" s="1969" t="str">
        <f>估价对象房地状况!C15</f>
        <v>周边有中海雅园、北洼西里等住宅小区，居住社区成熟度较好。</v>
      </c>
      <c r="C72" s="1883" t="s">
        <v>3394</v>
      </c>
      <c r="D72" s="1002">
        <f t="shared" ref="D72:D80" si="17">SUMIF($J$71:$N$71,C72,J72:N72)</f>
        <v>9.7999999999999997E-3</v>
      </c>
      <c r="E72" s="702">
        <f>ROUND(SUM(D72:D80),4)</f>
        <v>4.4900000000000002E-2</v>
      </c>
      <c r="F72" s="1674">
        <f>IF(E2="住宅",SUMIF(L1:L12,G2,N1:N12),"——")</f>
        <v>9.8000000000000004E-2</v>
      </c>
      <c r="G72" s="1000">
        <v>9.7999999999999997E-3</v>
      </c>
      <c r="H72" s="1003">
        <f t="shared" ref="H72:H80" si="18">IFERROR(ROUNDDOWN($F$72*I72/2,4),"——")</f>
        <v>9.7999999999999997E-3</v>
      </c>
      <c r="I72" s="3064">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66" t="s">
        <v>2050</v>
      </c>
      <c r="B73" s="1261" t="str">
        <f>估价对象房地状况!C18</f>
        <v>周边有601路、709路等多条公交线路，综合评价交通便捷度一般</v>
      </c>
      <c r="C73" s="1883" t="s">
        <v>3394</v>
      </c>
      <c r="D73" s="1002">
        <f t="shared" si="17"/>
        <v>1.2699999999999999E-2</v>
      </c>
      <c r="E73" s="705"/>
      <c r="F73" s="1674"/>
      <c r="G73" s="1000">
        <v>1.2699999999999999E-2</v>
      </c>
      <c r="H73" s="1003">
        <f t="shared" si="18"/>
        <v>1.2699999999999999E-2</v>
      </c>
      <c r="I73" s="3064">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0" customFormat="1" ht="36">
      <c r="A74" s="3066" t="s">
        <v>3269</v>
      </c>
      <c r="B74" s="1261">
        <f>估价对象房地状况!C19</f>
        <v>0</v>
      </c>
      <c r="C74" s="1883" t="s">
        <v>3394</v>
      </c>
      <c r="D74" s="1002">
        <f t="shared" si="17"/>
        <v>4.8999999999999998E-3</v>
      </c>
      <c r="E74" s="705"/>
      <c r="F74" s="1674"/>
      <c r="G74" s="1000">
        <v>4.8999999999999998E-3</v>
      </c>
      <c r="H74" s="1003">
        <f t="shared" si="18"/>
        <v>4.8999999999999998E-3</v>
      </c>
      <c r="I74" s="3064">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76"/>
      <c r="AB74" s="1057"/>
      <c r="AC74" s="1057"/>
      <c r="AD74" s="1057"/>
      <c r="AE74" s="1057"/>
      <c r="AF74" s="1057"/>
      <c r="AG74" s="1057"/>
      <c r="AH74" s="1976"/>
      <c r="AI74" s="1976"/>
      <c r="AJ74" s="1976"/>
      <c r="AK74" s="1976"/>
    </row>
    <row r="75" spans="1:37" ht="14.25">
      <c r="A75" s="1966" t="s">
        <v>2064</v>
      </c>
      <c r="B75" s="1261">
        <f>估价对象房地状况!C24</f>
        <v>0</v>
      </c>
      <c r="C75" s="1883" t="s">
        <v>3395</v>
      </c>
      <c r="D75" s="1002">
        <f t="shared" si="17"/>
        <v>0</v>
      </c>
      <c r="E75" s="705"/>
      <c r="F75" s="1674"/>
      <c r="G75" s="1000">
        <v>2.3999999999999998E-3</v>
      </c>
      <c r="H75" s="1003">
        <f t="shared" si="18"/>
        <v>2.3999999999999998E-3</v>
      </c>
      <c r="I75" s="3064">
        <v>0.05</v>
      </c>
      <c r="J75" s="1001">
        <f t="shared" si="19"/>
        <v>4.7999999999999996E-3</v>
      </c>
      <c r="K75" s="1001">
        <f t="shared" si="20"/>
        <v>2.3999999999999998E-3</v>
      </c>
      <c r="L75" s="1001">
        <v>0</v>
      </c>
      <c r="M75" s="1001">
        <f t="shared" si="21"/>
        <v>-2.3999999999999998E-3</v>
      </c>
      <c r="N75" s="1001">
        <f t="shared" si="21"/>
        <v>-4.7999999999999996E-3</v>
      </c>
      <c r="O75" s="1056"/>
      <c r="P75" s="1056"/>
      <c r="Q75" s="1840"/>
      <c r="Z75" s="1841"/>
      <c r="AA75" s="1891"/>
      <c r="AG75" s="1058"/>
      <c r="AK75" s="1891"/>
    </row>
    <row r="76" spans="1:37" ht="191.25">
      <c r="A76" s="1966" t="s">
        <v>2056</v>
      </c>
      <c r="B76" s="1239" t="str">
        <f>估价对象房地状况!C21</f>
        <v>银行：等金融机构；
医院：中国人民解放军第304医院等医疗机构；
学校：首都师范大学、首都师范大学附属中学等教育机构；
商业：社区级商业设施；
综合评价公共服务设施齐备度一般。</v>
      </c>
      <c r="C76" s="1883" t="s">
        <v>3394</v>
      </c>
      <c r="D76" s="1002">
        <f t="shared" si="17"/>
        <v>3.8999999999999998E-3</v>
      </c>
      <c r="E76" s="705"/>
      <c r="F76" s="1674"/>
      <c r="G76" s="1000">
        <v>3.8999999999999998E-3</v>
      </c>
      <c r="H76" s="1003">
        <f t="shared" si="18"/>
        <v>3.8999999999999998E-3</v>
      </c>
      <c r="I76" s="3064">
        <v>0.08</v>
      </c>
      <c r="J76" s="1001">
        <f t="shared" si="19"/>
        <v>7.7999999999999996E-3</v>
      </c>
      <c r="K76" s="1001">
        <f t="shared" si="20"/>
        <v>3.8999999999999998E-3</v>
      </c>
      <c r="L76" s="1001">
        <v>0</v>
      </c>
      <c r="M76" s="1001">
        <f t="shared" si="21"/>
        <v>-3.8999999999999998E-3</v>
      </c>
      <c r="N76" s="1001">
        <f t="shared" si="21"/>
        <v>-7.7999999999999996E-3</v>
      </c>
      <c r="O76" s="1056"/>
      <c r="P76" s="1056"/>
      <c r="Z76" s="1841"/>
      <c r="AA76" s="1891"/>
      <c r="AG76" s="1058"/>
      <c r="AK76" s="1891"/>
    </row>
    <row r="77" spans="1:37" ht="25.5">
      <c r="A77" s="1966" t="s">
        <v>2057</v>
      </c>
      <c r="B77" s="1239" t="str">
        <f>估价对象房地状况!C22</f>
        <v>估价对象所在区域基础设施水平</v>
      </c>
      <c r="C77" s="1883" t="s">
        <v>3396</v>
      </c>
      <c r="D77" s="1002">
        <f t="shared" si="17"/>
        <v>8.8000000000000005E-3</v>
      </c>
      <c r="E77" s="705"/>
      <c r="F77" s="1674"/>
      <c r="G77" s="1000">
        <v>4.4000000000000003E-3</v>
      </c>
      <c r="H77" s="1003">
        <f t="shared" si="18"/>
        <v>4.4000000000000003E-3</v>
      </c>
      <c r="I77" s="3064">
        <v>0.09</v>
      </c>
      <c r="J77" s="1001">
        <f t="shared" si="19"/>
        <v>8.8000000000000005E-3</v>
      </c>
      <c r="K77" s="1001">
        <f t="shared" si="20"/>
        <v>4.4000000000000003E-3</v>
      </c>
      <c r="L77" s="1001">
        <v>0</v>
      </c>
      <c r="M77" s="1001">
        <f t="shared" si="21"/>
        <v>-4.4000000000000003E-3</v>
      </c>
      <c r="N77" s="1001">
        <f t="shared" si="21"/>
        <v>-8.8000000000000005E-3</v>
      </c>
      <c r="O77" s="1056"/>
      <c r="P77" s="1056"/>
      <c r="Z77" s="1841"/>
      <c r="AA77" s="1891"/>
      <c r="AG77" s="1058"/>
      <c r="AK77" s="1891"/>
    </row>
    <row r="78" spans="1:37" ht="24">
      <c r="A78" s="1966" t="s">
        <v>2054</v>
      </c>
      <c r="B78" s="1971" t="s">
        <v>2055</v>
      </c>
      <c r="C78" s="1883" t="s">
        <v>3394</v>
      </c>
      <c r="D78" s="1002">
        <f t="shared" si="17"/>
        <v>2.3999999999999998E-3</v>
      </c>
      <c r="E78" s="705"/>
      <c r="F78" s="1674"/>
      <c r="G78" s="1000">
        <v>2.3999999999999998E-3</v>
      </c>
      <c r="H78" s="1003">
        <f t="shared" si="18"/>
        <v>2.3999999999999998E-3</v>
      </c>
      <c r="I78" s="3064">
        <v>0.05</v>
      </c>
      <c r="J78" s="1001">
        <f t="shared" si="19"/>
        <v>4.7999999999999996E-3</v>
      </c>
      <c r="K78" s="1001">
        <f t="shared" si="20"/>
        <v>2.3999999999999998E-3</v>
      </c>
      <c r="L78" s="1001">
        <v>0</v>
      </c>
      <c r="M78" s="1001">
        <f t="shared" si="21"/>
        <v>-2.3999999999999998E-3</v>
      </c>
      <c r="N78" s="1001">
        <f t="shared" si="21"/>
        <v>-4.7999999999999996E-3</v>
      </c>
      <c r="O78" s="1840"/>
      <c r="P78" s="1840"/>
      <c r="Z78" s="1841"/>
      <c r="AA78" s="1891"/>
      <c r="AG78" s="1058"/>
      <c r="AK78" s="1891"/>
    </row>
    <row r="79" spans="1:37" ht="63.75">
      <c r="A79" s="1966" t="s">
        <v>2058</v>
      </c>
      <c r="B79" s="1969" t="str">
        <f>估价对象房地状况!C20</f>
        <v>人文环境：首都师范大学等人文场所；
综合评价环境状况一般。</v>
      </c>
      <c r="C79" s="1883" t="s">
        <v>3395</v>
      </c>
      <c r="D79" s="1002">
        <f t="shared" si="17"/>
        <v>0</v>
      </c>
      <c r="E79" s="705"/>
      <c r="F79" s="1674"/>
      <c r="G79" s="1000">
        <v>5.7999999999999996E-3</v>
      </c>
      <c r="H79" s="1003">
        <f t="shared" si="18"/>
        <v>5.7999999999999996E-3</v>
      </c>
      <c r="I79" s="3064">
        <v>0.12</v>
      </c>
      <c r="J79" s="1001">
        <f t="shared" si="19"/>
        <v>1.1599999999999999E-2</v>
      </c>
      <c r="K79" s="1001">
        <f t="shared" si="20"/>
        <v>5.7999999999999996E-3</v>
      </c>
      <c r="L79" s="1001">
        <v>0</v>
      </c>
      <c r="M79" s="1001">
        <f t="shared" si="21"/>
        <v>-5.7999999999999996E-3</v>
      </c>
      <c r="N79" s="1001">
        <f t="shared" si="21"/>
        <v>-1.1599999999999999E-2</v>
      </c>
      <c r="Z79" s="1841"/>
      <c r="AA79" s="1891"/>
      <c r="AG79" s="1058"/>
      <c r="AK79" s="1891"/>
    </row>
    <row r="80" spans="1:37" ht="24.75" thickBot="1">
      <c r="A80" s="1973" t="s">
        <v>2065</v>
      </c>
      <c r="B80" s="1977"/>
      <c r="C80" s="1883" t="s">
        <v>3394</v>
      </c>
      <c r="D80" s="1002">
        <f t="shared" si="17"/>
        <v>2.3999999999999998E-3</v>
      </c>
      <c r="E80" s="706"/>
      <c r="F80" s="1674"/>
      <c r="G80" s="1000">
        <v>2.3999999999999998E-3</v>
      </c>
      <c r="H80" s="1003">
        <f t="shared" si="18"/>
        <v>2.3999999999999998E-3</v>
      </c>
      <c r="I80" s="3065">
        <v>0.05</v>
      </c>
      <c r="J80" s="1001">
        <f t="shared" si="19"/>
        <v>4.7999999999999996E-3</v>
      </c>
      <c r="K80" s="1001">
        <f t="shared" si="20"/>
        <v>2.3999999999999998E-3</v>
      </c>
      <c r="L80" s="1001">
        <v>0</v>
      </c>
      <c r="M80" s="1001">
        <f t="shared" si="21"/>
        <v>-2.3999999999999998E-3</v>
      </c>
      <c r="N80" s="1001">
        <f t="shared" si="21"/>
        <v>-4.7999999999999996E-3</v>
      </c>
      <c r="Z80" s="1841"/>
      <c r="AA80" s="1891"/>
      <c r="AG80" s="1058"/>
      <c r="AK80" s="1891"/>
    </row>
    <row r="81" spans="1:37" ht="15">
      <c r="A81" s="1963" t="s">
        <v>2066</v>
      </c>
      <c r="B81" s="1964">
        <f>1+E83</f>
        <v>1</v>
      </c>
      <c r="C81" s="699"/>
      <c r="D81" s="699"/>
      <c r="E81" s="700"/>
      <c r="F81" s="1965"/>
      <c r="G81" s="3"/>
      <c r="H81" s="3"/>
      <c r="I81" s="3"/>
      <c r="J81" s="4"/>
      <c r="K81" s="4"/>
      <c r="L81" s="4"/>
      <c r="M81" s="4"/>
      <c r="N81" s="4"/>
      <c r="Z81" s="1841"/>
      <c r="AA81" s="1891"/>
      <c r="AG81" s="1058"/>
      <c r="AK81" s="1891"/>
    </row>
    <row r="82" spans="1:37" ht="24.75">
      <c r="A82" s="1966" t="s">
        <v>2041</v>
      </c>
      <c r="B82" s="1261"/>
      <c r="C82" s="1261" t="s">
        <v>2043</v>
      </c>
      <c r="D82" s="1261" t="s">
        <v>2044</v>
      </c>
      <c r="E82" s="701" t="s">
        <v>2045</v>
      </c>
      <c r="F82" s="1967" t="s">
        <v>2060</v>
      </c>
      <c r="G82" s="1261" t="s">
        <v>310</v>
      </c>
      <c r="H82" s="1968" t="s">
        <v>2047</v>
      </c>
      <c r="I82" s="1261" t="s">
        <v>2048</v>
      </c>
      <c r="J82" s="530" t="s">
        <v>1719</v>
      </c>
      <c r="K82" s="530" t="s">
        <v>1720</v>
      </c>
      <c r="L82" s="530" t="s">
        <v>1721</v>
      </c>
      <c r="M82" s="530" t="s">
        <v>1722</v>
      </c>
      <c r="N82" s="530" t="s">
        <v>1723</v>
      </c>
      <c r="Z82" s="1841"/>
      <c r="AA82" s="1891"/>
      <c r="AG82" s="1058"/>
      <c r="AK82" s="1891"/>
    </row>
    <row r="83" spans="1:37" ht="38.25">
      <c r="A83" s="1966" t="s">
        <v>2067</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2050</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1"/>
      <c r="AA84" s="1891"/>
      <c r="AG84" s="1058"/>
      <c r="AK84" s="1891"/>
    </row>
    <row r="85" spans="1:37" ht="36">
      <c r="A85" s="3066" t="s">
        <v>3270</v>
      </c>
      <c r="B85" s="1261">
        <f>估价对象房地状况!G17</f>
        <v>0</v>
      </c>
      <c r="C85" s="1883"/>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1"/>
      <c r="AA85" s="1891"/>
      <c r="AG85" s="1058"/>
      <c r="AK85" s="1891"/>
    </row>
    <row r="86" spans="1:37" ht="14.25">
      <c r="A86" s="1966" t="s">
        <v>2064</v>
      </c>
      <c r="B86" s="1261">
        <f>估价对象房地状况!G22</f>
        <v>0</v>
      </c>
      <c r="C86" s="1883"/>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1"/>
      <c r="AA86" s="1891"/>
      <c r="AG86" s="1058"/>
      <c r="AK86" s="1891"/>
    </row>
    <row r="87" spans="1:37" ht="25.5">
      <c r="A87" s="1966" t="s">
        <v>2056</v>
      </c>
      <c r="B87" s="1239" t="str">
        <f>估价对象房地状况!G19</f>
        <v>估价对象所在区域公共配套设施齐备情况</v>
      </c>
      <c r="C87" s="1883"/>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6" t="s">
        <v>2057</v>
      </c>
      <c r="B88" s="1239" t="str">
        <f>估价对象房地状况!G20</f>
        <v>估价对象所在区域基础设施水平</v>
      </c>
      <c r="C88" s="1883"/>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6" t="s">
        <v>2054</v>
      </c>
      <c r="B89" s="1971" t="s">
        <v>2068</v>
      </c>
      <c r="C89" s="1883"/>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3" t="s">
        <v>2069</v>
      </c>
      <c r="B90" s="1978" t="str">
        <f>估价对象房地状况!G18</f>
        <v>该园区内是否有污染型企业，绿化情况，卫生条件，整体环境状况判断</v>
      </c>
      <c r="C90" s="1883"/>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3271</v>
      </c>
      <c r="B92" s="2305"/>
      <c r="C92" s="2305" t="s">
        <v>3280</v>
      </c>
      <c r="D92" s="2305" t="s">
        <v>3281</v>
      </c>
      <c r="E92" s="3048" t="s">
        <v>3282</v>
      </c>
      <c r="F92" s="3078" t="s">
        <v>3283</v>
      </c>
      <c r="G92" s="2305" t="s">
        <v>3284</v>
      </c>
      <c r="H92" s="3085" t="s">
        <v>3287</v>
      </c>
      <c r="I92" s="2305" t="s">
        <v>3288</v>
      </c>
      <c r="J92" s="2146" t="s">
        <v>3289</v>
      </c>
      <c r="K92" s="2146" t="s">
        <v>3290</v>
      </c>
      <c r="L92" s="2146" t="s">
        <v>3291</v>
      </c>
      <c r="M92" s="2146" t="s">
        <v>3292</v>
      </c>
      <c r="N92" s="2146" t="s">
        <v>3293</v>
      </c>
    </row>
    <row r="93" spans="1:37" ht="24">
      <c r="A93" s="3066" t="s">
        <v>3272</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51">
      <c r="A94" s="3076" t="s">
        <v>3273</v>
      </c>
      <c r="B94" s="3067" t="str">
        <f>估价对象房地状况!C18</f>
        <v>周边有601路、709路等多条公交线路，综合评价交通便捷度一般</v>
      </c>
      <c r="C94" s="1883"/>
      <c r="D94" s="2305">
        <f t="shared" ref="D94:D101" si="30">SUMIF($J$60:$N$60,C94,J94:N94)</f>
        <v>0</v>
      </c>
      <c r="E94" s="3080"/>
      <c r="F94" s="1674"/>
      <c r="G94" s="3070"/>
      <c r="H94" s="3115" t="str">
        <f>IFERROR(ROUNDDOWN($F$93*I94/2,4),"——")</f>
        <v>——</v>
      </c>
      <c r="I94" s="3064">
        <v>0.26</v>
      </c>
      <c r="J94" s="1908">
        <f t="shared" si="27"/>
        <v>0</v>
      </c>
      <c r="K94" s="1908">
        <f t="shared" si="28"/>
        <v>0</v>
      </c>
      <c r="L94" s="1908">
        <v>0</v>
      </c>
      <c r="M94" s="1908">
        <f t="shared" si="29"/>
        <v>0</v>
      </c>
      <c r="N94" s="1908">
        <f t="shared" si="29"/>
        <v>0</v>
      </c>
    </row>
    <row r="95" spans="1:37" ht="36">
      <c r="A95" s="3066" t="s">
        <v>3269</v>
      </c>
      <c r="B95" s="3067">
        <f>估价对象房地状况!C19</f>
        <v>0</v>
      </c>
      <c r="C95" s="1883"/>
      <c r="D95" s="2305">
        <f t="shared" si="30"/>
        <v>0</v>
      </c>
      <c r="E95" s="3080"/>
      <c r="F95" s="1674"/>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6.75">
      <c r="A96" s="3076" t="s">
        <v>3274</v>
      </c>
      <c r="B96" s="3082" t="s">
        <v>3285</v>
      </c>
      <c r="C96" s="1883"/>
      <c r="D96" s="2305">
        <f t="shared" si="30"/>
        <v>0</v>
      </c>
      <c r="E96" s="3080"/>
      <c r="F96" s="1674"/>
      <c r="G96" s="3070"/>
      <c r="H96" s="3115" t="str">
        <f t="shared" si="31"/>
        <v>——</v>
      </c>
      <c r="I96" s="3064">
        <v>0.05</v>
      </c>
      <c r="J96" s="1908">
        <f t="shared" si="27"/>
        <v>0</v>
      </c>
      <c r="K96" s="1908">
        <f t="shared" si="28"/>
        <v>0</v>
      </c>
      <c r="L96" s="1908">
        <v>0</v>
      </c>
      <c r="M96" s="1908">
        <f t="shared" si="29"/>
        <v>0</v>
      </c>
      <c r="N96" s="1908">
        <f t="shared" si="29"/>
        <v>0</v>
      </c>
    </row>
    <row r="97" spans="1:14" ht="24">
      <c r="A97" s="3076" t="s">
        <v>3275</v>
      </c>
      <c r="B97" s="3067">
        <f>估价对象房地状况!C24</f>
        <v>0</v>
      </c>
      <c r="C97" s="1883"/>
      <c r="D97" s="2305">
        <f t="shared" si="30"/>
        <v>0</v>
      </c>
      <c r="E97" s="3080"/>
      <c r="F97" s="1674"/>
      <c r="G97" s="3070"/>
      <c r="H97" s="3115" t="str">
        <f t="shared" si="31"/>
        <v>——</v>
      </c>
      <c r="I97" s="3064">
        <v>0.05</v>
      </c>
      <c r="J97" s="1908">
        <f t="shared" si="27"/>
        <v>0</v>
      </c>
      <c r="K97" s="1908">
        <f t="shared" si="28"/>
        <v>0</v>
      </c>
      <c r="L97" s="1908">
        <v>0</v>
      </c>
      <c r="M97" s="1908">
        <f t="shared" si="29"/>
        <v>0</v>
      </c>
      <c r="N97" s="1908">
        <f t="shared" si="29"/>
        <v>0</v>
      </c>
    </row>
    <row r="98" spans="1:14" ht="24">
      <c r="A98" s="3076" t="s">
        <v>3276</v>
      </c>
      <c r="B98" s="3083" t="s">
        <v>3286</v>
      </c>
      <c r="C98" s="1883"/>
      <c r="D98" s="2305">
        <f t="shared" si="30"/>
        <v>0</v>
      </c>
      <c r="E98" s="3080"/>
      <c r="F98" s="1674"/>
      <c r="G98" s="3070"/>
      <c r="H98" s="3115" t="str">
        <f t="shared" si="31"/>
        <v>——</v>
      </c>
      <c r="I98" s="3064">
        <v>0.06</v>
      </c>
      <c r="J98" s="1908">
        <f t="shared" si="27"/>
        <v>0</v>
      </c>
      <c r="K98" s="1908">
        <f t="shared" si="28"/>
        <v>0</v>
      </c>
      <c r="L98" s="1908">
        <v>0</v>
      </c>
      <c r="M98" s="1908">
        <f t="shared" si="29"/>
        <v>0</v>
      </c>
      <c r="N98" s="1908">
        <f t="shared" si="29"/>
        <v>0</v>
      </c>
    </row>
    <row r="99" spans="1:14" ht="191.25">
      <c r="A99" s="3076" t="s">
        <v>3277</v>
      </c>
      <c r="B99" s="3067" t="str">
        <f>估价对象房地状况!C21</f>
        <v>银行：等金融机构；
医院：中国人民解放军第304医院等医疗机构；
学校：首都师范大学、首都师范大学附属中学等教育机构；
商业：社区级商业设施；
综合评价公共服务设施齐备度一般。</v>
      </c>
      <c r="C99" s="1883"/>
      <c r="D99" s="2305">
        <f t="shared" si="30"/>
        <v>0</v>
      </c>
      <c r="E99" s="3080"/>
      <c r="F99" s="1674"/>
      <c r="G99" s="3070"/>
      <c r="H99" s="3115" t="str">
        <f t="shared" si="31"/>
        <v>——</v>
      </c>
      <c r="I99" s="3064">
        <v>0.06</v>
      </c>
      <c r="J99" s="1908">
        <f t="shared" si="27"/>
        <v>0</v>
      </c>
      <c r="K99" s="1908">
        <f t="shared" si="28"/>
        <v>0</v>
      </c>
      <c r="L99" s="1908">
        <v>0</v>
      </c>
      <c r="M99" s="1908">
        <f t="shared" si="29"/>
        <v>0</v>
      </c>
      <c r="N99" s="1908">
        <f t="shared" si="29"/>
        <v>0</v>
      </c>
    </row>
    <row r="100" spans="1:14" ht="25.5">
      <c r="A100" s="3076" t="s">
        <v>3278</v>
      </c>
      <c r="B100" s="3067" t="str">
        <f>估价对象房地状况!C22</f>
        <v>估价对象所在区域基础设施水平</v>
      </c>
      <c r="C100" s="1883"/>
      <c r="D100" s="2305">
        <f t="shared" si="30"/>
        <v>0</v>
      </c>
      <c r="E100" s="3080"/>
      <c r="F100" s="1674"/>
      <c r="G100" s="3070"/>
      <c r="H100" s="3115" t="str">
        <f t="shared" si="31"/>
        <v>——</v>
      </c>
      <c r="I100" s="3064">
        <v>0.09</v>
      </c>
      <c r="J100" s="1908">
        <f t="shared" si="27"/>
        <v>0</v>
      </c>
      <c r="K100" s="1908">
        <f t="shared" si="28"/>
        <v>0</v>
      </c>
      <c r="L100" s="1908">
        <v>0</v>
      </c>
      <c r="M100" s="1908">
        <f t="shared" si="29"/>
        <v>0</v>
      </c>
      <c r="N100" s="1908">
        <f t="shared" si="29"/>
        <v>0</v>
      </c>
    </row>
    <row r="101" spans="1:14" ht="64.5" thickBot="1">
      <c r="A101" s="3077" t="s">
        <v>3279</v>
      </c>
      <c r="B101" s="3084" t="str">
        <f>估价对象房地状况!C20</f>
        <v>人文环境：首都师范大学等人文场所；
综合评价环境状况一般。</v>
      </c>
      <c r="C101" s="1883"/>
      <c r="D101" s="2305">
        <f t="shared" si="30"/>
        <v>0</v>
      </c>
      <c r="E101" s="3081"/>
      <c r="F101" s="1674"/>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757" t="s">
        <v>3294</v>
      </c>
      <c r="B103" s="3757"/>
      <c r="C103" s="3757"/>
      <c r="D103" s="3757"/>
      <c r="E103" s="3757"/>
      <c r="F103" s="3757"/>
      <c r="G103" s="3757"/>
      <c r="H103" s="3757"/>
      <c r="I103" s="3757"/>
      <c r="J103" s="3757"/>
      <c r="K103" s="1666"/>
      <c r="L103" s="1666"/>
      <c r="M103" s="1666"/>
      <c r="N103" s="1666"/>
    </row>
    <row r="104" spans="1:14">
      <c r="A104" s="3758" t="s">
        <v>3295</v>
      </c>
      <c r="B104" s="3758" t="s">
        <v>3296</v>
      </c>
      <c r="C104" s="3086" t="s">
        <v>3297</v>
      </c>
      <c r="D104" s="3087"/>
      <c r="E104" s="3087"/>
      <c r="F104" s="3087"/>
      <c r="G104" s="3087"/>
      <c r="H104" s="3087"/>
      <c r="I104" s="3087"/>
      <c r="J104" s="3088"/>
      <c r="K104" s="3089"/>
      <c r="L104" s="3089"/>
      <c r="M104" s="3089"/>
      <c r="N104" s="3089"/>
    </row>
    <row r="105" spans="1:14">
      <c r="A105" s="3758"/>
      <c r="B105" s="3758"/>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744"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74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74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74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74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745"/>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74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747" t="s">
        <v>3311</v>
      </c>
      <c r="B113" s="3747"/>
      <c r="C113" s="3747"/>
      <c r="D113" s="3747"/>
      <c r="E113" s="3747"/>
      <c r="F113" s="3747"/>
      <c r="G113" s="3747"/>
      <c r="H113" s="3747"/>
      <c r="I113" s="3747"/>
      <c r="J113" s="3747"/>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3312</v>
      </c>
      <c r="B116" s="3110">
        <f>G3</f>
        <v>3.35</v>
      </c>
      <c r="C116" s="3095" t="s">
        <v>3313</v>
      </c>
      <c r="D116" s="3096">
        <f>SUMPRODUCT((A118:A122=F116)*(B117:M117=H116)*B118:M122)</f>
        <v>0.90629999999999999</v>
      </c>
      <c r="E116" s="162" t="s">
        <v>3314</v>
      </c>
      <c r="F116" s="3097" t="str">
        <f>E2</f>
        <v>住宅</v>
      </c>
      <c r="G116" s="162" t="s">
        <v>3315</v>
      </c>
      <c r="H116" s="3097" t="str">
        <f>G2</f>
        <v>二级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5">I118</f>
        <v>0.7883</v>
      </c>
      <c r="K118" s="3085">
        <f t="shared" si="35"/>
        <v>0.7883</v>
      </c>
      <c r="L118" s="3085">
        <f t="shared" si="35"/>
        <v>0.7883</v>
      </c>
      <c r="M118" s="3105">
        <f t="shared" si="35"/>
        <v>0.7883</v>
      </c>
      <c r="N118" s="3093"/>
    </row>
    <row r="119" spans="1:14">
      <c r="A119" s="3053" t="s">
        <v>3329</v>
      </c>
      <c r="B119" s="3085">
        <f>ROUND(0.993-0.0112*B116,4)</f>
        <v>0.95550000000000002</v>
      </c>
      <c r="C119" s="3085">
        <f>B119</f>
        <v>0.95550000000000002</v>
      </c>
      <c r="D119" s="3085">
        <f>ROUND(0.9415-0.0142*B116,4)</f>
        <v>0.89390000000000003</v>
      </c>
      <c r="E119" s="3085">
        <f t="shared" ref="E119:H120" si="36">D119</f>
        <v>0.89390000000000003</v>
      </c>
      <c r="F119" s="3085">
        <f t="shared" si="36"/>
        <v>0.89390000000000003</v>
      </c>
      <c r="G119" s="3085">
        <f t="shared" si="36"/>
        <v>0.89390000000000003</v>
      </c>
      <c r="H119" s="3085">
        <f t="shared" si="36"/>
        <v>0.89390000000000003</v>
      </c>
      <c r="I119" s="3085">
        <f>ROUND(0.838-0.0182*B116,4)</f>
        <v>0.77700000000000002</v>
      </c>
      <c r="J119" s="3085">
        <f t="shared" si="35"/>
        <v>0.77700000000000002</v>
      </c>
      <c r="K119" s="3085">
        <f t="shared" si="35"/>
        <v>0.77700000000000002</v>
      </c>
      <c r="L119" s="3085">
        <f t="shared" si="35"/>
        <v>0.77700000000000002</v>
      </c>
      <c r="M119" s="3105">
        <f t="shared" si="35"/>
        <v>0.77700000000000002</v>
      </c>
      <c r="N119" s="3093"/>
    </row>
    <row r="120" spans="1:14">
      <c r="A120" s="3053" t="s">
        <v>3330</v>
      </c>
      <c r="B120" s="3085">
        <f>ROUND(0.9448-0.0115*B116,4)</f>
        <v>0.90629999999999999</v>
      </c>
      <c r="C120" s="3085">
        <f>B120</f>
        <v>0.90629999999999999</v>
      </c>
      <c r="D120" s="3085">
        <f>ROUND(0.937-0.0145*B116,4)</f>
        <v>0.88839999999999997</v>
      </c>
      <c r="E120" s="3085">
        <f t="shared" si="36"/>
        <v>0.88839999999999997</v>
      </c>
      <c r="F120" s="3085">
        <f t="shared" si="36"/>
        <v>0.88839999999999997</v>
      </c>
      <c r="G120" s="3085">
        <f t="shared" si="36"/>
        <v>0.88839999999999997</v>
      </c>
      <c r="H120" s="3085">
        <f t="shared" si="36"/>
        <v>0.88839999999999997</v>
      </c>
      <c r="I120" s="3085">
        <f>ROUND(0.7965-0.0185*B116,4)</f>
        <v>0.73450000000000004</v>
      </c>
      <c r="J120" s="3085">
        <f t="shared" si="35"/>
        <v>0.73450000000000004</v>
      </c>
      <c r="K120" s="3085">
        <f t="shared" si="35"/>
        <v>0.73450000000000004</v>
      </c>
      <c r="L120" s="3085">
        <f t="shared" si="35"/>
        <v>0.73450000000000004</v>
      </c>
      <c r="M120" s="3105">
        <f t="shared" si="35"/>
        <v>0.73450000000000004</v>
      </c>
      <c r="N120" s="3093"/>
    </row>
    <row r="121" spans="1:14" ht="13.5" thickBot="1">
      <c r="A121" s="3106" t="s">
        <v>3331</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5"/>
        <v>0.52690000000000003</v>
      </c>
      <c r="K121" s="3107">
        <f t="shared" si="35"/>
        <v>0.52690000000000003</v>
      </c>
      <c r="L121" s="3107">
        <f t="shared" si="35"/>
        <v>0.52690000000000003</v>
      </c>
      <c r="M121" s="3108">
        <f t="shared" si="35"/>
        <v>0.52690000000000003</v>
      </c>
      <c r="N121" s="3093"/>
    </row>
    <row r="122" spans="1:14">
      <c r="A122" s="3109" t="s">
        <v>2610</v>
      </c>
      <c r="B122" s="3085">
        <f>ROUND(0.9404-0.0106*B116,4)</f>
        <v>0.90490000000000004</v>
      </c>
      <c r="C122" s="3085">
        <f>B122</f>
        <v>0.90490000000000004</v>
      </c>
      <c r="D122" s="3085">
        <f>ROUND(0.8955-0.0135*B116,4)</f>
        <v>0.85029999999999994</v>
      </c>
      <c r="E122" s="3085">
        <f t="shared" ref="E122:H122" si="37">D122</f>
        <v>0.85029999999999994</v>
      </c>
      <c r="F122" s="3085">
        <f t="shared" si="37"/>
        <v>0.85029999999999994</v>
      </c>
      <c r="G122" s="3085">
        <f t="shared" si="37"/>
        <v>0.85029999999999994</v>
      </c>
      <c r="H122" s="3085">
        <f t="shared" si="37"/>
        <v>0.85029999999999994</v>
      </c>
      <c r="I122" s="3085">
        <f>ROUND(0.7632-0.0166*B116,4)</f>
        <v>0.70760000000000001</v>
      </c>
      <c r="J122" s="3085">
        <f t="shared" si="35"/>
        <v>0.70760000000000001</v>
      </c>
      <c r="K122" s="3085">
        <f t="shared" si="35"/>
        <v>0.70760000000000001</v>
      </c>
      <c r="L122" s="3085">
        <f t="shared" si="35"/>
        <v>0.70760000000000001</v>
      </c>
      <c r="M122" s="3105">
        <f t="shared" si="35"/>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390"/>
      <c r="B4" s="3458" t="s">
        <v>917</v>
      </c>
      <c r="C4" s="3458"/>
      <c r="D4" s="3458"/>
      <c r="E4" s="1390"/>
    </row>
    <row r="5" spans="1:5" ht="16.5" thickTop="1">
      <c r="B5" s="3456" t="s">
        <v>909</v>
      </c>
      <c r="C5" s="1391" t="s">
        <v>910</v>
      </c>
      <c r="D5" s="797" t="e">
        <f ca="1">结果表!H101</f>
        <v>#REF!</v>
      </c>
    </row>
    <row r="6" spans="1:5" ht="15.75">
      <c r="B6" s="3456"/>
      <c r="C6" s="1391" t="s">
        <v>911</v>
      </c>
      <c r="D6" s="797" t="e">
        <f ca="1">NUMBERSTRING(INT(D5*10000),2)&amp;"元整"</f>
        <v>#REF!</v>
      </c>
    </row>
    <row r="7" spans="1:5" ht="15.75">
      <c r="B7" s="3461"/>
      <c r="C7" s="1392" t="s">
        <v>912</v>
      </c>
      <c r="D7" s="798" t="e">
        <f ca="1">结果表!H102</f>
        <v>#REF!</v>
      </c>
    </row>
    <row r="8" spans="1:5" ht="15.75">
      <c r="B8" s="3462" t="str">
        <f>结果表!E103</f>
        <v>2.估价师知悉的法定优先受偿款</v>
      </c>
      <c r="C8" s="1393" t="s">
        <v>913</v>
      </c>
      <c r="D8" s="798">
        <f>结果表!H103</f>
        <v>0</v>
      </c>
    </row>
    <row r="9" spans="1:5" ht="15.75">
      <c r="B9" s="346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455" t="str">
        <f>结果表!E107</f>
        <v>3.房地产抵押价值</v>
      </c>
      <c r="C13" s="1396" t="s">
        <v>910</v>
      </c>
      <c r="D13" s="800" t="e">
        <f ca="1">结果表!H107</f>
        <v>#REF!</v>
      </c>
    </row>
    <row r="14" spans="1:5" ht="15.75">
      <c r="B14" s="3456"/>
      <c r="C14" s="1391" t="s">
        <v>911</v>
      </c>
      <c r="D14" s="797" t="e">
        <f ca="1">NUMBERSTRING(INT(D13*10000),2)&amp;"元整"</f>
        <v>#REF!</v>
      </c>
    </row>
    <row r="15" spans="1:5" ht="15">
      <c r="B15" s="3461"/>
      <c r="C15" s="1392" t="s">
        <v>921</v>
      </c>
      <c r="D15" s="806" t="e">
        <f ca="1">结果表!H108</f>
        <v>#REF!</v>
      </c>
    </row>
    <row r="16" spans="1:5" ht="15">
      <c r="B16" s="3462" t="str">
        <f>结果表!E109</f>
        <v>——</v>
      </c>
      <c r="C16" s="1396" t="s">
        <v>922</v>
      </c>
      <c r="D16" s="1397" t="str">
        <f>结果表!H109</f>
        <v>——</v>
      </c>
    </row>
    <row r="17" spans="1:5" ht="15.75">
      <c r="B17" s="3463"/>
      <c r="C17" s="1391" t="s">
        <v>923</v>
      </c>
      <c r="D17" s="797" t="e">
        <f>NUMBERSTRING(INT(D16*10000),2)&amp;"元整"</f>
        <v>#VALUE!</v>
      </c>
    </row>
    <row r="18" spans="1:5" ht="15">
      <c r="B18" s="3464"/>
      <c r="C18" s="1392" t="s">
        <v>912</v>
      </c>
      <c r="D18" s="806" t="str">
        <f>结果表!H110</f>
        <v>——</v>
      </c>
    </row>
    <row r="19" spans="1:5" ht="15.75">
      <c r="B19" s="3455" t="str">
        <f>结果表!E111</f>
        <v>——</v>
      </c>
      <c r="C19" s="1396" t="s">
        <v>910</v>
      </c>
      <c r="D19" s="798" t="str">
        <f>结果表!H111</f>
        <v>——</v>
      </c>
    </row>
    <row r="20" spans="1:5" ht="15.75">
      <c r="B20" s="3456"/>
      <c r="C20" s="1391" t="s">
        <v>923</v>
      </c>
      <c r="D20" s="797" t="e">
        <f>NUMBERSTRING(INT(D19*10000),2)&amp;"元整"</f>
        <v>#VALUE!</v>
      </c>
    </row>
    <row r="21" spans="1:5" ht="15.75" thickBot="1">
      <c r="B21" s="345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770" t="s">
        <v>2605</v>
      </c>
      <c r="B20" s="3763" t="s">
        <v>2626</v>
      </c>
      <c r="C20" s="2838" t="s">
        <v>2437</v>
      </c>
      <c r="D20" s="2839"/>
      <c r="E20" s="2840">
        <v>1</v>
      </c>
      <c r="F20" s="2841" t="s">
        <v>2438</v>
      </c>
      <c r="G20" s="2841"/>
    </row>
    <row r="21" spans="1:13" ht="19.5" customHeight="1">
      <c r="A21" s="3771"/>
      <c r="B21" s="3764"/>
      <c r="C21" s="2842" t="s">
        <v>2439</v>
      </c>
      <c r="D21" s="2843"/>
      <c r="E21" s="2844">
        <v>1</v>
      </c>
      <c r="F21" s="2841" t="s">
        <v>2440</v>
      </c>
      <c r="G21" s="2841"/>
    </row>
    <row r="22" spans="1:13" ht="19.5" customHeight="1">
      <c r="A22" s="3771"/>
      <c r="B22" s="3764"/>
      <c r="C22" s="2842" t="s">
        <v>2441</v>
      </c>
      <c r="D22" s="2843"/>
      <c r="E22" s="2844">
        <v>0.9</v>
      </c>
      <c r="F22" s="2841" t="s">
        <v>2442</v>
      </c>
      <c r="G22" s="2841"/>
    </row>
    <row r="23" spans="1:13" ht="19.5" customHeight="1">
      <c r="A23" s="3771"/>
      <c r="B23" s="3764"/>
      <c r="C23" s="2842" t="s">
        <v>2443</v>
      </c>
      <c r="D23" s="2843"/>
      <c r="E23" s="2844">
        <v>0.9</v>
      </c>
      <c r="F23" s="2841" t="s">
        <v>2444</v>
      </c>
      <c r="G23" s="2841"/>
    </row>
    <row r="24" spans="1:13" ht="19.5" customHeight="1">
      <c r="A24" s="3771"/>
      <c r="B24" s="3764"/>
      <c r="C24" s="2842" t="s">
        <v>2445</v>
      </c>
      <c r="D24" s="2843"/>
      <c r="E24" s="2844">
        <v>0.8</v>
      </c>
      <c r="F24" s="2841" t="s">
        <v>2446</v>
      </c>
      <c r="G24" s="2841"/>
    </row>
    <row r="25" spans="1:13" ht="19.5" customHeight="1" thickBot="1">
      <c r="A25" s="3772"/>
      <c r="B25" s="3765"/>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766" t="s">
        <v>2629</v>
      </c>
      <c r="B27" s="3763" t="s">
        <v>2610</v>
      </c>
      <c r="C27" s="2838" t="s">
        <v>2450</v>
      </c>
      <c r="D27" s="2839"/>
      <c r="E27" s="2840">
        <v>1</v>
      </c>
      <c r="F27" s="2841" t="s">
        <v>2451</v>
      </c>
      <c r="G27" s="2841"/>
    </row>
    <row r="28" spans="1:13" ht="19.5" customHeight="1">
      <c r="A28" s="3767"/>
      <c r="B28" s="3764"/>
      <c r="C28" s="2842" t="s">
        <v>2452</v>
      </c>
      <c r="D28" s="2843"/>
      <c r="E28" s="2844">
        <v>1</v>
      </c>
      <c r="F28" s="2841" t="s">
        <v>2453</v>
      </c>
      <c r="G28" s="2841"/>
    </row>
    <row r="29" spans="1:13" ht="19.5" customHeight="1">
      <c r="A29" s="3767"/>
      <c r="B29" s="3764"/>
      <c r="C29" s="2842" t="s">
        <v>2454</v>
      </c>
      <c r="D29" s="2843"/>
      <c r="E29" s="2844">
        <v>0.8</v>
      </c>
      <c r="F29" s="2841" t="s">
        <v>2455</v>
      </c>
      <c r="G29" s="2841"/>
    </row>
    <row r="30" spans="1:13" ht="19.5" customHeight="1">
      <c r="A30" s="3767"/>
      <c r="B30" s="3764"/>
      <c r="C30" s="2842" t="s">
        <v>2456</v>
      </c>
      <c r="D30" s="2843"/>
      <c r="E30" s="2844">
        <v>0.8</v>
      </c>
      <c r="F30" s="2841" t="s">
        <v>2457</v>
      </c>
      <c r="G30" s="2841"/>
    </row>
    <row r="31" spans="1:13" ht="19.5" customHeight="1">
      <c r="A31" s="3767"/>
      <c r="B31" s="3764"/>
      <c r="C31" s="2842" t="s">
        <v>2458</v>
      </c>
      <c r="D31" s="2843"/>
      <c r="E31" s="2844">
        <v>0.8</v>
      </c>
      <c r="F31" s="2841" t="s">
        <v>2459</v>
      </c>
      <c r="G31" s="2841"/>
    </row>
    <row r="32" spans="1:13" ht="19.5" customHeight="1">
      <c r="A32" s="3767"/>
      <c r="B32" s="3764"/>
      <c r="C32" s="2842" t="s">
        <v>2460</v>
      </c>
      <c r="D32" s="2843"/>
      <c r="E32" s="2844">
        <v>0.7</v>
      </c>
      <c r="F32" s="2841" t="s">
        <v>2461</v>
      </c>
      <c r="G32" s="2841"/>
    </row>
    <row r="33" spans="1:7" ht="19.5" customHeight="1">
      <c r="A33" s="3767"/>
      <c r="B33" s="3764"/>
      <c r="C33" s="2842" t="s">
        <v>2462</v>
      </c>
      <c r="D33" s="2843"/>
      <c r="E33" s="2844">
        <v>0.8</v>
      </c>
      <c r="F33" s="2841" t="s">
        <v>2463</v>
      </c>
      <c r="G33" s="2841"/>
    </row>
    <row r="34" spans="1:7" ht="19.5" customHeight="1">
      <c r="A34" s="3767"/>
      <c r="B34" s="3764"/>
      <c r="C34" s="2842" t="s">
        <v>2464</v>
      </c>
      <c r="D34" s="2843"/>
      <c r="E34" s="2844">
        <v>0.6</v>
      </c>
      <c r="F34" s="2841" t="s">
        <v>2465</v>
      </c>
      <c r="G34" s="2841"/>
    </row>
    <row r="35" spans="1:7" ht="19.5" customHeight="1">
      <c r="A35" s="3767"/>
      <c r="B35" s="3764"/>
      <c r="C35" s="2842" t="s">
        <v>2466</v>
      </c>
      <c r="D35" s="2843"/>
      <c r="E35" s="2844">
        <v>0.2</v>
      </c>
      <c r="F35" s="2841" t="s">
        <v>2467</v>
      </c>
      <c r="G35" s="2841"/>
    </row>
    <row r="36" spans="1:7" ht="19.5" customHeight="1">
      <c r="A36" s="3767"/>
      <c r="B36" s="3764"/>
      <c r="C36" s="2842" t="s">
        <v>2468</v>
      </c>
      <c r="D36" s="2843"/>
      <c r="E36" s="2844">
        <v>0.2</v>
      </c>
      <c r="F36" s="2841" t="s">
        <v>2469</v>
      </c>
      <c r="G36" s="2841"/>
    </row>
    <row r="37" spans="1:7" ht="19.5" customHeight="1">
      <c r="A37" s="3767"/>
      <c r="B37" s="3769" t="s">
        <v>2630</v>
      </c>
      <c r="C37" s="2842" t="s">
        <v>2470</v>
      </c>
      <c r="D37" s="2843"/>
      <c r="E37" s="2844">
        <v>0.6</v>
      </c>
      <c r="F37" s="2841" t="s">
        <v>2471</v>
      </c>
      <c r="G37" s="2841"/>
    </row>
    <row r="38" spans="1:7" ht="19.5" customHeight="1">
      <c r="A38" s="3767"/>
      <c r="B38" s="3764"/>
      <c r="C38" s="2842" t="s">
        <v>2472</v>
      </c>
      <c r="D38" s="2843"/>
      <c r="E38" s="2844">
        <v>0.6</v>
      </c>
      <c r="F38" s="2841" t="s">
        <v>2473</v>
      </c>
      <c r="G38" s="2841"/>
    </row>
    <row r="39" spans="1:7" ht="19.5" customHeight="1" thickBot="1">
      <c r="A39" s="3768"/>
      <c r="B39" s="3765"/>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770" t="s">
        <v>2608</v>
      </c>
      <c r="B41" s="3763" t="s">
        <v>2632</v>
      </c>
      <c r="C41" s="2838" t="s">
        <v>2477</v>
      </c>
      <c r="D41" s="2839"/>
      <c r="E41" s="2840">
        <v>1</v>
      </c>
      <c r="F41" s="2841" t="s">
        <v>2478</v>
      </c>
      <c r="G41" s="2841"/>
    </row>
    <row r="42" spans="1:7" ht="19.5" customHeight="1">
      <c r="A42" s="3771"/>
      <c r="B42" s="3764"/>
      <c r="C42" s="2842" t="s">
        <v>2479</v>
      </c>
      <c r="D42" s="2843"/>
      <c r="E42" s="2844">
        <v>1</v>
      </c>
      <c r="F42" s="2841" t="s">
        <v>2480</v>
      </c>
      <c r="G42" s="2841"/>
    </row>
    <row r="43" spans="1:7" ht="19.5" customHeight="1">
      <c r="A43" s="3771"/>
      <c r="B43" s="3773"/>
      <c r="C43" s="2842" t="s">
        <v>2481</v>
      </c>
      <c r="D43" s="2843"/>
      <c r="E43" s="2844">
        <v>1.5</v>
      </c>
      <c r="F43" s="2841" t="s">
        <v>2482</v>
      </c>
      <c r="G43" s="2841"/>
    </row>
    <row r="44" spans="1:7" ht="19.5" customHeight="1">
      <c r="A44" s="3771"/>
      <c r="B44" s="2853" t="s">
        <v>2633</v>
      </c>
      <c r="C44" s="2842" t="s">
        <v>2634</v>
      </c>
      <c r="D44" s="2843"/>
      <c r="E44" s="2844">
        <v>2</v>
      </c>
      <c r="F44" s="2841" t="s">
        <v>2483</v>
      </c>
      <c r="G44" s="2841"/>
    </row>
    <row r="45" spans="1:7" ht="19.5" customHeight="1">
      <c r="A45" s="3771"/>
      <c r="B45" s="3769" t="s">
        <v>2635</v>
      </c>
      <c r="C45" s="2842" t="s">
        <v>2484</v>
      </c>
      <c r="D45" s="2843"/>
      <c r="E45" s="2844">
        <v>1</v>
      </c>
      <c r="F45" s="2841" t="s">
        <v>2485</v>
      </c>
      <c r="G45" s="2841"/>
    </row>
    <row r="46" spans="1:7" ht="19.5" customHeight="1">
      <c r="A46" s="3771"/>
      <c r="B46" s="3764"/>
      <c r="C46" s="2842" t="s">
        <v>2486</v>
      </c>
      <c r="D46" s="2843"/>
      <c r="E46" s="2844">
        <v>1</v>
      </c>
      <c r="F46" s="2841" t="s">
        <v>2487</v>
      </c>
      <c r="G46" s="2841"/>
    </row>
    <row r="47" spans="1:7" ht="19.5" customHeight="1">
      <c r="A47" s="3771"/>
      <c r="B47" s="3764"/>
      <c r="C47" s="2842" t="s">
        <v>2488</v>
      </c>
      <c r="D47" s="2843"/>
      <c r="E47" s="2844">
        <v>1</v>
      </c>
      <c r="F47" s="2841" t="s">
        <v>2489</v>
      </c>
      <c r="G47" s="2841"/>
    </row>
    <row r="48" spans="1:7" ht="19.5" customHeight="1">
      <c r="A48" s="3771"/>
      <c r="B48" s="3764"/>
      <c r="C48" s="2842" t="s">
        <v>2490</v>
      </c>
      <c r="D48" s="2843"/>
      <c r="E48" s="2844">
        <v>1</v>
      </c>
      <c r="F48" s="2841" t="s">
        <v>2491</v>
      </c>
      <c r="G48" s="2841"/>
    </row>
    <row r="49" spans="1:7" ht="19.5" customHeight="1">
      <c r="A49" s="3771"/>
      <c r="B49" s="3764"/>
      <c r="C49" s="2842" t="s">
        <v>2492</v>
      </c>
      <c r="D49" s="2843"/>
      <c r="E49" s="2844">
        <v>1</v>
      </c>
      <c r="F49" s="2841" t="s">
        <v>2493</v>
      </c>
      <c r="G49" s="2841"/>
    </row>
    <row r="50" spans="1:7" ht="19.5" customHeight="1">
      <c r="A50" s="3771"/>
      <c r="B50" s="3764"/>
      <c r="C50" s="2842" t="s">
        <v>2494</v>
      </c>
      <c r="D50" s="2843"/>
      <c r="E50" s="2844">
        <v>1</v>
      </c>
      <c r="F50" s="2841" t="s">
        <v>2495</v>
      </c>
      <c r="G50" s="2841"/>
    </row>
    <row r="51" spans="1:7" ht="19.5" customHeight="1" thickBot="1">
      <c r="A51" s="3772"/>
      <c r="B51" s="3765"/>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769" t="s">
        <v>2649</v>
      </c>
      <c r="C73" s="2827" t="s">
        <v>2650</v>
      </c>
      <c r="D73" s="2827" t="s">
        <v>2651</v>
      </c>
      <c r="E73" s="2853">
        <v>0.2</v>
      </c>
      <c r="F73" s="2853">
        <v>25</v>
      </c>
    </row>
    <row r="74" spans="1:7" ht="24">
      <c r="A74" s="2853">
        <v>2</v>
      </c>
      <c r="B74" s="3764"/>
      <c r="C74" s="2827" t="s">
        <v>2652</v>
      </c>
      <c r="D74" s="2827" t="s">
        <v>2653</v>
      </c>
      <c r="E74" s="2853">
        <v>0.2</v>
      </c>
      <c r="F74" s="2853">
        <v>25</v>
      </c>
    </row>
    <row r="75" spans="1:7" ht="24">
      <c r="A75" s="2853">
        <v>3</v>
      </c>
      <c r="B75" s="3764"/>
      <c r="C75" s="2827" t="s">
        <v>2654</v>
      </c>
      <c r="D75" s="2827" t="s">
        <v>2655</v>
      </c>
      <c r="E75" s="2853">
        <v>0.2</v>
      </c>
      <c r="F75" s="2853">
        <v>25</v>
      </c>
    </row>
    <row r="76" spans="1:7" ht="13.5">
      <c r="A76" s="2853">
        <v>4</v>
      </c>
      <c r="B76" s="3764"/>
      <c r="C76" s="2827" t="s">
        <v>2656</v>
      </c>
      <c r="D76" s="2827" t="s">
        <v>2657</v>
      </c>
      <c r="E76" s="2853">
        <v>0.15</v>
      </c>
      <c r="F76" s="2853">
        <v>20</v>
      </c>
    </row>
    <row r="77" spans="1:7" ht="24">
      <c r="A77" s="2853">
        <v>5</v>
      </c>
      <c r="B77" s="3764"/>
      <c r="C77" s="2827" t="s">
        <v>2658</v>
      </c>
      <c r="D77" s="2827" t="s">
        <v>2659</v>
      </c>
      <c r="E77" s="2853">
        <v>0.15</v>
      </c>
      <c r="F77" s="2853">
        <v>20</v>
      </c>
    </row>
    <row r="78" spans="1:7" ht="24">
      <c r="A78" s="2853">
        <v>6</v>
      </c>
      <c r="B78" s="3764"/>
      <c r="C78" s="2827" t="s">
        <v>2660</v>
      </c>
      <c r="D78" s="2827" t="s">
        <v>2661</v>
      </c>
      <c r="E78" s="2853">
        <v>0.15</v>
      </c>
      <c r="F78" s="2853">
        <v>20</v>
      </c>
    </row>
    <row r="79" spans="1:7" ht="24">
      <c r="A79" s="2853">
        <v>7</v>
      </c>
      <c r="B79" s="3764"/>
      <c r="C79" s="2827" t="s">
        <v>2662</v>
      </c>
      <c r="D79" s="2827" t="s">
        <v>2663</v>
      </c>
      <c r="E79" s="2853">
        <v>0.15</v>
      </c>
      <c r="F79" s="2853">
        <v>20</v>
      </c>
    </row>
    <row r="80" spans="1:7" ht="24">
      <c r="A80" s="2853">
        <v>8</v>
      </c>
      <c r="B80" s="3764"/>
      <c r="C80" s="2827" t="s">
        <v>2664</v>
      </c>
      <c r="D80" s="2827" t="s">
        <v>2665</v>
      </c>
      <c r="E80" s="2853">
        <v>0.1</v>
      </c>
      <c r="F80" s="2853">
        <v>15</v>
      </c>
    </row>
    <row r="81" spans="1:6" ht="24">
      <c r="A81" s="2853">
        <v>9</v>
      </c>
      <c r="B81" s="3764"/>
      <c r="C81" s="2827" t="s">
        <v>2666</v>
      </c>
      <c r="D81" s="2827" t="s">
        <v>2667</v>
      </c>
      <c r="E81" s="2853">
        <v>0.1</v>
      </c>
      <c r="F81" s="2853">
        <v>15</v>
      </c>
    </row>
    <row r="82" spans="1:6" ht="24">
      <c r="A82" s="2853">
        <v>10</v>
      </c>
      <c r="B82" s="3764"/>
      <c r="C82" s="2827" t="s">
        <v>2668</v>
      </c>
      <c r="D82" s="2827" t="s">
        <v>2669</v>
      </c>
      <c r="E82" s="2853">
        <v>0.1</v>
      </c>
      <c r="F82" s="2853">
        <v>15</v>
      </c>
    </row>
    <row r="83" spans="1:6" ht="24">
      <c r="A83" s="2853">
        <v>11</v>
      </c>
      <c r="B83" s="3764"/>
      <c r="C83" s="2827" t="s">
        <v>2670</v>
      </c>
      <c r="D83" s="2827" t="s">
        <v>2671</v>
      </c>
      <c r="E83" s="2853">
        <v>0.1</v>
      </c>
      <c r="F83" s="2853">
        <v>15</v>
      </c>
    </row>
    <row r="84" spans="1:6" ht="24">
      <c r="A84" s="2853">
        <v>12</v>
      </c>
      <c r="B84" s="3764"/>
      <c r="C84" s="2827" t="s">
        <v>2672</v>
      </c>
      <c r="D84" s="2827" t="s">
        <v>2673</v>
      </c>
      <c r="E84" s="2853">
        <v>0.1</v>
      </c>
      <c r="F84" s="2853">
        <v>15</v>
      </c>
    </row>
    <row r="85" spans="1:6" ht="13.5">
      <c r="A85" s="2853">
        <v>13</v>
      </c>
      <c r="B85" s="3764"/>
      <c r="C85" s="2827" t="s">
        <v>2674</v>
      </c>
      <c r="D85" s="2827" t="s">
        <v>2675</v>
      </c>
      <c r="E85" s="2853">
        <v>0.1</v>
      </c>
      <c r="F85" s="2853">
        <v>15</v>
      </c>
    </row>
    <row r="86" spans="1:6" ht="13.5">
      <c r="A86" s="2853">
        <v>14</v>
      </c>
      <c r="B86" s="3764"/>
      <c r="C86" s="2827" t="s">
        <v>2676</v>
      </c>
      <c r="D86" s="2827" t="s">
        <v>2677</v>
      </c>
      <c r="E86" s="2853">
        <v>0.1</v>
      </c>
      <c r="F86" s="2853">
        <v>15</v>
      </c>
    </row>
    <row r="87" spans="1:6" ht="13.5">
      <c r="A87" s="2853">
        <v>15</v>
      </c>
      <c r="B87" s="3764"/>
      <c r="C87" s="2827" t="s">
        <v>2678</v>
      </c>
      <c r="D87" s="2827" t="s">
        <v>2679</v>
      </c>
      <c r="E87" s="2853">
        <v>0.1</v>
      </c>
      <c r="F87" s="2853">
        <v>15</v>
      </c>
    </row>
    <row r="88" spans="1:6" ht="24">
      <c r="A88" s="2853">
        <v>16</v>
      </c>
      <c r="B88" s="3764"/>
      <c r="C88" s="2827" t="s">
        <v>2680</v>
      </c>
      <c r="D88" s="2827" t="s">
        <v>2681</v>
      </c>
      <c r="E88" s="2853">
        <v>0.1</v>
      </c>
      <c r="F88" s="2853">
        <v>15</v>
      </c>
    </row>
    <row r="89" spans="1:6" ht="24">
      <c r="A89" s="2853">
        <v>17</v>
      </c>
      <c r="B89" s="3773"/>
      <c r="C89" s="2827" t="s">
        <v>2682</v>
      </c>
      <c r="D89" s="2827" t="s">
        <v>2683</v>
      </c>
      <c r="E89" s="2853">
        <v>0.1</v>
      </c>
      <c r="F89" s="2853">
        <v>15</v>
      </c>
    </row>
    <row r="90" spans="1:6" ht="13.5">
      <c r="A90" s="2853">
        <v>18</v>
      </c>
      <c r="B90" s="3769" t="s">
        <v>2684</v>
      </c>
      <c r="C90" s="2827" t="s">
        <v>2685</v>
      </c>
      <c r="D90" s="2827" t="s">
        <v>2686</v>
      </c>
      <c r="E90" s="2853">
        <v>0.2</v>
      </c>
      <c r="F90" s="2853">
        <v>25</v>
      </c>
    </row>
    <row r="91" spans="1:6" ht="24">
      <c r="A91" s="2853">
        <v>19</v>
      </c>
      <c r="B91" s="3764"/>
      <c r="C91" s="2827" t="s">
        <v>2687</v>
      </c>
      <c r="D91" s="2827" t="s">
        <v>2688</v>
      </c>
      <c r="E91" s="2853">
        <v>0.2</v>
      </c>
      <c r="F91" s="2853">
        <v>25</v>
      </c>
    </row>
    <row r="92" spans="1:6" ht="13.5">
      <c r="A92" s="2853">
        <v>20</v>
      </c>
      <c r="B92" s="3764"/>
      <c r="C92" s="2827" t="s">
        <v>2689</v>
      </c>
      <c r="D92" s="2827" t="s">
        <v>2690</v>
      </c>
      <c r="E92" s="2853">
        <v>0.15</v>
      </c>
      <c r="F92" s="2853">
        <v>20</v>
      </c>
    </row>
    <row r="93" spans="1:6" ht="13.5">
      <c r="A93" s="2853">
        <v>21</v>
      </c>
      <c r="B93" s="3764"/>
      <c r="C93" s="2827" t="s">
        <v>2691</v>
      </c>
      <c r="D93" s="2827" t="s">
        <v>2692</v>
      </c>
      <c r="E93" s="2853">
        <v>0.15</v>
      </c>
      <c r="F93" s="2853">
        <v>20</v>
      </c>
    </row>
    <row r="94" spans="1:6" ht="13.5">
      <c r="A94" s="2853">
        <v>22</v>
      </c>
      <c r="B94" s="3764"/>
      <c r="C94" s="2827" t="s">
        <v>2693</v>
      </c>
      <c r="D94" s="2827" t="s">
        <v>2694</v>
      </c>
      <c r="E94" s="2853">
        <v>0.15</v>
      </c>
      <c r="F94" s="2853">
        <v>20</v>
      </c>
    </row>
    <row r="95" spans="1:6" ht="36">
      <c r="A95" s="2853">
        <v>23</v>
      </c>
      <c r="B95" s="3764"/>
      <c r="C95" s="2827" t="s">
        <v>2695</v>
      </c>
      <c r="D95" s="2827" t="s">
        <v>2696</v>
      </c>
      <c r="E95" s="2853">
        <v>0.15</v>
      </c>
      <c r="F95" s="2853">
        <v>20</v>
      </c>
    </row>
    <row r="96" spans="1:6" ht="13.5">
      <c r="A96" s="2853">
        <v>24</v>
      </c>
      <c r="B96" s="3764"/>
      <c r="C96" s="2827" t="s">
        <v>2697</v>
      </c>
      <c r="D96" s="2827" t="s">
        <v>2698</v>
      </c>
      <c r="E96" s="2853">
        <v>0.1</v>
      </c>
      <c r="F96" s="2853">
        <v>15</v>
      </c>
    </row>
    <row r="97" spans="1:6" ht="13.5">
      <c r="A97" s="2853">
        <v>25</v>
      </c>
      <c r="B97" s="3764"/>
      <c r="C97" s="2827" t="s">
        <v>2699</v>
      </c>
      <c r="D97" s="2827" t="s">
        <v>2700</v>
      </c>
      <c r="E97" s="2853">
        <v>0.1</v>
      </c>
      <c r="F97" s="2853">
        <v>15</v>
      </c>
    </row>
    <row r="98" spans="1:6" ht="24">
      <c r="A98" s="2853">
        <v>26</v>
      </c>
      <c r="B98" s="3764"/>
      <c r="C98" s="2827" t="s">
        <v>2701</v>
      </c>
      <c r="D98" s="2827" t="s">
        <v>2702</v>
      </c>
      <c r="E98" s="2853">
        <v>0.1</v>
      </c>
      <c r="F98" s="2853">
        <v>15</v>
      </c>
    </row>
    <row r="99" spans="1:6" ht="24">
      <c r="A99" s="2853">
        <v>27</v>
      </c>
      <c r="B99" s="3764"/>
      <c r="C99" s="2827" t="s">
        <v>2703</v>
      </c>
      <c r="D99" s="2827" t="s">
        <v>2704</v>
      </c>
      <c r="E99" s="2853">
        <v>0.1</v>
      </c>
      <c r="F99" s="2853">
        <v>15</v>
      </c>
    </row>
    <row r="100" spans="1:6" ht="13.5">
      <c r="A100" s="2853">
        <v>28</v>
      </c>
      <c r="B100" s="3764"/>
      <c r="C100" s="2827" t="s">
        <v>2705</v>
      </c>
      <c r="D100" s="2827" t="s">
        <v>2706</v>
      </c>
      <c r="E100" s="2853">
        <v>0.1</v>
      </c>
      <c r="F100" s="2853">
        <v>15</v>
      </c>
    </row>
    <row r="101" spans="1:6" ht="13.5">
      <c r="A101" s="2853">
        <v>29</v>
      </c>
      <c r="B101" s="3764"/>
      <c r="C101" s="2827" t="s">
        <v>2707</v>
      </c>
      <c r="D101" s="2827" t="s">
        <v>2708</v>
      </c>
      <c r="E101" s="2853">
        <v>0.1</v>
      </c>
      <c r="F101" s="2853">
        <v>15</v>
      </c>
    </row>
    <row r="102" spans="1:6" ht="13.5">
      <c r="A102" s="2853">
        <v>30</v>
      </c>
      <c r="B102" s="3764"/>
      <c r="C102" s="2827" t="s">
        <v>2709</v>
      </c>
      <c r="D102" s="2827" t="s">
        <v>2710</v>
      </c>
      <c r="E102" s="2853">
        <v>0.1</v>
      </c>
      <c r="F102" s="2853">
        <v>15</v>
      </c>
    </row>
    <row r="103" spans="1:6" ht="24">
      <c r="A103" s="2853">
        <v>31</v>
      </c>
      <c r="B103" s="3764"/>
      <c r="C103" s="2827" t="s">
        <v>2711</v>
      </c>
      <c r="D103" s="2827" t="s">
        <v>2712</v>
      </c>
      <c r="E103" s="2853">
        <v>0.1</v>
      </c>
      <c r="F103" s="2853">
        <v>15</v>
      </c>
    </row>
    <row r="104" spans="1:6" ht="24">
      <c r="A104" s="2853">
        <v>32</v>
      </c>
      <c r="B104" s="3764"/>
      <c r="C104" s="2827" t="s">
        <v>2713</v>
      </c>
      <c r="D104" s="2827" t="s">
        <v>2714</v>
      </c>
      <c r="E104" s="2853">
        <v>0.1</v>
      </c>
      <c r="F104" s="2853">
        <v>15</v>
      </c>
    </row>
    <row r="105" spans="1:6" ht="24">
      <c r="A105" s="2853">
        <v>33</v>
      </c>
      <c r="B105" s="3764"/>
      <c r="C105" s="2827" t="s">
        <v>2715</v>
      </c>
      <c r="D105" s="2827" t="s">
        <v>2716</v>
      </c>
      <c r="E105" s="2853">
        <v>0.1</v>
      </c>
      <c r="F105" s="2853">
        <v>15</v>
      </c>
    </row>
    <row r="106" spans="1:6" ht="24">
      <c r="A106" s="2853">
        <v>34</v>
      </c>
      <c r="B106" s="3773"/>
      <c r="C106" s="2827" t="s">
        <v>2717</v>
      </c>
      <c r="D106" s="2827" t="s">
        <v>2718</v>
      </c>
      <c r="E106" s="2853">
        <v>0.1</v>
      </c>
      <c r="F106" s="2853">
        <v>15</v>
      </c>
    </row>
    <row r="107" spans="1:6" ht="24">
      <c r="A107" s="2853">
        <v>35</v>
      </c>
      <c r="B107" s="3769" t="s">
        <v>2719</v>
      </c>
      <c r="C107" s="2853" t="s">
        <v>2720</v>
      </c>
      <c r="D107" s="2827" t="s">
        <v>2721</v>
      </c>
      <c r="E107" s="2853">
        <v>0.15</v>
      </c>
      <c r="F107" s="2853">
        <v>20</v>
      </c>
    </row>
    <row r="108" spans="1:6" ht="13.5">
      <c r="A108" s="2853">
        <v>36</v>
      </c>
      <c r="B108" s="3764"/>
      <c r="C108" s="2853" t="s">
        <v>2722</v>
      </c>
      <c r="D108" s="2827" t="s">
        <v>2723</v>
      </c>
      <c r="E108" s="2853">
        <v>0.15</v>
      </c>
      <c r="F108" s="2853">
        <v>20</v>
      </c>
    </row>
    <row r="109" spans="1:6" ht="13.5">
      <c r="A109" s="2853">
        <v>37</v>
      </c>
      <c r="B109" s="3764"/>
      <c r="C109" s="2853" t="s">
        <v>2724</v>
      </c>
      <c r="D109" s="2827" t="s">
        <v>2725</v>
      </c>
      <c r="E109" s="2853">
        <v>0.15</v>
      </c>
      <c r="F109" s="2853">
        <v>20</v>
      </c>
    </row>
    <row r="110" spans="1:6" ht="13.5">
      <c r="A110" s="2853">
        <v>38</v>
      </c>
      <c r="B110" s="3764"/>
      <c r="C110" s="2853" t="s">
        <v>2726</v>
      </c>
      <c r="D110" s="2827" t="s">
        <v>2727</v>
      </c>
      <c r="E110" s="2853">
        <v>0.1</v>
      </c>
      <c r="F110" s="2853">
        <v>15</v>
      </c>
    </row>
    <row r="111" spans="1:6" ht="24">
      <c r="A111" s="2853">
        <v>39</v>
      </c>
      <c r="B111" s="3764"/>
      <c r="C111" s="2853" t="s">
        <v>2728</v>
      </c>
      <c r="D111" s="2827" t="s">
        <v>2729</v>
      </c>
      <c r="E111" s="2853">
        <v>0.1</v>
      </c>
      <c r="F111" s="2853">
        <v>15</v>
      </c>
    </row>
    <row r="112" spans="1:6" ht="24">
      <c r="A112" s="2853">
        <v>40</v>
      </c>
      <c r="B112" s="3773"/>
      <c r="C112" s="2853" t="s">
        <v>2730</v>
      </c>
      <c r="D112" s="2827" t="s">
        <v>2731</v>
      </c>
      <c r="E112" s="2853">
        <v>0.1</v>
      </c>
      <c r="F112" s="2853">
        <v>15</v>
      </c>
    </row>
    <row r="113" spans="1:6" ht="13.5">
      <c r="A113" s="2853">
        <v>41</v>
      </c>
      <c r="B113" s="3774" t="s">
        <v>2732</v>
      </c>
      <c r="C113" s="2853" t="s">
        <v>2733</v>
      </c>
      <c r="D113" s="2827" t="s">
        <v>2734</v>
      </c>
      <c r="E113" s="2853">
        <v>0.1</v>
      </c>
      <c r="F113" s="2853">
        <v>15</v>
      </c>
    </row>
    <row r="114" spans="1:6" ht="13.5">
      <c r="A114" s="2853">
        <v>42</v>
      </c>
      <c r="B114" s="3774"/>
      <c r="C114" s="2853" t="s">
        <v>2735</v>
      </c>
      <c r="D114" s="2827" t="s">
        <v>2736</v>
      </c>
      <c r="E114" s="2853">
        <v>0.1</v>
      </c>
      <c r="F114" s="2853">
        <v>15</v>
      </c>
    </row>
    <row r="115" spans="1:6" ht="24">
      <c r="A115" s="2853">
        <v>43</v>
      </c>
      <c r="B115" s="3774"/>
      <c r="C115" s="2853" t="s">
        <v>2737</v>
      </c>
      <c r="D115" s="2827" t="s">
        <v>2738</v>
      </c>
      <c r="E115" s="2853">
        <v>0.1</v>
      </c>
      <c r="F115" s="2853">
        <v>15</v>
      </c>
    </row>
    <row r="116" spans="1:6" ht="13.5">
      <c r="A116" s="2853">
        <v>44</v>
      </c>
      <c r="B116" s="3769" t="s">
        <v>2739</v>
      </c>
      <c r="C116" s="2853" t="s">
        <v>2740</v>
      </c>
      <c r="D116" s="2827" t="s">
        <v>2741</v>
      </c>
      <c r="E116" s="2853">
        <v>0.1</v>
      </c>
      <c r="F116" s="2853">
        <v>15</v>
      </c>
    </row>
    <row r="117" spans="1:6" ht="24">
      <c r="A117" s="2853">
        <v>45</v>
      </c>
      <c r="B117" s="3773"/>
      <c r="C117" s="2827" t="s">
        <v>2742</v>
      </c>
      <c r="D117" s="2827" t="s">
        <v>2743</v>
      </c>
      <c r="E117" s="2853">
        <v>0.1</v>
      </c>
      <c r="F117" s="2853">
        <v>15</v>
      </c>
    </row>
    <row r="118" spans="1:6" ht="24">
      <c r="A118" s="2853">
        <v>46</v>
      </c>
      <c r="B118" s="3769" t="s">
        <v>2744</v>
      </c>
      <c r="C118" s="2853" t="s">
        <v>2745</v>
      </c>
      <c r="D118" s="2827" t="s">
        <v>2746</v>
      </c>
      <c r="E118" s="2853">
        <v>0.1</v>
      </c>
      <c r="F118" s="2853">
        <v>15</v>
      </c>
    </row>
    <row r="119" spans="1:6" ht="24">
      <c r="A119" s="2853">
        <v>47</v>
      </c>
      <c r="B119" s="3773"/>
      <c r="C119" s="2853" t="s">
        <v>2747</v>
      </c>
      <c r="D119" s="2827" t="s">
        <v>2748</v>
      </c>
      <c r="E119" s="2853">
        <v>0.1</v>
      </c>
      <c r="F119" s="2853">
        <v>15</v>
      </c>
    </row>
    <row r="120" spans="1:6" ht="13.5">
      <c r="A120" s="2853">
        <v>48</v>
      </c>
      <c r="B120" s="3769" t="s">
        <v>2749</v>
      </c>
      <c r="C120" s="2853" t="s">
        <v>2750</v>
      </c>
      <c r="D120" s="2827" t="s">
        <v>2751</v>
      </c>
      <c r="E120" s="2853">
        <v>0.1</v>
      </c>
      <c r="F120" s="2853">
        <v>15</v>
      </c>
    </row>
    <row r="121" spans="1:6" ht="13.5">
      <c r="A121" s="2853">
        <v>49</v>
      </c>
      <c r="B121" s="3773"/>
      <c r="C121" s="2853" t="s">
        <v>2752</v>
      </c>
      <c r="D121" s="2827" t="s">
        <v>2753</v>
      </c>
      <c r="E121" s="2853">
        <v>0.1</v>
      </c>
      <c r="F121" s="2853">
        <v>15</v>
      </c>
    </row>
    <row r="122" spans="1:6" ht="24">
      <c r="A122" s="2853">
        <v>50</v>
      </c>
      <c r="B122" s="3774" t="s">
        <v>2754</v>
      </c>
      <c r="C122" s="2853" t="s">
        <v>2755</v>
      </c>
      <c r="D122" s="2827" t="s">
        <v>2756</v>
      </c>
      <c r="E122" s="2853">
        <v>0.1</v>
      </c>
      <c r="F122" s="2853">
        <v>15</v>
      </c>
    </row>
    <row r="123" spans="1:6" ht="24">
      <c r="A123" s="2853">
        <v>51</v>
      </c>
      <c r="B123" s="3774"/>
      <c r="C123" s="2853" t="s">
        <v>2757</v>
      </c>
      <c r="D123" s="2827" t="s">
        <v>2758</v>
      </c>
      <c r="E123" s="2853">
        <v>0.1</v>
      </c>
      <c r="F123" s="2853">
        <v>15</v>
      </c>
    </row>
    <row r="124" spans="1:6" ht="24">
      <c r="A124" s="2853">
        <v>52</v>
      </c>
      <c r="B124" s="3774" t="s">
        <v>2759</v>
      </c>
      <c r="C124" s="2853" t="s">
        <v>2760</v>
      </c>
      <c r="D124" s="2827" t="s">
        <v>2761</v>
      </c>
      <c r="E124" s="2853">
        <v>0.1</v>
      </c>
      <c r="F124" s="2853">
        <v>15</v>
      </c>
    </row>
    <row r="125" spans="1:6" ht="24">
      <c r="A125" s="2853">
        <v>53</v>
      </c>
      <c r="B125" s="3774"/>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774" t="s">
        <v>2767</v>
      </c>
      <c r="C127" s="2853" t="s">
        <v>2768</v>
      </c>
      <c r="D127" s="2827" t="s">
        <v>2769</v>
      </c>
      <c r="E127" s="2853">
        <v>0.1</v>
      </c>
      <c r="F127" s="2853">
        <v>15</v>
      </c>
    </row>
    <row r="128" spans="1:6" ht="13.5">
      <c r="A128" s="2853">
        <v>56</v>
      </c>
      <c r="B128" s="3774"/>
      <c r="C128" s="2853" t="s">
        <v>2770</v>
      </c>
      <c r="D128" s="2827" t="s">
        <v>2771</v>
      </c>
      <c r="E128" s="2853">
        <v>0.1</v>
      </c>
      <c r="F128" s="2853">
        <v>15</v>
      </c>
    </row>
    <row r="129" spans="1:6" ht="24">
      <c r="A129" s="2853">
        <v>57</v>
      </c>
      <c r="B129" s="3774"/>
      <c r="C129" s="2853" t="s">
        <v>2772</v>
      </c>
      <c r="D129" s="2827" t="s">
        <v>2773</v>
      </c>
      <c r="E129" s="2853">
        <v>0.1</v>
      </c>
      <c r="F129" s="2853">
        <v>15</v>
      </c>
    </row>
    <row r="130" spans="1:6" ht="24">
      <c r="A130" s="2853">
        <v>58</v>
      </c>
      <c r="B130" s="3774" t="s">
        <v>2774</v>
      </c>
      <c r="C130" s="2853" t="s">
        <v>2775</v>
      </c>
      <c r="D130" s="2827" t="s">
        <v>2776</v>
      </c>
      <c r="E130" s="2853">
        <v>0.1</v>
      </c>
      <c r="F130" s="2853">
        <v>15</v>
      </c>
    </row>
    <row r="131" spans="1:6" ht="13.5">
      <c r="A131" s="2853">
        <v>59</v>
      </c>
      <c r="B131" s="3774"/>
      <c r="C131" s="2853" t="s">
        <v>2777</v>
      </c>
      <c r="D131" s="2827" t="s">
        <v>2778</v>
      </c>
      <c r="E131" s="2853">
        <v>0.1</v>
      </c>
      <c r="F131" s="2853">
        <v>15</v>
      </c>
    </row>
    <row r="132" spans="1:6" ht="13.5">
      <c r="A132" s="2853">
        <v>60</v>
      </c>
      <c r="B132" s="3769" t="s">
        <v>2779</v>
      </c>
      <c r="C132" s="2853" t="s">
        <v>2780</v>
      </c>
      <c r="D132" s="2827" t="s">
        <v>2781</v>
      </c>
      <c r="E132" s="2853">
        <v>0.1</v>
      </c>
      <c r="F132" s="2853">
        <v>15</v>
      </c>
    </row>
    <row r="133" spans="1:6" ht="13.5">
      <c r="A133" s="2853">
        <v>61</v>
      </c>
      <c r="B133" s="3773"/>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774" t="s">
        <v>2787</v>
      </c>
      <c r="C135" s="2853" t="s">
        <v>2788</v>
      </c>
      <c r="D135" s="2827" t="s">
        <v>2789</v>
      </c>
      <c r="E135" s="2853">
        <v>0.1</v>
      </c>
      <c r="F135" s="2853">
        <v>15</v>
      </c>
    </row>
    <row r="136" spans="1:6" ht="13.5">
      <c r="A136" s="2853">
        <v>64</v>
      </c>
      <c r="B136" s="3774"/>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1.0082</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0.95489999999999997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28731</v>
      </c>
      <c r="C2" s="2" t="s">
        <v>106</v>
      </c>
      <c r="D2" s="191"/>
      <c r="E2" s="191"/>
      <c r="F2" s="191"/>
      <c r="G2" s="191"/>
    </row>
    <row r="3" spans="1:7" s="192" customFormat="1" ht="18" customHeight="1" thickBot="1">
      <c r="A3" s="195" t="s">
        <v>58</v>
      </c>
      <c r="B3" s="196">
        <f ca="1">ROUND(B2*10000/'数据-汇总表'!E3,0)</f>
        <v>1404664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204.54</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204.54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1218</v>
      </c>
      <c r="D22" s="227">
        <f ca="1">C26</f>
        <v>5.9999999999999995E-4</v>
      </c>
      <c r="E22" s="228" t="s">
        <v>99</v>
      </c>
      <c r="F22" s="229">
        <f ca="1">'数据-取费表'!B40</f>
        <v>5.8499999999999996E-2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1206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204.54</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636" t="s">
        <v>94</v>
      </c>
    </row>
    <row r="43" spans="1:7" ht="13.5" customHeight="1">
      <c r="A43" s="734" t="s">
        <v>347</v>
      </c>
      <c r="B43" s="207" t="s">
        <v>426</v>
      </c>
      <c r="C43" s="230">
        <f ca="1">ROUND(IF('数据-取费表'!B22&lt;=1,C39*F22*'数据-取费表'!B21/2,C39*(POWER((1+F22),'数据-取费表'!B21/2)-1)),0)</f>
        <v>0</v>
      </c>
      <c r="D43" s="230"/>
      <c r="E43" s="230"/>
      <c r="F43" s="231"/>
      <c r="G43" s="3637"/>
    </row>
    <row r="44" spans="1:7" ht="13.5" customHeight="1">
      <c r="A44" s="734" t="s">
        <v>348</v>
      </c>
      <c r="B44" s="207" t="s">
        <v>428</v>
      </c>
      <c r="C44" s="230">
        <f ca="1">ROUND(IF('数据-取费表'!B22&lt;=1,C40*F22*'数据-取费表'!B21/2,C40*(POWER((1+F22),'数据-取费表'!B21/2)-1)),4)</f>
        <v>5.9999999999999995E-4</v>
      </c>
      <c r="D44" s="230"/>
      <c r="E44" s="230"/>
      <c r="F44" s="231"/>
      <c r="G44" s="3638"/>
    </row>
    <row r="45" spans="1:7" s="206" customFormat="1" ht="13.5" customHeight="1">
      <c r="A45" s="731" t="s">
        <v>341</v>
      </c>
      <c r="B45" s="236" t="s">
        <v>85</v>
      </c>
      <c r="C45" s="237">
        <f>C46</f>
        <v>12</v>
      </c>
      <c r="D45" s="227">
        <f>C47</f>
        <v>4.0000000000000001E-3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76</v>
      </c>
      <c r="D51" s="224"/>
      <c r="E51" s="224"/>
      <c r="F51" s="256"/>
      <c r="G51" s="226" t="s">
        <v>37</v>
      </c>
    </row>
    <row r="52" spans="1:7" s="200" customFormat="1" ht="16.5" thickBot="1">
      <c r="A52" s="257" t="s">
        <v>38</v>
      </c>
      <c r="B52" s="258"/>
      <c r="C52" s="259">
        <f ca="1">C31+C51</f>
        <v>28731</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777" t="s">
        <v>2839</v>
      </c>
      <c r="B1" s="3777"/>
      <c r="C1" s="3777"/>
      <c r="D1" s="3777"/>
      <c r="E1" s="3777"/>
      <c r="F1" s="3777"/>
      <c r="G1" s="3778"/>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775" t="s">
        <v>2866</v>
      </c>
      <c r="B3" s="2940"/>
      <c r="C3" s="2941" t="s">
        <v>2809</v>
      </c>
      <c r="D3" s="2941" t="s">
        <v>2867</v>
      </c>
      <c r="E3" s="2941" t="s">
        <v>2811</v>
      </c>
      <c r="F3" s="2941" t="s">
        <v>2868</v>
      </c>
      <c r="G3" s="2941" t="s">
        <v>2629</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776"/>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779" t="s">
        <v>3181</v>
      </c>
      <c r="B1" s="3779"/>
    </row>
    <row r="2" spans="1:7" ht="14.25" thickBot="1">
      <c r="A2" s="2964"/>
      <c r="B2" s="2964"/>
    </row>
    <row r="3" spans="1:7" ht="14.25" thickBot="1">
      <c r="A3" s="2964"/>
      <c r="B3" s="2964"/>
      <c r="C3" s="2965" t="s">
        <v>2809</v>
      </c>
      <c r="D3" s="2965" t="s">
        <v>2867</v>
      </c>
      <c r="E3" s="2965" t="s">
        <v>2811</v>
      </c>
      <c r="F3" s="2965" t="s">
        <v>2868</v>
      </c>
      <c r="G3" s="2965" t="s">
        <v>2629</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780" t="s">
        <v>3232</v>
      </c>
      <c r="B1" s="3780"/>
      <c r="C1" s="3780"/>
      <c r="D1" s="3780"/>
      <c r="E1" s="3780"/>
      <c r="F1" s="3781"/>
    </row>
    <row r="2" spans="1:6" ht="14.25">
      <c r="A2" s="2998" t="s">
        <v>3233</v>
      </c>
    </row>
    <row r="3" spans="1:6" ht="14.25">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38867</v>
      </c>
      <c r="B1" s="2925" t="s">
        <v>2838</v>
      </c>
      <c r="C1" s="2926"/>
      <c r="D1" s="2926"/>
      <c r="E1" s="2926"/>
      <c r="F1" s="2926"/>
      <c r="G1" s="2926"/>
      <c r="H1" s="2926"/>
      <c r="I1" s="2926"/>
      <c r="J1" s="2892"/>
      <c r="K1" s="2926" t="s">
        <v>454</v>
      </c>
      <c r="L1" s="2926"/>
      <c r="M1" s="2926"/>
      <c r="N1" s="2926"/>
      <c r="O1" s="2926"/>
      <c r="P1" s="2926"/>
      <c r="Q1" s="2892"/>
      <c r="R1" s="3782" t="s">
        <v>456</v>
      </c>
      <c r="S1" s="3783"/>
      <c r="T1" s="3783"/>
      <c r="U1" s="3783"/>
      <c r="V1" s="3783"/>
      <c r="W1" s="3783"/>
      <c r="X1" s="2892"/>
      <c r="Y1" s="3782" t="s">
        <v>457</v>
      </c>
      <c r="Z1" s="3783"/>
      <c r="AA1" s="3783"/>
      <c r="AB1" s="3783"/>
      <c r="AC1" s="3783"/>
      <c r="AD1" s="3783"/>
    </row>
    <row r="2" spans="1:30" s="2006" customFormat="1" ht="14.2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2.75">
      <c r="A3" s="2880" t="s">
        <v>2817</v>
      </c>
      <c r="B3" s="2881"/>
      <c r="D3" s="2882">
        <f>ROUND(AVERAGEIF(D4:D16,"&lt;&gt;0"),2)</f>
        <v>0.82</v>
      </c>
      <c r="E3" s="2882">
        <f t="shared" ref="E3:H3" si="0">ROUND(AVERAGEIF(E4:E16,"&lt;&gt;0"),2)</f>
        <v>0.38</v>
      </c>
      <c r="F3" s="2882">
        <f t="shared" si="0"/>
        <v>0.2</v>
      </c>
      <c r="G3" s="2882">
        <f t="shared" si="0"/>
        <v>0.89</v>
      </c>
      <c r="H3" s="2882">
        <f t="shared" si="0"/>
        <v>0.64</v>
      </c>
      <c r="I3" s="2882">
        <f>F3</f>
        <v>0.2</v>
      </c>
      <c r="J3" s="2883"/>
      <c r="K3" s="2884">
        <f>ROUND(AVERAGEIF(K4:K16,"&lt;&gt;0"),4)</f>
        <v>8.2000000000000007E-3</v>
      </c>
      <c r="L3" s="2885">
        <f t="shared" ref="L3:O3" si="1">ROUND(AVERAGEIF(L4:L16,"&lt;&gt;0"),4)</f>
        <v>3.8E-3</v>
      </c>
      <c r="M3" s="2885">
        <f t="shared" si="1"/>
        <v>2E-3</v>
      </c>
      <c r="N3" s="2885">
        <f t="shared" si="1"/>
        <v>8.8999999999999999E-3</v>
      </c>
      <c r="O3" s="2885">
        <f t="shared" si="1"/>
        <v>6.4000000000000003E-3</v>
      </c>
      <c r="P3" s="2885">
        <f>M3</f>
        <v>2E-3</v>
      </c>
      <c r="Q3" s="2883"/>
      <c r="R3" s="2886">
        <f>ROUND(SUMPRODUCT(PRODUCT(1+K4:K16)),4)</f>
        <v>1.0763</v>
      </c>
      <c r="S3" s="2887">
        <f t="shared" ref="S3:V3" si="2">ROUND(SUMPRODUCT(PRODUCT(1+L4:L16)),4)</f>
        <v>1.0343</v>
      </c>
      <c r="T3" s="2887">
        <f t="shared" si="2"/>
        <v>1.0177</v>
      </c>
      <c r="U3" s="2887">
        <f t="shared" si="2"/>
        <v>1.0833999999999999</v>
      </c>
      <c r="V3" s="2887">
        <f t="shared" si="2"/>
        <v>1.0592999999999999</v>
      </c>
      <c r="W3" s="2886">
        <f>T3</f>
        <v>1.0177</v>
      </c>
      <c r="X3" s="2883"/>
      <c r="Y3" s="2888">
        <f>ROUND(AVERAGEIF(Y5:Y16,"&lt;&gt;0"),4)</f>
        <v>8.6999999999999994E-3</v>
      </c>
      <c r="Z3" s="2889">
        <f t="shared" ref="Z3:AC3" si="3">ROUND(AVERAGEIF(Z5:Z16,"&lt;&gt;0"),4)</f>
        <v>3.5000000000000001E-3</v>
      </c>
      <c r="AA3" s="2890">
        <f t="shared" si="3"/>
        <v>8.9999999999999998E-4</v>
      </c>
      <c r="AB3" s="2888">
        <f t="shared" si="3"/>
        <v>9.4999999999999998E-3</v>
      </c>
      <c r="AC3" s="2891">
        <f t="shared" si="3"/>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3369</v>
      </c>
      <c r="B5" s="2027">
        <v>2023</v>
      </c>
      <c r="C5" s="2038">
        <v>4</v>
      </c>
      <c r="D5" s="2003">
        <v>0</v>
      </c>
      <c r="E5" s="2003">
        <v>0</v>
      </c>
      <c r="F5" s="2003">
        <v>0</v>
      </c>
      <c r="G5" s="2003">
        <v>0</v>
      </c>
      <c r="H5" s="2003">
        <v>0</v>
      </c>
      <c r="I5" s="2004">
        <f t="shared" ref="I5:I16" si="4">F5</f>
        <v>0</v>
      </c>
      <c r="J5" s="2902"/>
      <c r="K5" s="2039">
        <f t="shared" ref="K5:O16" si="5">D5/100</f>
        <v>0</v>
      </c>
      <c r="L5" s="2024">
        <f t="shared" si="5"/>
        <v>0</v>
      </c>
      <c r="M5" s="2024">
        <f t="shared" si="5"/>
        <v>0</v>
      </c>
      <c r="N5" s="2024">
        <f t="shared" si="5"/>
        <v>0</v>
      </c>
      <c r="O5" s="2024">
        <f t="shared" si="5"/>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 t="shared" ref="Z5:AC5" si="6">IF(E5=0,0,ROUND(AVERAGE(E5:E16)/100,4))</f>
        <v>0</v>
      </c>
      <c r="AA5" s="2024">
        <f t="shared" si="6"/>
        <v>0</v>
      </c>
      <c r="AB5" s="2024">
        <f t="shared" si="6"/>
        <v>0</v>
      </c>
      <c r="AC5" s="2024">
        <f t="shared" si="6"/>
        <v>0</v>
      </c>
      <c r="AD5" s="2024">
        <f t="shared" ref="AD5:AD15" si="7">AA5</f>
        <v>0</v>
      </c>
    </row>
    <row r="6" spans="1:30" s="2041" customFormat="1" ht="12.75">
      <c r="A6" s="2901" t="s">
        <v>3370</v>
      </c>
      <c r="B6" s="2027">
        <v>2023</v>
      </c>
      <c r="C6" s="2038">
        <v>3</v>
      </c>
      <c r="D6" s="2003">
        <v>0</v>
      </c>
      <c r="E6" s="2003">
        <v>0</v>
      </c>
      <c r="F6" s="2003">
        <v>0</v>
      </c>
      <c r="G6" s="2003">
        <v>0</v>
      </c>
      <c r="H6" s="2003">
        <v>0</v>
      </c>
      <c r="I6" s="2004">
        <f t="shared" si="4"/>
        <v>0</v>
      </c>
      <c r="J6" s="2902"/>
      <c r="K6" s="2039">
        <f t="shared" ref="K6:K8" si="8">D6/100</f>
        <v>0</v>
      </c>
      <c r="L6" s="2024">
        <f t="shared" ref="L6:L8" si="9">E6/100</f>
        <v>0</v>
      </c>
      <c r="M6" s="2024">
        <f t="shared" ref="M6:M8" si="10">F6/100</f>
        <v>0</v>
      </c>
      <c r="N6" s="2024">
        <f t="shared" ref="N6:N8" si="11">G6/100</f>
        <v>0</v>
      </c>
      <c r="O6" s="2024">
        <f t="shared" ref="O6:O8" si="12">H6/100</f>
        <v>0</v>
      </c>
      <c r="P6" s="2024">
        <f t="shared" ref="P6:P8" si="13">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 t="shared" ref="W6:W8" si="14">T6</f>
        <v>1.0203</v>
      </c>
      <c r="X6" s="2902"/>
      <c r="Y6" s="2024"/>
      <c r="Z6" s="2024"/>
      <c r="AA6" s="2024"/>
      <c r="AB6" s="2024"/>
      <c r="AC6" s="2024"/>
      <c r="AD6" s="2024"/>
    </row>
    <row r="7" spans="1:30" s="2041" customFormat="1" ht="12.75">
      <c r="A7" s="2901" t="s">
        <v>3368</v>
      </c>
      <c r="B7" s="2027">
        <v>2023</v>
      </c>
      <c r="C7" s="2038">
        <v>2</v>
      </c>
      <c r="D7" s="2003">
        <v>0</v>
      </c>
      <c r="E7" s="2003">
        <v>0</v>
      </c>
      <c r="F7" s="2003">
        <v>0</v>
      </c>
      <c r="G7" s="2003">
        <v>0</v>
      </c>
      <c r="H7" s="2003">
        <v>0</v>
      </c>
      <c r="I7" s="2004">
        <f t="shared" si="4"/>
        <v>0</v>
      </c>
      <c r="J7" s="2902"/>
      <c r="K7" s="2039">
        <f t="shared" si="8"/>
        <v>0</v>
      </c>
      <c r="L7" s="2024">
        <f t="shared" si="9"/>
        <v>0</v>
      </c>
      <c r="M7" s="2024">
        <f t="shared" si="10"/>
        <v>0</v>
      </c>
      <c r="N7" s="2024">
        <f t="shared" si="11"/>
        <v>0</v>
      </c>
      <c r="O7" s="2024">
        <f t="shared" si="12"/>
        <v>0</v>
      </c>
      <c r="P7" s="2024">
        <f t="shared" si="13"/>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 t="shared" si="14"/>
        <v>1.0203</v>
      </c>
      <c r="X7" s="2902"/>
      <c r="Y7" s="2024"/>
      <c r="Z7" s="2024"/>
      <c r="AA7" s="2024"/>
      <c r="AB7" s="2024"/>
      <c r="AC7" s="2024"/>
      <c r="AD7" s="2024"/>
    </row>
    <row r="8" spans="1:30" s="2912" customFormat="1" ht="12.75">
      <c r="A8" s="2903" t="s">
        <v>3371</v>
      </c>
      <c r="B8" s="2904">
        <v>2023</v>
      </c>
      <c r="C8" s="2905">
        <v>1</v>
      </c>
      <c r="D8" s="2906">
        <v>0.89</v>
      </c>
      <c r="E8" s="2906">
        <v>0.74</v>
      </c>
      <c r="F8" s="2906">
        <v>0.56999999999999995</v>
      </c>
      <c r="G8" s="2906">
        <v>0.92</v>
      </c>
      <c r="H8" s="2907">
        <v>0.5</v>
      </c>
      <c r="I8" s="2908">
        <f t="shared" si="4"/>
        <v>0.56999999999999995</v>
      </c>
      <c r="J8" s="2909"/>
      <c r="K8" s="2910">
        <f t="shared" si="8"/>
        <v>8.8999999999999999E-3</v>
      </c>
      <c r="L8" s="2911">
        <f t="shared" si="9"/>
        <v>7.4000000000000003E-3</v>
      </c>
      <c r="M8" s="2911">
        <f t="shared" si="10"/>
        <v>5.6999999999999993E-3</v>
      </c>
      <c r="N8" s="2911">
        <f t="shared" si="11"/>
        <v>9.1999999999999998E-3</v>
      </c>
      <c r="O8" s="2911">
        <f t="shared" si="12"/>
        <v>5.0000000000000001E-3</v>
      </c>
      <c r="P8" s="2911">
        <f t="shared" si="13"/>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 t="shared" si="14"/>
        <v>1.0203</v>
      </c>
      <c r="X8" s="2909"/>
      <c r="Y8" s="2911"/>
      <c r="Z8" s="2911"/>
      <c r="AA8" s="2911"/>
      <c r="AB8" s="2911"/>
      <c r="AC8" s="2911"/>
      <c r="AD8" s="2911"/>
    </row>
    <row r="9" spans="1:30" s="2041" customFormat="1" ht="12.75">
      <c r="A9" s="2901" t="s">
        <v>3372</v>
      </c>
      <c r="B9" s="2027">
        <v>2022</v>
      </c>
      <c r="C9" s="2038">
        <v>4</v>
      </c>
      <c r="D9" s="2003">
        <v>0.62</v>
      </c>
      <c r="E9" s="2003">
        <v>0.2</v>
      </c>
      <c r="F9" s="2003">
        <v>0.11</v>
      </c>
      <c r="G9" s="2003">
        <v>0.69</v>
      </c>
      <c r="H9" s="2913">
        <v>0.53</v>
      </c>
      <c r="I9" s="2004">
        <f t="shared" si="4"/>
        <v>0.11</v>
      </c>
      <c r="J9" s="2902"/>
      <c r="K9" s="2039">
        <f t="shared" si="5"/>
        <v>6.1999999999999998E-3</v>
      </c>
      <c r="L9" s="2024">
        <f t="shared" si="5"/>
        <v>2E-3</v>
      </c>
      <c r="M9" s="2024">
        <f t="shared" si="5"/>
        <v>1.1000000000000001E-3</v>
      </c>
      <c r="N9" s="2024">
        <f t="shared" si="5"/>
        <v>6.8999999999999999E-3</v>
      </c>
      <c r="O9" s="2024">
        <f t="shared" si="5"/>
        <v>5.3E-3</v>
      </c>
      <c r="P9" s="2024">
        <f t="shared" ref="P9:P16" si="15">M9</f>
        <v>1.1000000000000001E-3</v>
      </c>
      <c r="Q9" s="2902"/>
      <c r="R9" s="2023">
        <f>ROUND(IF([3]项目基本情况!B8="出让",SUMPRODUCT(PRODUCT(1+K9:K16)),SUMPRODUCT(PRODUCT(1+K9:K15))),4)</f>
        <v>1.0565</v>
      </c>
      <c r="S9" s="2023">
        <f>ROUND(IF([3]项目基本情况!B8="出让",SUMPRODUCT(PRODUCT(1+L9:L16)),SUMPRODUCT(PRODUCT(1+L9:L15))),4)</f>
        <v>1.0250999999999999</v>
      </c>
      <c r="T9" s="2023">
        <f>ROUND(IF([3]项目基本情况!B8="出让",SUMPRODUCT(PRODUCT(1+M9:M16)),SUMPRODUCT(PRODUCT(1+M9:M15))),4)</f>
        <v>1.0145</v>
      </c>
      <c r="U9" s="2023">
        <f>ROUND(IF([3]项目基本情况!B8="出让",SUMPRODUCT(PRODUCT(1+N9:N16)),SUMPRODUCT(PRODUCT(1+N9:N15))),4)</f>
        <v>1.0618000000000001</v>
      </c>
      <c r="V9" s="2023">
        <f>ROUND(IF([3]项目基本情况!B8="出让",SUMPRODUCT(PRODUCT(1+O9:O16)),SUMPRODUCT(PRODUCT(1+O9:O15))),4)</f>
        <v>1.0502</v>
      </c>
      <c r="W9" s="2023">
        <f t="shared" ref="W9:W16" si="16">T9</f>
        <v>1.0145</v>
      </c>
      <c r="X9" s="2902"/>
      <c r="Y9" s="2024">
        <f>IF(D9=0,0,ROUND(AVERAGE(D9:D17)/100,4))</f>
        <v>8.0999999999999996E-3</v>
      </c>
      <c r="Z9" s="2024">
        <f t="shared" ref="Z9:AC9" si="17">IF(E9=0,0,ROUND(AVERAGE(E9:E16)/100,4))</f>
        <v>3.3E-3</v>
      </c>
      <c r="AA9" s="2024">
        <f t="shared" si="17"/>
        <v>1.5E-3</v>
      </c>
      <c r="AB9" s="2024">
        <f t="shared" si="17"/>
        <v>8.8999999999999999E-3</v>
      </c>
      <c r="AC9" s="2024">
        <f t="shared" si="17"/>
        <v>6.6E-3</v>
      </c>
      <c r="AD9" s="2024">
        <f t="shared" si="7"/>
        <v>1.5E-3</v>
      </c>
    </row>
    <row r="10" spans="1:30" s="2041" customFormat="1" ht="12.75">
      <c r="A10" s="2901" t="s">
        <v>3364</v>
      </c>
      <c r="B10" s="2027">
        <v>2022</v>
      </c>
      <c r="C10" s="2038">
        <v>3</v>
      </c>
      <c r="D10" s="2003">
        <v>0.66</v>
      </c>
      <c r="E10" s="2003">
        <v>0.32</v>
      </c>
      <c r="F10" s="2003">
        <v>0.23</v>
      </c>
      <c r="G10" s="2003">
        <v>0.72</v>
      </c>
      <c r="H10" s="2913">
        <v>0.63</v>
      </c>
      <c r="I10" s="2004">
        <f t="shared" si="4"/>
        <v>0.23</v>
      </c>
      <c r="J10" s="2902"/>
      <c r="K10" s="2039">
        <f t="shared" si="5"/>
        <v>6.6E-3</v>
      </c>
      <c r="L10" s="2024">
        <f t="shared" si="5"/>
        <v>3.2000000000000002E-3</v>
      </c>
      <c r="M10" s="2024">
        <f t="shared" si="5"/>
        <v>2.3E-3</v>
      </c>
      <c r="N10" s="2024">
        <f t="shared" si="5"/>
        <v>7.1999999999999998E-3</v>
      </c>
      <c r="O10" s="2024">
        <f t="shared" si="5"/>
        <v>6.3E-3</v>
      </c>
      <c r="P10" s="2024">
        <f t="shared" si="15"/>
        <v>2.3E-3</v>
      </c>
      <c r="Q10" s="2902"/>
      <c r="R10" s="2023">
        <f>ROUND(IF([3]项目基本情况!B8="出让",SUMPRODUCT(PRODUCT(1+K10:K16)),SUMPRODUCT(PRODUCT(1+K10:K15))),4)</f>
        <v>1.05</v>
      </c>
      <c r="S10" s="2023">
        <f>ROUND(IF([3]项目基本情况!B8="出让",SUMPRODUCT(PRODUCT(1+L10:L16)),SUMPRODUCT(PRODUCT(1+L10:L15))),4)</f>
        <v>1.0229999999999999</v>
      </c>
      <c r="T10" s="2023">
        <f>ROUND(IF([3]项目基本情况!B8="出让",SUMPRODUCT(PRODUCT(1+M10:M16)),SUMPRODUCT(PRODUCT(1+M10:M15))),4)</f>
        <v>1.0134000000000001</v>
      </c>
      <c r="U10" s="2023">
        <f>ROUND(IF([3]项目基本情况!B8="出让",SUMPRODUCT(PRODUCT(1+N10:N16)),SUMPRODUCT(PRODUCT(1+N10:N15))),4)</f>
        <v>1.0545</v>
      </c>
      <c r="V10" s="2023">
        <f>ROUND(IF([3]项目基本情况!B8="出让",SUMPRODUCT(PRODUCT(1+O10:O16)),SUMPRODUCT(PRODUCT(1+O10:O15))),4)</f>
        <v>1.0447</v>
      </c>
      <c r="W10" s="2023">
        <f t="shared" si="16"/>
        <v>1.0134000000000001</v>
      </c>
      <c r="X10" s="2902"/>
      <c r="Y10" s="2024">
        <f>IF(D10=0,0,ROUND(AVERAGE(D10:D16)/100,4))</f>
        <v>8.3999999999999995E-3</v>
      </c>
      <c r="Z10" s="2024">
        <f t="shared" ref="Z10:AC10" si="18">IF(E10=0,0,ROUND(AVERAGE(E10:E16)/100,4))</f>
        <v>3.5000000000000001E-3</v>
      </c>
      <c r="AA10" s="2024">
        <f t="shared" si="18"/>
        <v>1.5E-3</v>
      </c>
      <c r="AB10" s="2024">
        <f t="shared" si="18"/>
        <v>9.1999999999999998E-3</v>
      </c>
      <c r="AC10" s="2024">
        <f t="shared" si="18"/>
        <v>6.7999999999999996E-3</v>
      </c>
      <c r="AD10" s="2024">
        <f t="shared" si="7"/>
        <v>1.5E-3</v>
      </c>
    </row>
    <row r="11" spans="1:30" s="2041" customFormat="1" ht="12.75">
      <c r="A11" s="2901" t="s">
        <v>3355</v>
      </c>
      <c r="B11" s="2027">
        <v>2022</v>
      </c>
      <c r="C11" s="2038">
        <v>2</v>
      </c>
      <c r="D11" s="2003">
        <v>0.93</v>
      </c>
      <c r="E11" s="2003">
        <v>0.15</v>
      </c>
      <c r="F11" s="2003">
        <v>0.01</v>
      </c>
      <c r="G11" s="2003">
        <v>1.05</v>
      </c>
      <c r="H11" s="2913">
        <v>1.08</v>
      </c>
      <c r="I11" s="2004">
        <f t="shared" si="4"/>
        <v>0.01</v>
      </c>
      <c r="J11" s="2902"/>
      <c r="K11" s="2039">
        <f t="shared" si="5"/>
        <v>9.300000000000001E-3</v>
      </c>
      <c r="L11" s="2024">
        <f t="shared" si="5"/>
        <v>1.5E-3</v>
      </c>
      <c r="M11" s="2024">
        <f t="shared" si="5"/>
        <v>1E-4</v>
      </c>
      <c r="N11" s="2024">
        <f t="shared" si="5"/>
        <v>1.0500000000000001E-2</v>
      </c>
      <c r="O11" s="2024">
        <f t="shared" si="5"/>
        <v>1.0800000000000001E-2</v>
      </c>
      <c r="P11" s="2024">
        <f t="shared" si="15"/>
        <v>1E-4</v>
      </c>
      <c r="Q11" s="2902"/>
      <c r="R11" s="2023">
        <f>ROUND(IF([3]项目基本情况!B8="出让",SUMPRODUCT(PRODUCT(1+K11:K16)),SUMPRODUCT(PRODUCT(1+K11:K15))),4)</f>
        <v>1.0430999999999999</v>
      </c>
      <c r="S11" s="2023">
        <f>ROUND(IF([3]项目基本情况!B8="出让",SUMPRODUCT(PRODUCT(1+L11:L16)),SUMPRODUCT(PRODUCT(1+L11:L15))),4)</f>
        <v>1.0197000000000001</v>
      </c>
      <c r="T11" s="2023">
        <f>ROUND(IF([3]项目基本情况!B8="出让",SUMPRODUCT(PRODUCT(1+M11:M16)),SUMPRODUCT(PRODUCT(1+M11:M15))),4)</f>
        <v>1.0109999999999999</v>
      </c>
      <c r="U11" s="2023">
        <f>ROUND(IF([3]项目基本情况!B8="出让",SUMPRODUCT(PRODUCT(1+N11:N16)),SUMPRODUCT(PRODUCT(1+N11:N15))),4)</f>
        <v>1.0468999999999999</v>
      </c>
      <c r="V11" s="2023">
        <f>ROUND(IF([3]项目基本情况!B8="出让",SUMPRODUCT(PRODUCT(1+O11:O16)),SUMPRODUCT(PRODUCT(1+O11:O15))),4)</f>
        <v>1.0382</v>
      </c>
      <c r="W11" s="2023">
        <f t="shared" si="16"/>
        <v>1.0109999999999999</v>
      </c>
      <c r="X11" s="2902"/>
      <c r="Y11" s="2024">
        <f>IF(D11=0,0,ROUND(AVERAGE(D11:D16)/100,4))</f>
        <v>8.6999999999999994E-3</v>
      </c>
      <c r="Z11" s="2024">
        <f t="shared" ref="Z11:AC11" si="19">IF(E11=0,0,ROUND(AVERAGE(E11:E16)/100,4))</f>
        <v>3.5000000000000001E-3</v>
      </c>
      <c r="AA11" s="2024">
        <f t="shared" si="19"/>
        <v>1.4E-3</v>
      </c>
      <c r="AB11" s="2024">
        <f t="shared" si="19"/>
        <v>9.4999999999999998E-3</v>
      </c>
      <c r="AC11" s="2024">
        <f t="shared" si="19"/>
        <v>6.8999999999999999E-3</v>
      </c>
      <c r="AD11" s="2024">
        <f t="shared" si="7"/>
        <v>1.4E-3</v>
      </c>
    </row>
    <row r="12" spans="1:30" s="2041" customFormat="1" ht="12.75">
      <c r="A12" s="2901" t="s">
        <v>2818</v>
      </c>
      <c r="B12" s="2027">
        <v>2022</v>
      </c>
      <c r="C12" s="2038">
        <v>1</v>
      </c>
      <c r="D12" s="2003">
        <v>0.89</v>
      </c>
      <c r="E12" s="2003">
        <v>0.44</v>
      </c>
      <c r="F12" s="2003">
        <v>0.37</v>
      </c>
      <c r="G12" s="2003">
        <v>0.96</v>
      </c>
      <c r="H12" s="2913">
        <v>0.64</v>
      </c>
      <c r="I12" s="2004">
        <f t="shared" si="4"/>
        <v>0.37</v>
      </c>
      <c r="J12" s="2902"/>
      <c r="K12" s="2039">
        <f t="shared" si="5"/>
        <v>8.8999999999999999E-3</v>
      </c>
      <c r="L12" s="2024">
        <f t="shared" si="5"/>
        <v>4.4000000000000003E-3</v>
      </c>
      <c r="M12" s="2024">
        <f t="shared" si="5"/>
        <v>3.7000000000000002E-3</v>
      </c>
      <c r="N12" s="2024">
        <f t="shared" si="5"/>
        <v>9.5999999999999992E-3</v>
      </c>
      <c r="O12" s="2024">
        <f t="shared" si="5"/>
        <v>6.4000000000000003E-3</v>
      </c>
      <c r="P12" s="2024">
        <f t="shared" si="15"/>
        <v>3.7000000000000002E-3</v>
      </c>
      <c r="Q12" s="2902"/>
      <c r="R12" s="2023">
        <f>ROUND(IF([3]项目基本情况!B8="出让",SUMPRODUCT(PRODUCT(1+K12:K16)),SUMPRODUCT(PRODUCT(1+K12:K15))),4)</f>
        <v>1.0335000000000001</v>
      </c>
      <c r="S12" s="2023">
        <f>ROUND(IF([3]项目基本情况!B8="出让",SUMPRODUCT(PRODUCT(1+L12:L16)),SUMPRODUCT(PRODUCT(1+L12:L15))),4)</f>
        <v>1.0182</v>
      </c>
      <c r="T12" s="2023">
        <f>ROUND(IF([3]项目基本情况!B8="出让",SUMPRODUCT(PRODUCT(1+M12:M16)),SUMPRODUCT(PRODUCT(1+M12:M15))),4)</f>
        <v>1.0108999999999999</v>
      </c>
      <c r="U12" s="2023">
        <f>ROUND(IF([3]项目基本情况!B8="出让",SUMPRODUCT(PRODUCT(1+N12:N16)),SUMPRODUCT(PRODUCT(1+N12:N15))),4)</f>
        <v>1.0361</v>
      </c>
      <c r="V12" s="2023">
        <f>ROUND(IF([3]项目基本情况!B8="出让",SUMPRODUCT(PRODUCT(1+O12:O16)),SUMPRODUCT(PRODUCT(1+O12:O15))),4)</f>
        <v>1.0270999999999999</v>
      </c>
      <c r="W12" s="2023">
        <f t="shared" si="16"/>
        <v>1.0108999999999999</v>
      </c>
      <c r="X12" s="2902"/>
      <c r="Y12" s="2024">
        <f>IF(D12=0,0,ROUND(AVERAGE(D12:D16)/100,4))</f>
        <v>8.6E-3</v>
      </c>
      <c r="Z12" s="2024">
        <f t="shared" ref="Z12:AC12" si="20">IF(E12=0,0,ROUND(AVERAGE(E12:E16)/100,4))</f>
        <v>3.8999999999999998E-3</v>
      </c>
      <c r="AA12" s="2024">
        <f t="shared" si="20"/>
        <v>1.6999999999999999E-3</v>
      </c>
      <c r="AB12" s="2024">
        <f t="shared" si="20"/>
        <v>9.2999999999999992E-3</v>
      </c>
      <c r="AC12" s="2024">
        <f t="shared" si="20"/>
        <v>6.1000000000000004E-3</v>
      </c>
      <c r="AD12" s="2024">
        <f t="shared" si="7"/>
        <v>1.6999999999999999E-3</v>
      </c>
    </row>
    <row r="13" spans="1:30" s="2041" customFormat="1" ht="12.75">
      <c r="A13" s="2901" t="s">
        <v>2819</v>
      </c>
      <c r="B13" s="2027">
        <v>2021</v>
      </c>
      <c r="C13" s="2038">
        <v>4</v>
      </c>
      <c r="D13" s="2003">
        <v>1.03</v>
      </c>
      <c r="E13" s="2003">
        <v>0.24</v>
      </c>
      <c r="F13" s="2003">
        <v>7.0000000000000007E-2</v>
      </c>
      <c r="G13" s="2003">
        <v>1.17</v>
      </c>
      <c r="H13" s="2913">
        <v>0.55000000000000004</v>
      </c>
      <c r="I13" s="2004">
        <f t="shared" si="4"/>
        <v>7.0000000000000007E-2</v>
      </c>
      <c r="J13" s="2902"/>
      <c r="K13" s="2039">
        <f t="shared" si="5"/>
        <v>1.03E-2</v>
      </c>
      <c r="L13" s="2024">
        <f t="shared" si="5"/>
        <v>2.3999999999999998E-3</v>
      </c>
      <c r="M13" s="2024">
        <f t="shared" si="5"/>
        <v>7.000000000000001E-4</v>
      </c>
      <c r="N13" s="2024">
        <f t="shared" si="5"/>
        <v>1.1699999999999999E-2</v>
      </c>
      <c r="O13" s="2024">
        <f t="shared" si="5"/>
        <v>5.5000000000000005E-3</v>
      </c>
      <c r="P13" s="2024">
        <f t="shared" si="15"/>
        <v>7.000000000000001E-4</v>
      </c>
      <c r="Q13" s="2902"/>
      <c r="R13" s="2023">
        <f>ROUND(IF([3]项目基本情况!B8="出让",SUMPRODUCT(PRODUCT(1+K13:K16)),SUMPRODUCT(PRODUCT(1+K13:K15))),4)</f>
        <v>1.0244</v>
      </c>
      <c r="S13" s="2023">
        <f>ROUND(IF([3]项目基本情况!B8="出让",SUMPRODUCT(PRODUCT(1+L13:L16)),SUMPRODUCT(PRODUCT(1+L13:L15))),4)</f>
        <v>1.0138</v>
      </c>
      <c r="T13" s="2023">
        <f>ROUND(IF([3]项目基本情况!B8="出让",SUMPRODUCT(PRODUCT(1+M13:M16)),SUMPRODUCT(PRODUCT(1+M13:M15))),4)</f>
        <v>1.0072000000000001</v>
      </c>
      <c r="U13" s="2023">
        <f>ROUND(IF([3]项目基本情况!B8="出让",SUMPRODUCT(PRODUCT(1+N13:N16)),SUMPRODUCT(PRODUCT(1+N13:N15))),4)</f>
        <v>1.0262</v>
      </c>
      <c r="V13" s="2023">
        <f>ROUND(IF([3]项目基本情况!B8="出让",SUMPRODUCT(PRODUCT(1+O13:O16)),SUMPRODUCT(PRODUCT(1+O13:O15))),4)</f>
        <v>1.0205</v>
      </c>
      <c r="W13" s="2023">
        <f t="shared" si="16"/>
        <v>1.0072000000000001</v>
      </c>
      <c r="X13" s="2902"/>
      <c r="Y13" s="2024">
        <f>IF(D13=0,0,ROUND(AVERAGE(D13:D16)/100,4))</f>
        <v>8.5000000000000006E-3</v>
      </c>
      <c r="Z13" s="2024">
        <f t="shared" ref="Z13:AC13" si="21">IF(E13=0,0,ROUND(AVERAGE(E13:E16)/100,4))</f>
        <v>3.8E-3</v>
      </c>
      <c r="AA13" s="2024">
        <f t="shared" si="21"/>
        <v>1.1999999999999999E-3</v>
      </c>
      <c r="AB13" s="2024">
        <f t="shared" si="21"/>
        <v>9.2999999999999992E-3</v>
      </c>
      <c r="AC13" s="2024">
        <f t="shared" si="21"/>
        <v>6.0000000000000001E-3</v>
      </c>
      <c r="AD13" s="2024">
        <f t="shared" si="7"/>
        <v>1.1999999999999999E-3</v>
      </c>
    </row>
    <row r="14" spans="1:30" s="2041" customFormat="1" ht="12.75">
      <c r="A14" s="2901" t="s">
        <v>2820</v>
      </c>
      <c r="B14" s="2027">
        <v>2021</v>
      </c>
      <c r="C14" s="2038">
        <v>3</v>
      </c>
      <c r="D14" s="2003">
        <v>0.47</v>
      </c>
      <c r="E14" s="2003">
        <v>0.41</v>
      </c>
      <c r="F14" s="2003">
        <v>0.24</v>
      </c>
      <c r="G14" s="2003">
        <v>0.48</v>
      </c>
      <c r="H14" s="2913">
        <v>0.48</v>
      </c>
      <c r="I14" s="2004">
        <f t="shared" si="4"/>
        <v>0.24</v>
      </c>
      <c r="J14" s="2902"/>
      <c r="K14" s="2039">
        <f t="shared" si="5"/>
        <v>4.6999999999999993E-3</v>
      </c>
      <c r="L14" s="2024">
        <f t="shared" si="5"/>
        <v>4.0999999999999995E-3</v>
      </c>
      <c r="M14" s="2024">
        <f t="shared" si="5"/>
        <v>2.3999999999999998E-3</v>
      </c>
      <c r="N14" s="2024">
        <f t="shared" si="5"/>
        <v>4.7999999999999996E-3</v>
      </c>
      <c r="O14" s="2024">
        <f t="shared" si="5"/>
        <v>4.7999999999999996E-3</v>
      </c>
      <c r="P14" s="2024">
        <f t="shared" si="15"/>
        <v>2.3999999999999998E-3</v>
      </c>
      <c r="Q14" s="2902"/>
      <c r="R14" s="2023">
        <f>ROUND(IF([3]项目基本情况!B8="出让",SUMPRODUCT(PRODUCT(1+K14:K16)),SUMPRODUCT(PRODUCT(1+K14:K15))),4)</f>
        <v>1.0139</v>
      </c>
      <c r="S14" s="2023">
        <f>ROUND(IF([3]项目基本情况!B8="出让",SUMPRODUCT(PRODUCT(1+L14:L16)),SUMPRODUCT(PRODUCT(1+L14:L15))),4)</f>
        <v>1.0113000000000001</v>
      </c>
      <c r="T14" s="2023">
        <f>ROUND(IF([3]项目基本情况!B8="出让",SUMPRODUCT(PRODUCT(1+M14:M16)),SUMPRODUCT(PRODUCT(1+M14:M15))),4)</f>
        <v>1.0065</v>
      </c>
      <c r="U14" s="2023">
        <f>ROUND(IF([3]项目基本情况!B8="出让",SUMPRODUCT(PRODUCT(1+N14:N16)),SUMPRODUCT(PRODUCT(1+N14:N15))),4)</f>
        <v>1.0143</v>
      </c>
      <c r="V14" s="2023">
        <f>ROUND(IF([3]项目基本情况!B8="出让",SUMPRODUCT(PRODUCT(1+O14:O16)),SUMPRODUCT(PRODUCT(1+O14:O15))),4)</f>
        <v>1.0148999999999999</v>
      </c>
      <c r="W14" s="2023">
        <f t="shared" si="16"/>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7"/>
        <v>1.2999999999999999E-3</v>
      </c>
    </row>
    <row r="15" spans="1:30" s="2041" customFormat="1" ht="12.75">
      <c r="A15" s="2901" t="s">
        <v>2821</v>
      </c>
      <c r="B15" s="2027">
        <v>2021</v>
      </c>
      <c r="C15" s="2038">
        <v>2</v>
      </c>
      <c r="D15" s="2003">
        <v>0.92</v>
      </c>
      <c r="E15" s="2003">
        <v>0.72</v>
      </c>
      <c r="F15" s="2003">
        <v>0.41</v>
      </c>
      <c r="G15" s="2003">
        <v>0.95</v>
      </c>
      <c r="H15" s="2913">
        <v>1.01</v>
      </c>
      <c r="I15" s="2004">
        <f t="shared" si="4"/>
        <v>0.41</v>
      </c>
      <c r="J15" s="2902"/>
      <c r="K15" s="2039">
        <f t="shared" si="5"/>
        <v>9.1999999999999998E-3</v>
      </c>
      <c r="L15" s="2024">
        <f t="shared" si="5"/>
        <v>7.1999999999999998E-3</v>
      </c>
      <c r="M15" s="2024">
        <f t="shared" si="5"/>
        <v>4.0999999999999995E-3</v>
      </c>
      <c r="N15" s="2024">
        <f t="shared" si="5"/>
        <v>9.4999999999999998E-3</v>
      </c>
      <c r="O15" s="2024">
        <f t="shared" si="5"/>
        <v>1.01E-2</v>
      </c>
      <c r="P15" s="2024">
        <f t="shared" si="15"/>
        <v>4.0999999999999995E-3</v>
      </c>
      <c r="Q15" s="2902"/>
      <c r="R15" s="2023">
        <f>ROUND(IF([3]项目基本情况!B8="出让",SUMPRODUCT(PRODUCT(1+K15:K16)),SUMPRODUCT(PRODUCT(1+K15:K15))),4)</f>
        <v>1.0092000000000001</v>
      </c>
      <c r="S15" s="2023">
        <f>ROUND(IF([3]项目基本情况!B8="出让",SUMPRODUCT(PRODUCT(1+L15:L16)),SUMPRODUCT(PRODUCT(1+L15:L15))),4)</f>
        <v>1.0072000000000001</v>
      </c>
      <c r="T15" s="2023">
        <f>ROUND(IF([3]项目基本情况!B8="出让",SUMPRODUCT(PRODUCT(1+M15:M16)),SUMPRODUCT(PRODUCT(1+M15:M15))),4)</f>
        <v>1.0041</v>
      </c>
      <c r="U15" s="2023">
        <f>ROUND(IF([3]项目基本情况!B8="出让",SUMPRODUCT(PRODUCT(1+N15:N16)),SUMPRODUCT(PRODUCT(1+N15:N15))),4)</f>
        <v>1.0095000000000001</v>
      </c>
      <c r="V15" s="2023">
        <f>ROUND(IF([3]项目基本情况!B8="出让",SUMPRODUCT(PRODUCT(1+O15:O16)),SUMPRODUCT(PRODUCT(1+O15:O15))),4)</f>
        <v>1.0101</v>
      </c>
      <c r="W15" s="2023">
        <f t="shared" si="16"/>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7"/>
        <v>8.0000000000000004E-4</v>
      </c>
    </row>
    <row r="16" spans="1:30" s="2924" customFormat="1" thickBot="1">
      <c r="A16" s="2914" t="s">
        <v>2822</v>
      </c>
      <c r="B16" s="2915">
        <v>2021</v>
      </c>
      <c r="C16" s="2916">
        <v>1</v>
      </c>
      <c r="D16" s="2917">
        <v>0.97</v>
      </c>
      <c r="E16" s="2917">
        <v>0.16</v>
      </c>
      <c r="F16" s="2917">
        <v>-0.25</v>
      </c>
      <c r="G16" s="2917">
        <v>1.1100000000000001</v>
      </c>
      <c r="H16" s="2918">
        <v>0.36</v>
      </c>
      <c r="I16" s="2919">
        <f t="shared" si="4"/>
        <v>-0.25</v>
      </c>
      <c r="J16" s="2920"/>
      <c r="K16" s="2921">
        <f t="shared" si="5"/>
        <v>9.7000000000000003E-3</v>
      </c>
      <c r="L16" s="2922">
        <f t="shared" si="5"/>
        <v>1.6000000000000001E-3</v>
      </c>
      <c r="M16" s="2922">
        <f>F16/100</f>
        <v>-2.5000000000000001E-3</v>
      </c>
      <c r="N16" s="2922">
        <f t="shared" si="5"/>
        <v>1.11E-2</v>
      </c>
      <c r="O16" s="2922">
        <f t="shared" si="5"/>
        <v>3.5999999999999999E-3</v>
      </c>
      <c r="P16" s="2922">
        <f t="shared" si="15"/>
        <v>-2.5000000000000001E-3</v>
      </c>
      <c r="Q16" s="2920"/>
      <c r="R16" s="2923">
        <v>1</v>
      </c>
      <c r="S16" s="2923">
        <v>1</v>
      </c>
      <c r="T16" s="2923">
        <v>1</v>
      </c>
      <c r="U16" s="2923">
        <v>1</v>
      </c>
      <c r="V16" s="2923">
        <v>1</v>
      </c>
      <c r="W16" s="2923">
        <f t="shared" si="16"/>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3366</v>
      </c>
    </row>
    <row r="19" spans="1:30">
      <c r="I19" s="1404" t="s">
        <v>2823</v>
      </c>
    </row>
    <row r="21" spans="1:30" s="2005" customFormat="1" ht="12.75">
      <c r="B21" s="2925" t="s">
        <v>2824</v>
      </c>
      <c r="C21" s="2926"/>
      <c r="D21" s="2926"/>
      <c r="E21" s="2926"/>
      <c r="F21" s="2926"/>
      <c r="G21" s="2926"/>
      <c r="H21" s="2926"/>
      <c r="I21" s="2926"/>
      <c r="J21" s="2892"/>
      <c r="K21" s="2926" t="s">
        <v>2825</v>
      </c>
      <c r="L21" s="2926"/>
      <c r="M21" s="2926"/>
      <c r="N21" s="2926"/>
      <c r="O21" s="2926"/>
      <c r="P21" s="2926"/>
      <c r="Q21" s="2892"/>
      <c r="R21" s="3782" t="s">
        <v>2826</v>
      </c>
      <c r="S21" s="3783"/>
      <c r="T21" s="3783"/>
      <c r="U21" s="3783"/>
      <c r="V21" s="3783"/>
      <c r="W21" s="3783"/>
      <c r="X21" s="2892"/>
      <c r="Y21" s="3782" t="s">
        <v>2827</v>
      </c>
      <c r="Z21" s="3783"/>
      <c r="AA21" s="3783"/>
      <c r="AB21" s="3783"/>
      <c r="AC21" s="3783"/>
      <c r="AD21" s="3783"/>
    </row>
    <row r="22" spans="1:30" s="2006" customFormat="1" ht="14.25" thickBot="1">
      <c r="B22" s="2877"/>
      <c r="C22" s="2878"/>
      <c r="D22" s="2007" t="s">
        <v>2828</v>
      </c>
      <c r="E22" s="2008" t="s">
        <v>2829</v>
      </c>
      <c r="F22" s="2008" t="s">
        <v>2830</v>
      </c>
      <c r="G22" s="2008" t="s">
        <v>2831</v>
      </c>
      <c r="H22" s="2008"/>
      <c r="I22" s="2008" t="s">
        <v>2832</v>
      </c>
      <c r="J22" s="2879"/>
      <c r="K22" s="2007" t="s">
        <v>2828</v>
      </c>
      <c r="L22" s="2008" t="s">
        <v>2829</v>
      </c>
      <c r="M22" s="2008" t="s">
        <v>2830</v>
      </c>
      <c r="N22" s="2008" t="s">
        <v>2831</v>
      </c>
      <c r="O22" s="2008"/>
      <c r="P22" s="2008" t="s">
        <v>2832</v>
      </c>
      <c r="Q22" s="2879"/>
      <c r="R22" s="2007" t="s">
        <v>2828</v>
      </c>
      <c r="S22" s="2008" t="s">
        <v>2829</v>
      </c>
      <c r="T22" s="2008" t="s">
        <v>2830</v>
      </c>
      <c r="U22" s="2008" t="s">
        <v>2831</v>
      </c>
      <c r="V22" s="2008"/>
      <c r="W22" s="2008" t="s">
        <v>2832</v>
      </c>
      <c r="X22" s="2879"/>
      <c r="Y22" s="2007" t="s">
        <v>2828</v>
      </c>
      <c r="Z22" s="2008" t="s">
        <v>2829</v>
      </c>
      <c r="AA22" s="2008" t="s">
        <v>2830</v>
      </c>
      <c r="AB22" s="2008" t="s">
        <v>2831</v>
      </c>
      <c r="AC22" s="2008"/>
      <c r="AD22" s="2008" t="s">
        <v>2832</v>
      </c>
    </row>
    <row r="23" spans="1:30" s="2882" customFormat="1" ht="12.75">
      <c r="A23" s="2880" t="s">
        <v>2833</v>
      </c>
      <c r="B23" s="2881"/>
      <c r="E23" s="2882">
        <f t="shared" ref="E23:G23" si="22">ROUND(AVERAGEIF(E24:E36,"&lt;&gt;0"),2)</f>
        <v>0.42</v>
      </c>
      <c r="F23" s="2882">
        <f t="shared" si="22"/>
        <v>0.3</v>
      </c>
      <c r="G23" s="2882">
        <f t="shared" si="22"/>
        <v>0.73</v>
      </c>
      <c r="I23" s="2882">
        <f>F23</f>
        <v>0.3</v>
      </c>
      <c r="J23" s="2883"/>
      <c r="K23" s="2884"/>
      <c r="L23" s="2885">
        <f t="shared" ref="L23:N23" si="23">ROUND(AVERAGEIF(L24:L36,"&lt;&gt;0"),4)</f>
        <v>4.1999999999999997E-3</v>
      </c>
      <c r="M23" s="2885">
        <f t="shared" si="23"/>
        <v>3.0000000000000001E-3</v>
      </c>
      <c r="N23" s="2885">
        <f t="shared" si="23"/>
        <v>7.3000000000000001E-3</v>
      </c>
      <c r="O23" s="2885"/>
      <c r="P23" s="2885">
        <f>M23</f>
        <v>3.0000000000000001E-3</v>
      </c>
      <c r="Q23" s="2883"/>
      <c r="R23" s="2886"/>
      <c r="S23" s="2887">
        <f>ROUND(SUMPRODUCT(PRODUCT(1+L24:L36)),4)</f>
        <v>1.038</v>
      </c>
      <c r="T23" s="2887">
        <f t="shared" ref="T23:U23" si="24">ROUND(SUMPRODUCT(PRODUCT(1+M24:M36)),4)</f>
        <v>1.0273000000000001</v>
      </c>
      <c r="U23" s="2887">
        <f t="shared" si="24"/>
        <v>1.0677000000000001</v>
      </c>
      <c r="V23" s="2887"/>
      <c r="W23" s="2886">
        <f>T23</f>
        <v>1.0273000000000001</v>
      </c>
      <c r="X23" s="2883"/>
      <c r="Y23" s="2888"/>
      <c r="Z23" s="2889">
        <f t="shared" ref="Z23:AB23" si="25">ROUND(AVERAGEIF(Z24:Z36,"&lt;&gt;0"),4)</f>
        <v>4.3E-3</v>
      </c>
      <c r="AA23" s="2890">
        <f t="shared" si="25"/>
        <v>3.5999999999999999E-3</v>
      </c>
      <c r="AB23" s="2888">
        <f t="shared" si="25"/>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3369</v>
      </c>
      <c r="B25" s="2027">
        <v>2023</v>
      </c>
      <c r="C25" s="2038">
        <v>4</v>
      </c>
      <c r="D25" s="2003"/>
      <c r="E25" s="2003">
        <v>0</v>
      </c>
      <c r="F25" s="2003">
        <v>0</v>
      </c>
      <c r="G25" s="2003">
        <v>0</v>
      </c>
      <c r="H25" s="2003"/>
      <c r="I25" s="2004">
        <f t="shared" ref="I25:I36" si="26">F25</f>
        <v>0</v>
      </c>
      <c r="J25" s="2902"/>
      <c r="K25" s="2039"/>
      <c r="L25" s="2024">
        <f t="shared" ref="L25:N36" si="27">E25/100</f>
        <v>0</v>
      </c>
      <c r="M25" s="2024">
        <f t="shared" si="27"/>
        <v>0</v>
      </c>
      <c r="N25" s="2024">
        <f t="shared" si="27"/>
        <v>0</v>
      </c>
      <c r="O25" s="2024"/>
      <c r="P25" s="2024">
        <f>M25</f>
        <v>0</v>
      </c>
      <c r="Q25" s="2902"/>
      <c r="R25" s="2023"/>
      <c r="S25" s="2023">
        <f>ROUND(IF([3]项目基本情况!$B$8="出让",SUMPRODUCT(PRODUCT(1+L25:L$36)),SUMPRODUCT(PRODUCT(1+L25:L$35))),4)</f>
        <v>1.0344</v>
      </c>
      <c r="T25" s="2023">
        <f>ROUND(IF([3]项目基本情况!$B$8="出让",SUMPRODUCT(PRODUCT(1+M25:M$36)),SUMPRODUCT(PRODUCT(1+M25:M$35))),4)</f>
        <v>1.0224</v>
      </c>
      <c r="U25" s="2023">
        <f>ROUND(IF([3]项目基本情况!$B$8="出让",SUMPRODUCT(PRODUCT(1+N25:N$36)),SUMPRODUCT(PRODUCT(1+N25:N$35))),4)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3370</v>
      </c>
      <c r="B26" s="2027">
        <v>2023</v>
      </c>
      <c r="C26" s="2038">
        <v>3</v>
      </c>
      <c r="D26" s="2003"/>
      <c r="E26" s="2003">
        <v>0</v>
      </c>
      <c r="F26" s="2003">
        <v>0</v>
      </c>
      <c r="G26" s="2003">
        <v>0</v>
      </c>
      <c r="H26" s="2913"/>
      <c r="I26" s="2004">
        <f t="shared" si="26"/>
        <v>0</v>
      </c>
      <c r="J26" s="2902"/>
      <c r="K26" s="2039"/>
      <c r="L26" s="2024">
        <f t="shared" ref="L26:L28" si="28">E26/100</f>
        <v>0</v>
      </c>
      <c r="M26" s="2024">
        <f t="shared" ref="M26:M28" si="29">F26/100</f>
        <v>0</v>
      </c>
      <c r="N26" s="2024">
        <f t="shared" ref="N26:N28" si="30">G26/100</f>
        <v>0</v>
      </c>
      <c r="O26" s="2024"/>
      <c r="P26" s="2024">
        <f t="shared" ref="P26:P28" si="31">M26</f>
        <v>0</v>
      </c>
      <c r="Q26" s="2902"/>
      <c r="R26" s="2023"/>
      <c r="S26" s="2023">
        <f>ROUND(IF([3]项目基本情况!$B$8="出让",SUMPRODUCT(PRODUCT(1+L26:L$36)),SUMPRODUCT(PRODUCT(1+L26:L$35))),4)</f>
        <v>1.0344</v>
      </c>
      <c r="T26" s="2023">
        <f>ROUND(IF([3]项目基本情况!$B$8="出让",SUMPRODUCT(PRODUCT(1+M26:M$36)),SUMPRODUCT(PRODUCT(1+M26:M$35))),4)</f>
        <v>1.0224</v>
      </c>
      <c r="U26" s="2023">
        <f>ROUND(IF([3]项目基本情况!$B$8="出让",SUMPRODUCT(PRODUCT(1+N26:N$36)),SUMPRODUCT(PRODUCT(1+N26:N$35))),4)</f>
        <v>1.0573999999999999</v>
      </c>
      <c r="V26" s="2023"/>
      <c r="W26" s="2023">
        <f t="shared" ref="W26:W28" si="32">T26</f>
        <v>1.0224</v>
      </c>
      <c r="X26" s="2902"/>
      <c r="Y26" s="2024"/>
      <c r="Z26" s="2898"/>
      <c r="AA26" s="2024"/>
      <c r="AB26" s="2024"/>
      <c r="AC26" s="2900"/>
      <c r="AD26" s="2024"/>
    </row>
    <row r="27" spans="1:30" s="2041" customFormat="1" ht="12.75">
      <c r="A27" s="2901" t="s">
        <v>3368</v>
      </c>
      <c r="B27" s="2027">
        <v>2023</v>
      </c>
      <c r="C27" s="2038">
        <v>2</v>
      </c>
      <c r="D27" s="2003"/>
      <c r="E27" s="2003">
        <v>0</v>
      </c>
      <c r="F27" s="2003">
        <v>0</v>
      </c>
      <c r="G27" s="2003">
        <v>0</v>
      </c>
      <c r="H27" s="2913"/>
      <c r="I27" s="2004">
        <f t="shared" si="26"/>
        <v>0</v>
      </c>
      <c r="J27" s="2902"/>
      <c r="K27" s="2039"/>
      <c r="L27" s="2024">
        <f t="shared" si="28"/>
        <v>0</v>
      </c>
      <c r="M27" s="2024">
        <f t="shared" si="29"/>
        <v>0</v>
      </c>
      <c r="N27" s="2024">
        <f t="shared" si="30"/>
        <v>0</v>
      </c>
      <c r="O27" s="2024"/>
      <c r="P27" s="2024">
        <f t="shared" si="31"/>
        <v>0</v>
      </c>
      <c r="Q27" s="2902"/>
      <c r="R27" s="2023"/>
      <c r="S27" s="2023">
        <f>ROUND(IF([3]项目基本情况!$B$8="出让",SUMPRODUCT(PRODUCT(1+L27:L$36)),SUMPRODUCT(PRODUCT(1+L27:L$35))),4)</f>
        <v>1.0344</v>
      </c>
      <c r="T27" s="2023">
        <f>ROUND(IF([3]项目基本情况!$B$8="出让",SUMPRODUCT(PRODUCT(1+M27:M$36)),SUMPRODUCT(PRODUCT(1+M27:M$35))),4)</f>
        <v>1.0224</v>
      </c>
      <c r="U27" s="2023">
        <f>ROUND(IF([3]项目基本情况!$B$8="出让",SUMPRODUCT(PRODUCT(1+N27:N$36)),SUMPRODUCT(PRODUCT(1+N27:N$35))),4)</f>
        <v>1.0573999999999999</v>
      </c>
      <c r="V27" s="2023"/>
      <c r="W27" s="2023">
        <f t="shared" si="32"/>
        <v>1.0224</v>
      </c>
      <c r="X27" s="2902"/>
      <c r="Y27" s="2024"/>
      <c r="Z27" s="2898"/>
      <c r="AA27" s="2024"/>
      <c r="AB27" s="2024"/>
      <c r="AC27" s="2900"/>
      <c r="AD27" s="2024"/>
    </row>
    <row r="28" spans="1:30" s="2912" customFormat="1" ht="12.75">
      <c r="A28" s="2903" t="s">
        <v>3371</v>
      </c>
      <c r="B28" s="2904">
        <v>2023</v>
      </c>
      <c r="C28" s="2905">
        <v>1</v>
      </c>
      <c r="D28" s="2906"/>
      <c r="E28" s="2906">
        <v>0.55000000000000004</v>
      </c>
      <c r="F28" s="2906">
        <v>0.59</v>
      </c>
      <c r="G28" s="2906">
        <v>0.64</v>
      </c>
      <c r="H28" s="2907"/>
      <c r="I28" s="2908">
        <f t="shared" si="26"/>
        <v>0.59</v>
      </c>
      <c r="J28" s="2909"/>
      <c r="K28" s="2910"/>
      <c r="L28" s="2911">
        <f t="shared" si="28"/>
        <v>5.5000000000000005E-3</v>
      </c>
      <c r="M28" s="2911">
        <f t="shared" si="29"/>
        <v>5.8999999999999999E-3</v>
      </c>
      <c r="N28" s="2911">
        <f t="shared" si="30"/>
        <v>6.4000000000000003E-3</v>
      </c>
      <c r="O28" s="2911"/>
      <c r="P28" s="2911">
        <f t="shared" si="31"/>
        <v>5.8999999999999999E-3</v>
      </c>
      <c r="Q28" s="2909"/>
      <c r="R28" s="2909"/>
      <c r="S28" s="2909">
        <f>ROUND(IF([3]项目基本情况!$B$8="出让",SUMPRODUCT(PRODUCT(1+L28:L$36)),SUMPRODUCT(PRODUCT(1+L28:L$35))),4)</f>
        <v>1.0344</v>
      </c>
      <c r="T28" s="2909">
        <f>ROUND(IF([3]项目基本情况!$B$8="出让",SUMPRODUCT(PRODUCT(1+M28:M$36)),SUMPRODUCT(PRODUCT(1+M28:M$35))),4)</f>
        <v>1.0224</v>
      </c>
      <c r="U28" s="2909">
        <f>ROUND(IF([3]项目基本情况!$B$8="出让",SUMPRODUCT(PRODUCT(1+N28:N$36)),SUMPRODUCT(PRODUCT(1+N28:N$35))),4)</f>
        <v>1.0573999999999999</v>
      </c>
      <c r="V28" s="2909"/>
      <c r="W28" s="2909">
        <f t="shared" si="32"/>
        <v>1.0224</v>
      </c>
      <c r="X28" s="2909"/>
      <c r="Y28" s="2911"/>
      <c r="Z28" s="2927"/>
      <c r="AA28" s="2928"/>
      <c r="AB28" s="2911"/>
      <c r="AC28" s="2929"/>
      <c r="AD28" s="2911"/>
    </row>
    <row r="29" spans="1:30" s="2041" customFormat="1" ht="12.75">
      <c r="A29" s="2901" t="s">
        <v>3372</v>
      </c>
      <c r="B29" s="2027">
        <v>2022</v>
      </c>
      <c r="C29" s="2038">
        <v>4</v>
      </c>
      <c r="D29" s="2003"/>
      <c r="E29" s="2003">
        <v>0.45</v>
      </c>
      <c r="F29" s="2003">
        <v>0.2</v>
      </c>
      <c r="G29" s="2003">
        <v>0.38</v>
      </c>
      <c r="H29" s="2913"/>
      <c r="I29" s="2004">
        <f t="shared" si="26"/>
        <v>0.2</v>
      </c>
      <c r="J29" s="2902"/>
      <c r="K29" s="2039"/>
      <c r="L29" s="2024">
        <f t="shared" si="27"/>
        <v>4.5000000000000005E-3</v>
      </c>
      <c r="M29" s="2024">
        <f t="shared" si="27"/>
        <v>2E-3</v>
      </c>
      <c r="N29" s="2024">
        <f t="shared" si="27"/>
        <v>3.8E-3</v>
      </c>
      <c r="O29" s="2024"/>
      <c r="P29" s="2024">
        <f t="shared" ref="P29:P36" si="33">M29</f>
        <v>2E-3</v>
      </c>
      <c r="Q29" s="2902"/>
      <c r="R29" s="2023"/>
      <c r="S29" s="2023">
        <f>ROUND(IF([3]项目基本情况!$B$8="出让",SUMPRODUCT(PRODUCT(1+L29:L$36)),SUMPRODUCT(PRODUCT(1+L29:L$35))),4)</f>
        <v>1.0286999999999999</v>
      </c>
      <c r="T29" s="2023">
        <f>ROUND(IF([3]项目基本情况!$B$8="出让",SUMPRODUCT(PRODUCT(1+M29:M$36)),SUMPRODUCT(PRODUCT(1+M29:M$35))),4)</f>
        <v>1.0164</v>
      </c>
      <c r="U29" s="2023">
        <f>ROUND(IF([3]项目基本情况!$B$8="出让",SUMPRODUCT(PRODUCT(1+N29:N$36)),SUMPRODUCT(PRODUCT(1+N29:N$35))),4)</f>
        <v>1.0506</v>
      </c>
      <c r="V29" s="2023"/>
      <c r="W29" s="2023">
        <f t="shared" ref="W29:W36" si="34">T29</f>
        <v>1.0164</v>
      </c>
      <c r="X29" s="2902"/>
      <c r="Y29" s="2024"/>
      <c r="Z29" s="2898">
        <f t="shared" ref="Z29:AD36" si="35">IF(E29=0,0,ROUND(AVERAGE(E29:E37)/100,4))</f>
        <v>4.0000000000000001E-3</v>
      </c>
      <c r="AA29" s="2899">
        <f t="shared" si="35"/>
        <v>2.5999999999999999E-3</v>
      </c>
      <c r="AB29" s="2024">
        <f t="shared" si="35"/>
        <v>7.4000000000000003E-3</v>
      </c>
      <c r="AC29" s="2900"/>
      <c r="AD29" s="2024">
        <f t="shared" si="35"/>
        <v>2.5999999999999999E-3</v>
      </c>
    </row>
    <row r="30" spans="1:30" s="2041" customFormat="1" ht="12.75">
      <c r="A30" s="2901" t="s">
        <v>3365</v>
      </c>
      <c r="B30" s="2027">
        <v>2022</v>
      </c>
      <c r="C30" s="2038">
        <v>3</v>
      </c>
      <c r="D30" s="2003"/>
      <c r="E30" s="2003">
        <v>0.3</v>
      </c>
      <c r="F30" s="2003">
        <v>0.28999999999999998</v>
      </c>
      <c r="G30" s="2003">
        <v>0.83</v>
      </c>
      <c r="H30" s="2913"/>
      <c r="I30" s="2004">
        <f t="shared" si="26"/>
        <v>0.28999999999999998</v>
      </c>
      <c r="J30" s="2902"/>
      <c r="K30" s="2039"/>
      <c r="L30" s="2024">
        <f t="shared" si="27"/>
        <v>3.0000000000000001E-3</v>
      </c>
      <c r="M30" s="2024">
        <f t="shared" si="27"/>
        <v>2.8999999999999998E-3</v>
      </c>
      <c r="N30" s="2024">
        <f t="shared" si="27"/>
        <v>8.3000000000000001E-3</v>
      </c>
      <c r="O30" s="2024"/>
      <c r="P30" s="2024">
        <f t="shared" si="33"/>
        <v>2.8999999999999998E-3</v>
      </c>
      <c r="Q30" s="2902"/>
      <c r="R30" s="2023"/>
      <c r="S30" s="2023">
        <f>ROUND(IF([3]项目基本情况!$B$8="出让",SUMPRODUCT(PRODUCT(1+L30:L$36)),SUMPRODUCT(PRODUCT(1+L30:L$35))),4)</f>
        <v>1.0241</v>
      </c>
      <c r="T30" s="2023">
        <f>ROUND(IF([3]项目基本情况!$B$8="出让",SUMPRODUCT(PRODUCT(1+M30:M$36)),SUMPRODUCT(PRODUCT(1+M30:M$35))),4)</f>
        <v>1.0144</v>
      </c>
      <c r="U30" s="2023">
        <f>ROUND(IF([3]项目基本情况!$B$8="出让",SUMPRODUCT(PRODUCT(1+N30:N$36)),SUMPRODUCT(PRODUCT(1+N30:N$35))),4)</f>
        <v>1.0467</v>
      </c>
      <c r="V30" s="2023"/>
      <c r="W30" s="2023">
        <f t="shared" si="34"/>
        <v>1.0144</v>
      </c>
      <c r="X30" s="2902"/>
      <c r="Y30" s="2024"/>
      <c r="Z30" s="2898">
        <f t="shared" si="35"/>
        <v>3.8999999999999998E-3</v>
      </c>
      <c r="AA30" s="2899">
        <f t="shared" si="35"/>
        <v>2.7000000000000001E-3</v>
      </c>
      <c r="AB30" s="2024">
        <f t="shared" si="35"/>
        <v>7.9000000000000008E-3</v>
      </c>
      <c r="AC30" s="2900"/>
      <c r="AD30" s="2024">
        <f t="shared" si="35"/>
        <v>2.7000000000000001E-3</v>
      </c>
    </row>
    <row r="31" spans="1:30" s="2041" customFormat="1" ht="12.75">
      <c r="A31" s="2901" t="s">
        <v>3355</v>
      </c>
      <c r="B31" s="2027">
        <v>2022</v>
      </c>
      <c r="C31" s="2038">
        <v>2</v>
      </c>
      <c r="D31" s="2003"/>
      <c r="E31" s="2003">
        <v>-0.11</v>
      </c>
      <c r="F31" s="2003">
        <v>-0.13</v>
      </c>
      <c r="G31" s="2003">
        <v>0.53</v>
      </c>
      <c r="H31" s="2913"/>
      <c r="I31" s="2004">
        <f t="shared" si="26"/>
        <v>-0.13</v>
      </c>
      <c r="J31" s="2902"/>
      <c r="K31" s="2039"/>
      <c r="L31" s="2024">
        <f t="shared" si="27"/>
        <v>-1.1000000000000001E-3</v>
      </c>
      <c r="M31" s="2024">
        <f t="shared" si="27"/>
        <v>-1.2999999999999999E-3</v>
      </c>
      <c r="N31" s="2024">
        <f t="shared" si="27"/>
        <v>5.3E-3</v>
      </c>
      <c r="O31" s="2024"/>
      <c r="P31" s="2024">
        <f t="shared" si="33"/>
        <v>-1.2999999999999999E-3</v>
      </c>
      <c r="Q31" s="2902"/>
      <c r="R31" s="2023"/>
      <c r="S31" s="2023">
        <f>ROUND(IF([3]项目基本情况!$B$8="出让",SUMPRODUCT(PRODUCT(1+L31:L$36)),SUMPRODUCT(PRODUCT(1+L31:L$35))),4)</f>
        <v>1.0210999999999999</v>
      </c>
      <c r="T31" s="2023">
        <f>ROUND(IF([3]项目基本情况!$B$8="出让",SUMPRODUCT(PRODUCT(1+M31:M$36)),SUMPRODUCT(PRODUCT(1+M31:M$35))),4)</f>
        <v>1.0114000000000001</v>
      </c>
      <c r="U31" s="2023">
        <f>ROUND(IF([3]项目基本情况!$B$8="出让",SUMPRODUCT(PRODUCT(1+N31:N$36)),SUMPRODUCT(PRODUCT(1+N31:N$35))),4)</f>
        <v>1.0381</v>
      </c>
      <c r="V31" s="2023"/>
      <c r="W31" s="2023">
        <f t="shared" si="34"/>
        <v>1.0114000000000001</v>
      </c>
      <c r="X31" s="2902"/>
      <c r="Y31" s="2024"/>
      <c r="Z31" s="2898">
        <f t="shared" si="35"/>
        <v>4.1000000000000003E-3</v>
      </c>
      <c r="AA31" s="2899">
        <f t="shared" si="35"/>
        <v>2.7000000000000001E-3</v>
      </c>
      <c r="AB31" s="2024">
        <f t="shared" si="35"/>
        <v>7.9000000000000008E-3</v>
      </c>
      <c r="AC31" s="2900"/>
      <c r="AD31" s="2024">
        <f t="shared" si="35"/>
        <v>2.7000000000000001E-3</v>
      </c>
    </row>
    <row r="32" spans="1:30" s="2041" customFormat="1" ht="12.75">
      <c r="A32" s="2901" t="s">
        <v>2834</v>
      </c>
      <c r="B32" s="2027">
        <v>2022</v>
      </c>
      <c r="C32" s="2038">
        <v>1</v>
      </c>
      <c r="D32" s="2003"/>
      <c r="E32" s="2003">
        <v>0.6</v>
      </c>
      <c r="F32" s="2003">
        <v>0.45</v>
      </c>
      <c r="G32" s="2003">
        <v>0.53</v>
      </c>
      <c r="H32" s="2913"/>
      <c r="I32" s="2004">
        <f t="shared" si="26"/>
        <v>0.45</v>
      </c>
      <c r="J32" s="2902"/>
      <c r="K32" s="2039"/>
      <c r="L32" s="2024">
        <f t="shared" si="27"/>
        <v>6.0000000000000001E-3</v>
      </c>
      <c r="M32" s="2024">
        <f t="shared" si="27"/>
        <v>4.5000000000000005E-3</v>
      </c>
      <c r="N32" s="2024">
        <f t="shared" si="27"/>
        <v>5.3E-3</v>
      </c>
      <c r="O32" s="2024"/>
      <c r="P32" s="2024">
        <f t="shared" si="33"/>
        <v>4.5000000000000005E-3</v>
      </c>
      <c r="Q32" s="2902"/>
      <c r="R32" s="2023"/>
      <c r="S32" s="2023">
        <f>ROUND(IF([3]项目基本情况!$B$8="出让",SUMPRODUCT(PRODUCT(1+L32:L$36)),SUMPRODUCT(PRODUCT(1+L32:L$35))),4)</f>
        <v>1.0222</v>
      </c>
      <c r="T32" s="2023">
        <f>ROUND(IF([3]项目基本情况!$B$8="出让",SUMPRODUCT(PRODUCT(1+M32:M$36)),SUMPRODUCT(PRODUCT(1+M32:M$35))),4)</f>
        <v>1.0127999999999999</v>
      </c>
      <c r="U32" s="2023">
        <f>ROUND(IF([3]项目基本情况!$B$8="出让",SUMPRODUCT(PRODUCT(1+N32:N$36)),SUMPRODUCT(PRODUCT(1+N32:N$35))),4)</f>
        <v>1.0326</v>
      </c>
      <c r="V32" s="2023"/>
      <c r="W32" s="2023">
        <f t="shared" si="34"/>
        <v>1.0127999999999999</v>
      </c>
      <c r="X32" s="2902"/>
      <c r="Y32" s="2024"/>
      <c r="Z32" s="2898">
        <f t="shared" si="35"/>
        <v>5.1000000000000004E-3</v>
      </c>
      <c r="AA32" s="2899">
        <f t="shared" si="35"/>
        <v>3.5000000000000001E-3</v>
      </c>
      <c r="AB32" s="2024">
        <f t="shared" si="35"/>
        <v>8.3999999999999995E-3</v>
      </c>
      <c r="AC32" s="2900"/>
      <c r="AD32" s="2024">
        <f t="shared" si="35"/>
        <v>3.5000000000000001E-3</v>
      </c>
    </row>
    <row r="33" spans="1:30" s="2041" customFormat="1" ht="12.75">
      <c r="A33" s="2901" t="s">
        <v>2835</v>
      </c>
      <c r="B33" s="2027">
        <v>2021</v>
      </c>
      <c r="C33" s="2038">
        <v>4</v>
      </c>
      <c r="D33" s="2003"/>
      <c r="E33" s="2003">
        <v>0.57999999999999996</v>
      </c>
      <c r="F33" s="2003">
        <v>0.08</v>
      </c>
      <c r="G33" s="2003">
        <v>0.68</v>
      </c>
      <c r="H33" s="2913"/>
      <c r="I33" s="2004">
        <f t="shared" si="26"/>
        <v>0.08</v>
      </c>
      <c r="J33" s="2902"/>
      <c r="K33" s="2039"/>
      <c r="L33" s="2024">
        <f t="shared" si="27"/>
        <v>5.7999999999999996E-3</v>
      </c>
      <c r="M33" s="2024">
        <f t="shared" si="27"/>
        <v>8.0000000000000004E-4</v>
      </c>
      <c r="N33" s="2024">
        <f t="shared" si="27"/>
        <v>6.8000000000000005E-3</v>
      </c>
      <c r="O33" s="2024"/>
      <c r="P33" s="2024">
        <f t="shared" si="33"/>
        <v>8.0000000000000004E-4</v>
      </c>
      <c r="Q33" s="2902"/>
      <c r="R33" s="2023"/>
      <c r="S33" s="2023">
        <f>ROUND(IF([3]项目基本情况!$B$8="出让",SUMPRODUCT(PRODUCT(1+L33:L$36)),SUMPRODUCT(PRODUCT(1+L33:L$35))),4)</f>
        <v>1.0161</v>
      </c>
      <c r="T33" s="2023">
        <f>ROUND(IF([3]项目基本情况!$B$8="出让",SUMPRODUCT(PRODUCT(1+M33:M$36)),SUMPRODUCT(PRODUCT(1+M33:M$35))),4)</f>
        <v>1.0082</v>
      </c>
      <c r="U33" s="2023">
        <f>ROUND(IF([3]项目基本情况!$B$8="出让",SUMPRODUCT(PRODUCT(1+N33:N$36)),SUMPRODUCT(PRODUCT(1+N33:N$35))),4)</f>
        <v>1.0270999999999999</v>
      </c>
      <c r="V33" s="2023"/>
      <c r="W33" s="2023">
        <f t="shared" si="34"/>
        <v>1.0082</v>
      </c>
      <c r="X33" s="2902"/>
      <c r="Y33" s="2024"/>
      <c r="Z33" s="2898">
        <f t="shared" si="35"/>
        <v>4.8999999999999998E-3</v>
      </c>
      <c r="AA33" s="2899">
        <f t="shared" si="35"/>
        <v>3.3E-3</v>
      </c>
      <c r="AB33" s="2024">
        <f t="shared" si="35"/>
        <v>9.1999999999999998E-3</v>
      </c>
      <c r="AC33" s="2900"/>
      <c r="AD33" s="2024">
        <f t="shared" si="35"/>
        <v>3.3E-3</v>
      </c>
    </row>
    <row r="34" spans="1:30" s="2041" customFormat="1" ht="12.75">
      <c r="A34" s="2901" t="s">
        <v>2836</v>
      </c>
      <c r="B34" s="2027">
        <v>2021</v>
      </c>
      <c r="C34" s="2038">
        <v>3</v>
      </c>
      <c r="D34" s="2003"/>
      <c r="E34" s="2003">
        <v>0.47</v>
      </c>
      <c r="F34" s="2003">
        <v>0.28000000000000003</v>
      </c>
      <c r="G34" s="2003">
        <v>0.91</v>
      </c>
      <c r="H34" s="2913"/>
      <c r="I34" s="2004">
        <f t="shared" si="26"/>
        <v>0.28000000000000003</v>
      </c>
      <c r="J34" s="2902"/>
      <c r="K34" s="2039"/>
      <c r="L34" s="2024">
        <f t="shared" si="27"/>
        <v>4.6999999999999993E-3</v>
      </c>
      <c r="M34" s="2024">
        <f t="shared" si="27"/>
        <v>2.8000000000000004E-3</v>
      </c>
      <c r="N34" s="2024">
        <f t="shared" si="27"/>
        <v>9.1000000000000004E-3</v>
      </c>
      <c r="O34" s="2024"/>
      <c r="P34" s="2024">
        <f t="shared" si="33"/>
        <v>2.8000000000000004E-3</v>
      </c>
      <c r="Q34" s="2902"/>
      <c r="R34" s="2023"/>
      <c r="S34" s="2023">
        <f>ROUND(IF([3]项目基本情况!$B$8="出让",SUMPRODUCT(PRODUCT(1+L34:L$36)),SUMPRODUCT(PRODUCT(1+L34:L$35))),4)</f>
        <v>1.0102</v>
      </c>
      <c r="T34" s="2023">
        <f>ROUND(IF([3]项目基本情况!$B$8="出让",SUMPRODUCT(PRODUCT(1+M34:M$36)),SUMPRODUCT(PRODUCT(1+M34:M$35))),4)</f>
        <v>1.0074000000000001</v>
      </c>
      <c r="U34" s="2023">
        <f>ROUND(IF([3]项目基本情况!$B$8="出让",SUMPRODUCT(PRODUCT(1+N34:N$36)),SUMPRODUCT(PRODUCT(1+N34:N$35))),4)</f>
        <v>1.0202</v>
      </c>
      <c r="V34" s="2023"/>
      <c r="W34" s="2023">
        <f t="shared" si="34"/>
        <v>1.0074000000000001</v>
      </c>
      <c r="X34" s="2902"/>
      <c r="Y34" s="2024"/>
      <c r="Z34" s="2898">
        <f t="shared" si="35"/>
        <v>4.5999999999999999E-3</v>
      </c>
      <c r="AA34" s="2899">
        <f t="shared" si="35"/>
        <v>4.1000000000000003E-3</v>
      </c>
      <c r="AB34" s="2024">
        <f t="shared" si="35"/>
        <v>0.01</v>
      </c>
      <c r="AC34" s="2900"/>
      <c r="AD34" s="2024">
        <f t="shared" si="35"/>
        <v>4.1000000000000003E-3</v>
      </c>
    </row>
    <row r="35" spans="1:30" s="2041" customFormat="1" ht="12.75">
      <c r="A35" s="2901" t="s">
        <v>2837</v>
      </c>
      <c r="B35" s="2027">
        <v>2021</v>
      </c>
      <c r="C35" s="2038">
        <v>2</v>
      </c>
      <c r="D35" s="2003"/>
      <c r="E35" s="2003">
        <v>0.55000000000000004</v>
      </c>
      <c r="F35" s="2003">
        <v>0.46</v>
      </c>
      <c r="G35" s="2003">
        <v>1.1000000000000001</v>
      </c>
      <c r="H35" s="2913"/>
      <c r="I35" s="2004">
        <f t="shared" si="26"/>
        <v>0.46</v>
      </c>
      <c r="J35" s="2902"/>
      <c r="K35" s="2039"/>
      <c r="L35" s="2024">
        <f t="shared" si="27"/>
        <v>5.5000000000000005E-3</v>
      </c>
      <c r="M35" s="2024">
        <f t="shared" si="27"/>
        <v>4.5999999999999999E-3</v>
      </c>
      <c r="N35" s="2024">
        <f t="shared" si="27"/>
        <v>1.1000000000000001E-2</v>
      </c>
      <c r="O35" s="2024"/>
      <c r="P35" s="2024">
        <f t="shared" si="33"/>
        <v>4.5999999999999999E-3</v>
      </c>
      <c r="Q35" s="2902"/>
      <c r="R35" s="2023"/>
      <c r="S35" s="2023">
        <f>ROUND(IF([3]项目基本情况!$B$8="出让",SUMPRODUCT(PRODUCT(1+L35:L$36)),SUMPRODUCT(PRODUCT(1+L35:L$35))),4)</f>
        <v>1.0055000000000001</v>
      </c>
      <c r="T35" s="2023">
        <f>ROUND(IF([3]项目基本情况!$B$8="出让",SUMPRODUCT(PRODUCT(1+M35:M$36)),SUMPRODUCT(PRODUCT(1+M35:M$35))),4)</f>
        <v>1.0045999999999999</v>
      </c>
      <c r="U35" s="2023">
        <f>ROUND(IF([3]项目基本情况!$B$8="出让",SUMPRODUCT(PRODUCT(1+N35:N$36)),SUMPRODUCT(PRODUCT(1+N35:N$35))),4)</f>
        <v>1.0109999999999999</v>
      </c>
      <c r="V35" s="2023"/>
      <c r="W35" s="2023">
        <f t="shared" si="34"/>
        <v>1.0045999999999999</v>
      </c>
      <c r="X35" s="2902"/>
      <c r="Y35" s="2024"/>
      <c r="Z35" s="2898">
        <f t="shared" si="35"/>
        <v>4.4999999999999997E-3</v>
      </c>
      <c r="AA35" s="2899">
        <f t="shared" si="35"/>
        <v>4.7000000000000002E-3</v>
      </c>
      <c r="AB35" s="2024">
        <f t="shared" si="35"/>
        <v>1.04E-2</v>
      </c>
      <c r="AC35" s="2900"/>
      <c r="AD35" s="2024">
        <f t="shared" si="35"/>
        <v>4.7000000000000002E-3</v>
      </c>
    </row>
    <row r="36" spans="1:30" s="2924" customFormat="1" thickBot="1">
      <c r="A36" s="2914" t="s">
        <v>2822</v>
      </c>
      <c r="B36" s="2915">
        <v>2021</v>
      </c>
      <c r="C36" s="2916">
        <v>1</v>
      </c>
      <c r="D36" s="2917"/>
      <c r="E36" s="2917">
        <v>0.35</v>
      </c>
      <c r="F36" s="2917">
        <v>0.48</v>
      </c>
      <c r="G36" s="2917">
        <v>0.98</v>
      </c>
      <c r="H36" s="2918"/>
      <c r="I36" s="2919">
        <f t="shared" si="26"/>
        <v>0.48</v>
      </c>
      <c r="J36" s="2920"/>
      <c r="K36" s="2921"/>
      <c r="L36" s="2922">
        <f t="shared" si="27"/>
        <v>3.4999999999999996E-3</v>
      </c>
      <c r="M36" s="2922">
        <f>F36/100</f>
        <v>4.7999999999999996E-3</v>
      </c>
      <c r="N36" s="2922">
        <f t="shared" si="27"/>
        <v>9.7999999999999997E-3</v>
      </c>
      <c r="O36" s="2922"/>
      <c r="P36" s="2922">
        <f t="shared" si="33"/>
        <v>4.7999999999999996E-3</v>
      </c>
      <c r="Q36" s="2920"/>
      <c r="R36" s="2923"/>
      <c r="S36" s="2923">
        <v>1</v>
      </c>
      <c r="T36" s="2923">
        <v>1</v>
      </c>
      <c r="U36" s="2923">
        <v>1</v>
      </c>
      <c r="V36" s="2923"/>
      <c r="W36" s="2923">
        <f t="shared" si="34"/>
        <v>1</v>
      </c>
      <c r="X36" s="2920"/>
      <c r="Y36" s="2922"/>
      <c r="Z36" s="2930">
        <f t="shared" si="35"/>
        <v>3.5000000000000001E-3</v>
      </c>
      <c r="AA36" s="2931">
        <f t="shared" si="35"/>
        <v>4.7999999999999996E-3</v>
      </c>
      <c r="AB36" s="2922">
        <f t="shared" si="35"/>
        <v>9.7999999999999997E-3</v>
      </c>
      <c r="AC36" s="2932"/>
      <c r="AD36" s="2922">
        <f t="shared" si="35"/>
        <v>4.7999999999999996E-3</v>
      </c>
    </row>
    <row r="37" spans="1:30" ht="14.25" thickTop="1"/>
    <row r="38" spans="1:30">
      <c r="A38" s="3139"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3360</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3361</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3362</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2127</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2125</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2124</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2123</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2121</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2120</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2122</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78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2118</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78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2117</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78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2110</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79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2108</v>
      </c>
      <c r="B25" s="2045">
        <v>439</v>
      </c>
      <c r="C25" s="2045">
        <v>327</v>
      </c>
      <c r="D25" s="2045">
        <f>C25</f>
        <v>327</v>
      </c>
      <c r="E25" s="2045">
        <v>627</v>
      </c>
      <c r="F25" s="2046">
        <v>283</v>
      </c>
      <c r="G25" s="378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2109</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78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78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79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78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78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78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78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78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78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78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78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78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78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78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78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78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79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79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79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78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78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78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78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78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78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78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78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78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78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78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78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78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78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78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78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78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78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78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78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78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78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78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78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78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78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78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78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78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78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78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78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78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78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78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78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78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78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785">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786">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78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78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785">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786">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E48" sqref="E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38867</v>
      </c>
      <c r="D1" s="1216" t="s">
        <v>603</v>
      </c>
      <c r="E1" s="1211">
        <f>'数据-取费表'!B22</f>
        <v>1</v>
      </c>
      <c r="F1" s="1216" t="s">
        <v>604</v>
      </c>
      <c r="G1" s="1212">
        <f ca="1">INDIRECT("d"&amp;$K$1)/100</f>
        <v>5.8499999999999996E-2</v>
      </c>
      <c r="H1" s="1216" t="s">
        <v>634</v>
      </c>
      <c r="I1" s="1212">
        <f ca="1">F4/100</f>
        <v>2.2499999999999999E-2</v>
      </c>
      <c r="J1" s="1217">
        <f>IF(C1&gt;C13,0,MATCH(C1,C$13:C$109,-1))+IF(SUMIF(C13:C109,C1,D13:D109)=0,13,12)</f>
        <v>48</v>
      </c>
      <c r="K1" s="1217">
        <f ca="1">MATCH(E1,C3:C7,1)+IF(SUMIF(C3:C7,E1,D3:D7)=0,2,1)</f>
        <v>4</v>
      </c>
      <c r="L1" s="1217">
        <f>IF(C1&gt;M13,0,MATCH(C1,M$13:M$100,-1))+IF(SUMIF(M13:M100,C1,N13:N100)=0,13,12)</f>
        <v>38</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5.4</v>
      </c>
      <c r="E3" s="1162">
        <v>0.5</v>
      </c>
      <c r="F3" s="1163">
        <f ca="1">INDIRECT("p"&amp;$L$1)</f>
        <v>2.0699999999999998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6.03</v>
      </c>
      <c r="E5" s="1168">
        <v>2</v>
      </c>
      <c r="F5" s="1169">
        <f ca="1">INDIRECT("r"&amp;$L$1)</f>
        <v>2.7</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6.12</v>
      </c>
      <c r="E6" s="1168">
        <v>3</v>
      </c>
      <c r="F6" s="1169">
        <f ca="1">INDIRECT("s"&amp;$L$1)</f>
        <v>3.24</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6.39</v>
      </c>
      <c r="E7" s="1173">
        <v>5</v>
      </c>
      <c r="F7" s="1174">
        <f ca="1">INDIRECT("t"&amp;$L$1)</f>
        <v>3.6</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2308</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01" t="s">
        <v>925</v>
      </c>
      <c r="E3" s="801" t="s">
        <v>931</v>
      </c>
      <c r="F3" s="801" t="s">
        <v>925</v>
      </c>
      <c r="G3" s="801" t="s">
        <v>926</v>
      </c>
      <c r="H3" s="801" t="s">
        <v>925</v>
      </c>
      <c r="I3" s="801" t="s">
        <v>926</v>
      </c>
    </row>
    <row r="4" spans="1:9" ht="15">
      <c r="A4" s="1402" t="str">
        <f>项目基本情况!S2</f>
        <v>北京市房地产</v>
      </c>
      <c r="B4" s="801">
        <f>项目基本情况!C17</f>
        <v>204.54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t="e">
        <f ca="1">结果表!D122</f>
        <v>#REF!</v>
      </c>
      <c r="E8" s="3468"/>
      <c r="F8" s="3468"/>
      <c r="G8" s="3468"/>
      <c r="H8" s="3468"/>
      <c r="I8" s="3468"/>
    </row>
    <row r="9" spans="1:9" ht="15">
      <c r="A9" s="3467" t="s">
        <v>927</v>
      </c>
      <c r="B9" s="3467"/>
      <c r="C9" s="3467"/>
      <c r="D9" s="3467" t="e">
        <f ca="1">结果表!D123</f>
        <v>#REF!</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74" t="s">
        <v>949</v>
      </c>
      <c r="B1" s="3474"/>
      <c r="C1" s="3474"/>
      <c r="D1" s="3474"/>
    </row>
    <row r="2" spans="1:4" ht="18">
      <c r="A2" s="3475" t="s">
        <v>933</v>
      </c>
      <c r="B2" s="3475"/>
      <c r="C2" s="3475"/>
      <c r="D2" s="347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475" t="s">
        <v>939</v>
      </c>
      <c r="B6" s="3475"/>
      <c r="C6" s="3475"/>
      <c r="D6" s="347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488" t="s">
        <v>956</v>
      </c>
      <c r="B15" s="3483" t="s">
        <v>109</v>
      </c>
      <c r="C15" s="3484"/>
    </row>
    <row r="16" spans="1:7" ht="13.5">
      <c r="A16" s="3489"/>
      <c r="B16" s="3483" t="s">
        <v>42</v>
      </c>
      <c r="C16" s="3484"/>
    </row>
    <row r="17" spans="1:3" ht="13.5">
      <c r="A17" s="3489"/>
      <c r="B17" s="3486" t="s">
        <v>957</v>
      </c>
      <c r="C17" s="1428" t="s">
        <v>956</v>
      </c>
    </row>
    <row r="18" spans="1:3" ht="13.5">
      <c r="A18" s="3489"/>
      <c r="B18" s="3486"/>
      <c r="C18" s="1428" t="s">
        <v>958</v>
      </c>
    </row>
    <row r="19" spans="1:3" ht="13.5">
      <c r="A19" s="3489"/>
      <c r="B19" s="3486"/>
      <c r="C19" s="1428" t="s">
        <v>959</v>
      </c>
    </row>
    <row r="20" spans="1:3" ht="13.5">
      <c r="A20" s="3490"/>
      <c r="B20" s="3485" t="s">
        <v>960</v>
      </c>
      <c r="C20" s="3484"/>
    </row>
    <row r="21" spans="1:3" ht="13.5">
      <c r="A21" s="1429" t="s">
        <v>961</v>
      </c>
      <c r="B21" s="1430"/>
      <c r="C21" s="1431"/>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428" t="s">
        <v>967</v>
      </c>
    </row>
    <row r="26" spans="1:3" ht="13.5">
      <c r="A26" s="3487"/>
      <c r="B26" s="3486"/>
      <c r="C26" s="1428" t="s">
        <v>968</v>
      </c>
    </row>
    <row r="27" spans="1:3" ht="13.5">
      <c r="A27" s="3487"/>
      <c r="B27" s="3486"/>
      <c r="C27" s="1428" t="s">
        <v>969</v>
      </c>
    </row>
    <row r="28" spans="1:3" ht="13.5">
      <c r="A28" s="3487"/>
      <c r="B28" s="3486"/>
      <c r="C28" s="1428" t="s">
        <v>970</v>
      </c>
    </row>
    <row r="29" spans="1:3" ht="13.5">
      <c r="A29" s="3487"/>
      <c r="B29" s="3486"/>
      <c r="C29" s="1428" t="s">
        <v>971</v>
      </c>
    </row>
    <row r="30" spans="1:3" ht="13.5">
      <c r="A30" s="3487"/>
      <c r="B30" s="3486"/>
      <c r="C30" s="1428" t="s">
        <v>972</v>
      </c>
    </row>
    <row r="31" spans="1:3" ht="13.5">
      <c r="A31" s="3487"/>
      <c r="B31" s="3486"/>
      <c r="C31" s="1428" t="s">
        <v>973</v>
      </c>
    </row>
    <row r="32" spans="1:3" ht="13.5">
      <c r="A32" s="3487"/>
      <c r="B32" s="3486"/>
      <c r="C32" s="1428" t="s">
        <v>974</v>
      </c>
    </row>
    <row r="33" spans="1:3" ht="13.5">
      <c r="A33" s="3487"/>
      <c r="B33" s="348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2136</v>
      </c>
      <c r="B2" s="2153">
        <f ca="1">TODAY()</f>
        <v>45254</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f ca="1">IF(C6&lt;B2,"已过期",1120050019)</f>
        <v>1120050019</v>
      </c>
      <c r="C6" s="2158">
        <v>45410</v>
      </c>
      <c r="D6" s="2159" t="str">
        <f t="shared" ca="1" si="0"/>
        <v>王鹏（注册号：1120050019）</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f ca="1">IF(C9&lt;B2,"已过期",1120060040)</f>
        <v>1120060040</v>
      </c>
      <c r="C9" s="2163">
        <v>45592</v>
      </c>
      <c r="D9" s="2159" t="str">
        <f t="shared" ca="1" si="0"/>
        <v>陈颖（注册号：1120060040）</v>
      </c>
      <c r="E9" s="2160" t="s">
        <v>2150</v>
      </c>
      <c r="F9" s="1218">
        <f ca="1">IF(G9&lt;B2,"已过期",2004110096)</f>
        <v>2004110096</v>
      </c>
      <c r="G9" s="2161">
        <v>47118</v>
      </c>
      <c r="H9" s="2162" t="str">
        <f t="shared" ca="1" si="1"/>
        <v>陈颖（注册号：2004110096）</v>
      </c>
    </row>
    <row r="10" spans="1:8" ht="24" customHeight="1">
      <c r="A10" s="1218" t="s">
        <v>2151</v>
      </c>
      <c r="B10" s="1218">
        <f ca="1">IF(C10&lt;B2,"已过期",1120100036)</f>
        <v>1120100036</v>
      </c>
      <c r="C10" s="2163">
        <v>45752</v>
      </c>
      <c r="D10" s="2159" t="str">
        <f t="shared" ca="1" si="0"/>
        <v>崔锴（注册号：1120100036）</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f ca="1">IF(C13&lt;B2,"已过期",1120020033)</f>
        <v>1120020033</v>
      </c>
      <c r="C13" s="2158">
        <v>45375</v>
      </c>
      <c r="D13" s="2159" t="str">
        <f t="shared" ca="1" si="0"/>
        <v>刘敬东（注册号：1120020033）</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491" t="s">
        <v>2157</v>
      </c>
      <c r="B17" s="3491"/>
      <c r="C17" s="3491"/>
      <c r="D17" s="3491"/>
      <c r="E17" s="3491"/>
      <c r="F17" s="3491"/>
      <c r="G17" s="3491"/>
      <c r="H17" s="3491"/>
    </row>
    <row r="18" spans="1:8" ht="24" customHeight="1">
      <c r="A18" s="3492" t="s">
        <v>2158</v>
      </c>
      <c r="B18" s="3492"/>
      <c r="C18" s="3492"/>
      <c r="D18" s="2156"/>
      <c r="E18" s="3493" t="s">
        <v>2159</v>
      </c>
      <c r="F18" s="3492"/>
      <c r="G18" s="3492"/>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2023-11-24T07:06:11Z</dcterms:modified>
</cp:coreProperties>
</file>