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海淀区北洼西里颐安嘉园18号楼A单元5层502号住宅用房房地产市场价值\收集资料\"/>
    </mc:Choice>
  </mc:AlternateContent>
  <xr:revisionPtr revIDLastSave="0" documentId="13_ncr:1_{1FB93C59-48F7-4D09-8CDF-9BBC8274A3D5}" xr6:coauthVersionLast="47" xr6:coauthVersionMax="47" xr10:uidLastSave="{00000000-0000-0000-0000-000000000000}"/>
  <bookViews>
    <workbookView xWindow="-120" yWindow="-120" windowWidth="19440" windowHeight="15000" tabRatio="787" firstSheet="4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B65" i="66"/>
  <c r="W64" i="66" s="1"/>
  <c r="F64" i="66" s="1"/>
  <c r="AA65" i="66"/>
  <c r="V64" i="66" s="1"/>
  <c r="E64" i="66" s="1"/>
  <c r="V65" i="66"/>
  <c r="E65" i="66" s="1"/>
  <c r="O65" i="66" s="1"/>
  <c r="C65" i="66"/>
  <c r="AB63" i="66"/>
  <c r="AB62" i="66" s="1"/>
  <c r="W62" i="66" s="1"/>
  <c r="F62" i="66" s="1"/>
  <c r="AA63" i="66"/>
  <c r="AA62" i="66" s="1"/>
  <c r="V62" i="66" s="1"/>
  <c r="Z63" i="66"/>
  <c r="Y63" i="66"/>
  <c r="W63" i="66"/>
  <c r="V63" i="66"/>
  <c r="E63" i="66" s="1"/>
  <c r="U63" i="66"/>
  <c r="T63" i="66"/>
  <c r="F63" i="66"/>
  <c r="C63" i="66"/>
  <c r="B63" i="66"/>
  <c r="Z62" i="66"/>
  <c r="Z61" i="66" s="1"/>
  <c r="U61" i="66" s="1"/>
  <c r="Y62" i="66"/>
  <c r="U62" i="66"/>
  <c r="C62" i="66" s="1"/>
  <c r="D62" i="66" s="1"/>
  <c r="E62" i="66"/>
  <c r="AA61" i="66"/>
  <c r="C61" i="66"/>
  <c r="U60" i="66"/>
  <c r="C60" i="66" s="1"/>
  <c r="D60" i="66" s="1"/>
  <c r="F59" i="66"/>
  <c r="E59" i="66"/>
  <c r="C59" i="66"/>
  <c r="B59" i="66"/>
  <c r="F58" i="66"/>
  <c r="E58" i="66"/>
  <c r="D58" i="66"/>
  <c r="C58" i="66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D28" i="66"/>
  <c r="C28" i="66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D22" i="66"/>
  <c r="C22" i="66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I18" i="66"/>
  <c r="H18" i="66"/>
  <c r="F18" i="66"/>
  <c r="K18" i="66" s="1"/>
  <c r="E18" i="66"/>
  <c r="D18" i="66"/>
  <c r="C18" i="66"/>
  <c r="B18" i="66"/>
  <c r="G18" i="66" s="1"/>
  <c r="K17" i="66"/>
  <c r="H17" i="66"/>
  <c r="G17" i="66"/>
  <c r="F17" i="66"/>
  <c r="E17" i="66"/>
  <c r="J17" i="66" s="1"/>
  <c r="D17" i="66"/>
  <c r="C17" i="66"/>
  <c r="B17" i="66"/>
  <c r="J16" i="66"/>
  <c r="F16" i="66"/>
  <c r="E16" i="66"/>
  <c r="C16" i="66"/>
  <c r="H16" i="66" s="1"/>
  <c r="B16" i="66"/>
  <c r="H15" i="66"/>
  <c r="F15" i="66"/>
  <c r="E15" i="66"/>
  <c r="J15" i="66" s="1"/>
  <c r="D15" i="66"/>
  <c r="C15" i="66"/>
  <c r="B15" i="66"/>
  <c r="J14" i="66"/>
  <c r="F14" i="66"/>
  <c r="K4" i="66" s="1"/>
  <c r="E14" i="66"/>
  <c r="C14" i="66"/>
  <c r="H14" i="66" s="1"/>
  <c r="B14" i="66"/>
  <c r="H13" i="66"/>
  <c r="F13" i="66"/>
  <c r="E13" i="66"/>
  <c r="J13" i="66" s="1"/>
  <c r="D13" i="66"/>
  <c r="C13" i="66"/>
  <c r="B13" i="66"/>
  <c r="J12" i="66"/>
  <c r="F12" i="66"/>
  <c r="E12" i="66"/>
  <c r="C12" i="66"/>
  <c r="H12" i="66" s="1"/>
  <c r="B12" i="66"/>
  <c r="H11" i="66"/>
  <c r="F11" i="66"/>
  <c r="E11" i="66"/>
  <c r="J11" i="66" s="1"/>
  <c r="D11" i="66"/>
  <c r="C11" i="66"/>
  <c r="B11" i="66"/>
  <c r="J10" i="66"/>
  <c r="F10" i="66"/>
  <c r="E10" i="66"/>
  <c r="C10" i="66"/>
  <c r="H10" i="66" s="1"/>
  <c r="B10" i="66"/>
  <c r="H9" i="66"/>
  <c r="F9" i="66"/>
  <c r="E9" i="66"/>
  <c r="J9" i="66" s="1"/>
  <c r="D9" i="66"/>
  <c r="C9" i="66"/>
  <c r="H5" i="66" s="1"/>
  <c r="B9" i="66"/>
  <c r="J8" i="66"/>
  <c r="F8" i="66"/>
  <c r="E8" i="66"/>
  <c r="J7" i="66" s="1"/>
  <c r="C8" i="66"/>
  <c r="H8" i="66" s="1"/>
  <c r="B8" i="66"/>
  <c r="G4" i="66" s="1"/>
  <c r="H7" i="66"/>
  <c r="H6" i="66"/>
  <c r="J5" i="66"/>
  <c r="H2" i="66"/>
  <c r="N21" i="43" s="1"/>
  <c r="O1" i="66"/>
  <c r="J1" i="66"/>
  <c r="D87" i="67"/>
  <c r="F86" i="67"/>
  <c r="E86" i="67"/>
  <c r="E85" i="67" s="1"/>
  <c r="C86" i="67"/>
  <c r="D86" i="67" s="1"/>
  <c r="B86" i="67"/>
  <c r="F85" i="67"/>
  <c r="F84" i="67" s="1"/>
  <c r="D85" i="67"/>
  <c r="C85" i="67"/>
  <c r="B85" i="67"/>
  <c r="B84" i="67" s="1"/>
  <c r="E84" i="67"/>
  <c r="D84" i="67"/>
  <c r="C84" i="67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S78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S74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B66" i="67"/>
  <c r="B65" i="67" s="1"/>
  <c r="B64" i="67" s="1"/>
  <c r="O65" i="67"/>
  <c r="C65" i="67"/>
  <c r="C64" i="67" s="1"/>
  <c r="O63" i="67" s="1"/>
  <c r="D64" i="67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D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F58" i="67"/>
  <c r="V58" i="67" s="1"/>
  <c r="Q57" i="67"/>
  <c r="P57" i="67"/>
  <c r="O57" i="67"/>
  <c r="N57" i="67"/>
  <c r="Q56" i="67"/>
  <c r="P56" i="67"/>
  <c r="O56" i="67"/>
  <c r="N56" i="67"/>
  <c r="E56" i="67"/>
  <c r="E57" i="67" s="1"/>
  <c r="E58" i="67" s="1"/>
  <c r="U58" i="67" s="1"/>
  <c r="Q55" i="67"/>
  <c r="F56" i="67" s="1"/>
  <c r="F57" i="67" s="1"/>
  <c r="P55" i="67"/>
  <c r="O55" i="67"/>
  <c r="C56" i="67" s="1"/>
  <c r="C57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D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F50" i="67"/>
  <c r="V50" i="67" s="1"/>
  <c r="Q49" i="67"/>
  <c r="P49" i="67"/>
  <c r="O49" i="67"/>
  <c r="N49" i="67"/>
  <c r="Q48" i="67"/>
  <c r="P48" i="67"/>
  <c r="O48" i="67"/>
  <c r="N48" i="67"/>
  <c r="E48" i="67"/>
  <c r="E49" i="67" s="1"/>
  <c r="E50" i="67" s="1"/>
  <c r="U50" i="67" s="1"/>
  <c r="Q47" i="67"/>
  <c r="F48" i="67" s="1"/>
  <c r="F49" i="67" s="1"/>
  <c r="P47" i="67"/>
  <c r="O47" i="67"/>
  <c r="C48" i="67" s="1"/>
  <c r="C49" i="67" s="1"/>
  <c r="N47" i="67"/>
  <c r="B48" i="67" s="1"/>
  <c r="B49" i="67" s="1"/>
  <c r="B50" i="67" s="1"/>
  <c r="S50" i="67" s="1"/>
  <c r="D47" i="67"/>
  <c r="V46" i="67"/>
  <c r="T46" i="67"/>
  <c r="Q46" i="67"/>
  <c r="P46" i="67"/>
  <c r="O46" i="67"/>
  <c r="N46" i="67"/>
  <c r="F46" i="67"/>
  <c r="D46" i="67"/>
  <c r="Q45" i="67"/>
  <c r="P45" i="67"/>
  <c r="O45" i="67"/>
  <c r="N45" i="67"/>
  <c r="F45" i="67"/>
  <c r="Q44" i="67"/>
  <c r="P44" i="67"/>
  <c r="O44" i="67"/>
  <c r="N44" i="67"/>
  <c r="B45" i="67" s="1"/>
  <c r="B46" i="67" s="1"/>
  <c r="S46" i="67" s="1"/>
  <c r="F44" i="67"/>
  <c r="C44" i="67"/>
  <c r="D44" i="67" s="1"/>
  <c r="Q43" i="67"/>
  <c r="P43" i="67"/>
  <c r="E44" i="67" s="1"/>
  <c r="E45" i="67" s="1"/>
  <c r="E46" i="67" s="1"/>
  <c r="U46" i="67" s="1"/>
  <c r="O43" i="67"/>
  <c r="N43" i="67"/>
  <c r="B44" i="67" s="1"/>
  <c r="D43" i="67"/>
  <c r="V42" i="67"/>
  <c r="Q42" i="67"/>
  <c r="P42" i="67"/>
  <c r="O42" i="67"/>
  <c r="N42" i="67"/>
  <c r="F42" i="67"/>
  <c r="Q41" i="67"/>
  <c r="P41" i="67"/>
  <c r="O41" i="67"/>
  <c r="N41" i="67"/>
  <c r="F41" i="67"/>
  <c r="Q40" i="67"/>
  <c r="P40" i="67"/>
  <c r="O40" i="67"/>
  <c r="N40" i="67"/>
  <c r="B41" i="67" s="1"/>
  <c r="B42" i="67" s="1"/>
  <c r="S42" i="67" s="1"/>
  <c r="F40" i="67"/>
  <c r="C40" i="67"/>
  <c r="D40" i="67" s="1"/>
  <c r="Q39" i="67"/>
  <c r="P39" i="67"/>
  <c r="E40" i="67" s="1"/>
  <c r="E41" i="67" s="1"/>
  <c r="E42" i="67" s="1"/>
  <c r="U42" i="67" s="1"/>
  <c r="O39" i="67"/>
  <c r="N39" i="67"/>
  <c r="B40" i="67" s="1"/>
  <c r="D39" i="67"/>
  <c r="V38" i="67"/>
  <c r="Q38" i="67"/>
  <c r="P38" i="67"/>
  <c r="O38" i="67"/>
  <c r="N38" i="67"/>
  <c r="F38" i="67"/>
  <c r="Q37" i="67"/>
  <c r="P37" i="67"/>
  <c r="O37" i="67"/>
  <c r="N37" i="67"/>
  <c r="F37" i="67"/>
  <c r="Q36" i="67"/>
  <c r="P36" i="67"/>
  <c r="O36" i="67"/>
  <c r="N36" i="67"/>
  <c r="B37" i="67" s="1"/>
  <c r="B38" i="67" s="1"/>
  <c r="S38" i="67" s="1"/>
  <c r="F36" i="67"/>
  <c r="C36" i="67"/>
  <c r="D36" i="67" s="1"/>
  <c r="Q35" i="67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E34" i="67"/>
  <c r="U34" i="67" s="1"/>
  <c r="Q33" i="67"/>
  <c r="P33" i="67"/>
  <c r="O33" i="67"/>
  <c r="N33" i="67"/>
  <c r="Q32" i="67"/>
  <c r="P32" i="67"/>
  <c r="O32" i="67"/>
  <c r="N32" i="67"/>
  <c r="F32" i="67"/>
  <c r="F33" i="67" s="1"/>
  <c r="F34" i="67" s="1"/>
  <c r="V34" i="67" s="1"/>
  <c r="Q31" i="67"/>
  <c r="P31" i="67"/>
  <c r="E32" i="67" s="1"/>
  <c r="E33" i="67" s="1"/>
  <c r="O31" i="67"/>
  <c r="C32" i="67" s="1"/>
  <c r="N31" i="67"/>
  <c r="B32" i="67" s="1"/>
  <c r="B33" i="67" s="1"/>
  <c r="B34" i="67" s="1"/>
  <c r="S34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F28" i="67"/>
  <c r="F29" i="67" s="1"/>
  <c r="F30" i="67" s="1"/>
  <c r="V30" i="67" s="1"/>
  <c r="Q27" i="67"/>
  <c r="P27" i="67"/>
  <c r="E28" i="67" s="1"/>
  <c r="E29" i="67" s="1"/>
  <c r="E30" i="67" s="1"/>
  <c r="U30" i="67" s="1"/>
  <c r="O27" i="67"/>
  <c r="C28" i="67" s="1"/>
  <c r="N27" i="67"/>
  <c r="B28" i="67" s="1"/>
  <c r="B29" i="67" s="1"/>
  <c r="B30" i="67" s="1"/>
  <c r="S30" i="67" s="1"/>
  <c r="D27" i="67"/>
  <c r="U26" i="67"/>
  <c r="T26" i="67"/>
  <c r="Q26" i="67"/>
  <c r="P26" i="67"/>
  <c r="O26" i="67"/>
  <c r="C26" i="67" s="1"/>
  <c r="N26" i="67"/>
  <c r="F26" i="67"/>
  <c r="V26" i="67" s="1"/>
  <c r="E26" i="67"/>
  <c r="D26" i="67"/>
  <c r="B26" i="67"/>
  <c r="S26" i="67" s="1"/>
  <c r="Q25" i="67"/>
  <c r="P25" i="67"/>
  <c r="O25" i="67"/>
  <c r="N25" i="67"/>
  <c r="F25" i="67"/>
  <c r="E25" i="67"/>
  <c r="E24" i="67" s="1"/>
  <c r="C25" i="67"/>
  <c r="D25" i="67" s="1"/>
  <c r="B25" i="67"/>
  <c r="Q24" i="67"/>
  <c r="P24" i="67"/>
  <c r="O24" i="67"/>
  <c r="N24" i="67"/>
  <c r="F24" i="67"/>
  <c r="C24" i="67"/>
  <c r="D24" i="67" s="1"/>
  <c r="B24" i="67"/>
  <c r="Q23" i="67"/>
  <c r="P23" i="67"/>
  <c r="O23" i="67"/>
  <c r="N23" i="67"/>
  <c r="D23" i="67"/>
  <c r="U22" i="67"/>
  <c r="T22" i="67"/>
  <c r="Q22" i="67"/>
  <c r="P22" i="67"/>
  <c r="O22" i="67"/>
  <c r="C22" i="67" s="1"/>
  <c r="N22" i="67"/>
  <c r="F22" i="67"/>
  <c r="V22" i="67" s="1"/>
  <c r="E22" i="67"/>
  <c r="D22" i="67"/>
  <c r="B22" i="67"/>
  <c r="S22" i="67" s="1"/>
  <c r="Q21" i="67"/>
  <c r="P21" i="67"/>
  <c r="O21" i="67"/>
  <c r="N21" i="67"/>
  <c r="F21" i="67"/>
  <c r="E21" i="67"/>
  <c r="E20" i="67" s="1"/>
  <c r="C21" i="67"/>
  <c r="D21" i="67" s="1"/>
  <c r="B21" i="67"/>
  <c r="Q20" i="67"/>
  <c r="P20" i="67"/>
  <c r="O20" i="67"/>
  <c r="N20" i="67"/>
  <c r="F20" i="67"/>
  <c r="F19" i="67" s="1"/>
  <c r="F18" i="67" s="1"/>
  <c r="C20" i="67"/>
  <c r="D20" i="67" s="1"/>
  <c r="B20" i="67"/>
  <c r="Q19" i="67"/>
  <c r="P19" i="67"/>
  <c r="O19" i="67"/>
  <c r="N19" i="67"/>
  <c r="E19" i="67"/>
  <c r="E18" i="67" s="1"/>
  <c r="C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J1" i="65"/>
  <c r="E1" i="65"/>
  <c r="D1" i="65"/>
  <c r="C1" i="65"/>
  <c r="L1" i="65" s="1"/>
  <c r="F120" i="39"/>
  <c r="G120" i="39" s="1"/>
  <c r="E120" i="39"/>
  <c r="D120" i="39"/>
  <c r="A119" i="39"/>
  <c r="B117" i="39"/>
  <c r="B115" i="39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H110" i="39"/>
  <c r="I110" i="39" s="1"/>
  <c r="J110" i="39" s="1"/>
  <c r="K110" i="39" s="1"/>
  <c r="L110" i="39" s="1"/>
  <c r="M110" i="39" s="1"/>
  <c r="G110" i="39"/>
  <c r="F110" i="39"/>
  <c r="D110" i="39"/>
  <c r="E110" i="39" s="1"/>
  <c r="H108" i="39"/>
  <c r="I108" i="39" s="1"/>
  <c r="J108" i="39" s="1"/>
  <c r="K108" i="39" s="1"/>
  <c r="L108" i="39" s="1"/>
  <c r="M108" i="39" s="1"/>
  <c r="F108" i="39"/>
  <c r="G108" i="39" s="1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F103" i="39"/>
  <c r="G103" i="39" s="1"/>
  <c r="E103" i="39"/>
  <c r="D103" i="39"/>
  <c r="A102" i="39"/>
  <c r="B100" i="39"/>
  <c r="B98" i="39"/>
  <c r="G97" i="39"/>
  <c r="H97" i="39" s="1"/>
  <c r="I97" i="39" s="1"/>
  <c r="J97" i="39" s="1"/>
  <c r="K97" i="39" s="1"/>
  <c r="L97" i="39" s="1"/>
  <c r="M97" i="39" s="1"/>
  <c r="F97" i="39"/>
  <c r="E97" i="39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G93" i="39"/>
  <c r="H93" i="39" s="1"/>
  <c r="I93" i="39" s="1"/>
  <c r="J93" i="39" s="1"/>
  <c r="K93" i="39" s="1"/>
  <c r="L93" i="39" s="1"/>
  <c r="M93" i="39" s="1"/>
  <c r="F93" i="39"/>
  <c r="E93" i="39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E71" i="39"/>
  <c r="F71" i="39" s="1"/>
  <c r="G71" i="39" s="1"/>
  <c r="H71" i="39" s="1"/>
  <c r="I71" i="39" s="1"/>
  <c r="J71" i="39" s="1"/>
  <c r="K71" i="39" s="1"/>
  <c r="L71" i="39" s="1"/>
  <c r="M71" i="39" s="1"/>
  <c r="N71" i="39" s="1"/>
  <c r="D71" i="39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J43" i="39"/>
  <c r="AC43" i="39" s="1"/>
  <c r="H43" i="39"/>
  <c r="AB43" i="39" s="1"/>
  <c r="F43" i="39"/>
  <c r="AA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AC38" i="39"/>
  <c r="W38" i="39"/>
  <c r="U38" i="39"/>
  <c r="Q38" i="39"/>
  <c r="Z38" i="39" s="1"/>
  <c r="J38" i="39"/>
  <c r="H38" i="39"/>
  <c r="AB38" i="39" s="1"/>
  <c r="F38" i="39"/>
  <c r="AA38" i="39" s="1"/>
  <c r="AA37" i="39"/>
  <c r="Q37" i="39"/>
  <c r="Z37" i="39" s="1"/>
  <c r="J37" i="39"/>
  <c r="W37" i="39" s="1"/>
  <c r="H37" i="39"/>
  <c r="U37" i="39" s="1"/>
  <c r="F37" i="39"/>
  <c r="S37" i="39" s="1"/>
  <c r="AB36" i="39"/>
  <c r="AA36" i="39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J12" i="39"/>
  <c r="AC12" i="39" s="1"/>
  <c r="F12" i="39"/>
  <c r="AA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AA8" i="39"/>
  <c r="U8" i="39"/>
  <c r="J8" i="39"/>
  <c r="W8" i="39" s="1"/>
  <c r="H8" i="39"/>
  <c r="AB8" i="39" s="1"/>
  <c r="F8" i="39"/>
  <c r="S8" i="39" s="1"/>
  <c r="B2" i="39"/>
  <c r="D30" i="64"/>
  <c r="D28" i="64"/>
  <c r="E20" i="64"/>
  <c r="C18" i="64"/>
  <c r="E17" i="64"/>
  <c r="B10" i="64"/>
  <c r="B9" i="64"/>
  <c r="D29" i="64" s="1"/>
  <c r="B7" i="64"/>
  <c r="D19" i="64" s="1"/>
  <c r="B5" i="64"/>
  <c r="C25" i="64" s="1"/>
  <c r="B2" i="64"/>
  <c r="K94" i="62"/>
  <c r="J94" i="62"/>
  <c r="I94" i="62"/>
  <c r="F94" i="62"/>
  <c r="D94" i="62"/>
  <c r="B94" i="62"/>
  <c r="K93" i="62"/>
  <c r="J93" i="62"/>
  <c r="H93" i="62"/>
  <c r="F93" i="62"/>
  <c r="D93" i="62"/>
  <c r="C93" i="62"/>
  <c r="K92" i="62"/>
  <c r="J92" i="62"/>
  <c r="F92" i="62"/>
  <c r="D92" i="62"/>
  <c r="B92" i="62"/>
  <c r="K91" i="62"/>
  <c r="J91" i="62"/>
  <c r="H91" i="62"/>
  <c r="F91" i="62"/>
  <c r="K90" i="62"/>
  <c r="J90" i="62"/>
  <c r="I90" i="62"/>
  <c r="F90" i="62"/>
  <c r="D90" i="62"/>
  <c r="B90" i="62"/>
  <c r="K89" i="62"/>
  <c r="J89" i="62"/>
  <c r="H89" i="62"/>
  <c r="F89" i="62"/>
  <c r="D89" i="62"/>
  <c r="C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I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I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I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I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H71" i="62"/>
  <c r="G71" i="62"/>
  <c r="F71" i="62"/>
  <c r="D71" i="62"/>
  <c r="B71" i="62"/>
  <c r="J70" i="62"/>
  <c r="I70" i="62"/>
  <c r="H70" i="62"/>
  <c r="G70" i="62"/>
  <c r="F70" i="62"/>
  <c r="E70" i="62"/>
  <c r="B70" i="62"/>
  <c r="K69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H67" i="62"/>
  <c r="G67" i="62"/>
  <c r="F67" i="62"/>
  <c r="D67" i="62"/>
  <c r="B67" i="62"/>
  <c r="J66" i="62"/>
  <c r="I66" i="62"/>
  <c r="H66" i="62"/>
  <c r="G66" i="62"/>
  <c r="F66" i="62"/>
  <c r="E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26" i="62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L17" i="62"/>
  <c r="G80" i="62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J8" i="62"/>
  <c r="H8" i="62"/>
  <c r="E71" i="62" s="1"/>
  <c r="F8" i="62"/>
  <c r="D8" i="62"/>
  <c r="C71" i="62" s="1"/>
  <c r="B8" i="62"/>
  <c r="T7" i="62"/>
  <c r="K70" i="62" s="1"/>
  <c r="N7" i="62"/>
  <c r="J7" i="62"/>
  <c r="H7" i="62"/>
  <c r="F7" i="62"/>
  <c r="D70" i="62" s="1"/>
  <c r="D7" i="62"/>
  <c r="C70" i="62" s="1"/>
  <c r="B7" i="62"/>
  <c r="T6" i="62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J4" i="62"/>
  <c r="H4" i="62"/>
  <c r="E67" i="62" s="1"/>
  <c r="F4" i="62"/>
  <c r="D4" i="62"/>
  <c r="C67" i="62" s="1"/>
  <c r="B4" i="62"/>
  <c r="T3" i="62"/>
  <c r="K66" i="62" s="1"/>
  <c r="N3" i="62"/>
  <c r="J3" i="62"/>
  <c r="H3" i="62"/>
  <c r="F3" i="62"/>
  <c r="D66" i="62" s="1"/>
  <c r="D3" i="62"/>
  <c r="C66" i="62" s="1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J53" i="63"/>
  <c r="I53" i="63" s="1"/>
  <c r="D53" i="63"/>
  <c r="B53" i="63"/>
  <c r="D52" i="63"/>
  <c r="B52" i="63"/>
  <c r="D51" i="63"/>
  <c r="B51" i="63"/>
  <c r="D48" i="63"/>
  <c r="B48" i="63"/>
  <c r="D47" i="63"/>
  <c r="F46" i="63"/>
  <c r="G46" i="63" s="1"/>
  <c r="D46" i="63"/>
  <c r="B46" i="63"/>
  <c r="F45" i="63"/>
  <c r="G45" i="63" s="1"/>
  <c r="D45" i="63"/>
  <c r="J44" i="63"/>
  <c r="I44" i="63" s="1"/>
  <c r="D44" i="63"/>
  <c r="B44" i="63"/>
  <c r="J43" i="63"/>
  <c r="I43" i="63" s="1"/>
  <c r="D43" i="63"/>
  <c r="B43" i="63"/>
  <c r="J42" i="63"/>
  <c r="I42" i="63" s="1"/>
  <c r="D42" i="63"/>
  <c r="B42" i="63"/>
  <c r="D21" i="63"/>
  <c r="D19" i="63"/>
  <c r="G12" i="63"/>
  <c r="G10" i="63"/>
  <c r="F9" i="63"/>
  <c r="D8" i="63"/>
  <c r="G3" i="63"/>
  <c r="E12" i="63" s="1"/>
  <c r="G2" i="63"/>
  <c r="L1" i="60" s="1"/>
  <c r="E2" i="63"/>
  <c r="J1" i="63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F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/>
  <c r="D84" i="43"/>
  <c r="B84" i="43"/>
  <c r="N83" i="43"/>
  <c r="M83" i="43"/>
  <c r="K83" i="43"/>
  <c r="J83" i="43"/>
  <c r="D83" i="43"/>
  <c r="B83" i="43"/>
  <c r="M82" i="43"/>
  <c r="N82" i="43" s="1"/>
  <c r="K82" i="43"/>
  <c r="J82" i="43" s="1"/>
  <c r="D82" i="43"/>
  <c r="E81" i="43" s="1"/>
  <c r="B79" i="43" s="1"/>
  <c r="B82" i="43"/>
  <c r="M81" i="43"/>
  <c r="N81" i="43" s="1"/>
  <c r="K81" i="43"/>
  <c r="J81" i="43" s="1"/>
  <c r="D81" i="43"/>
  <c r="B81" i="43"/>
  <c r="N78" i="43"/>
  <c r="M78" i="43"/>
  <c r="K78" i="43"/>
  <c r="J78" i="43"/>
  <c r="D78" i="43"/>
  <c r="M77" i="43"/>
  <c r="N77" i="43" s="1"/>
  <c r="K77" i="43"/>
  <c r="J77" i="43" s="1"/>
  <c r="D77" i="43"/>
  <c r="B77" i="43"/>
  <c r="N76" i="43"/>
  <c r="M76" i="43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E70" i="43" s="1"/>
  <c r="B68" i="43" s="1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N64" i="43"/>
  <c r="M64" i="43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N61" i="43"/>
  <c r="M61" i="43"/>
  <c r="K61" i="43"/>
  <c r="J61" i="43"/>
  <c r="D61" i="43"/>
  <c r="B61" i="43"/>
  <c r="M60" i="43"/>
  <c r="N60" i="43" s="1"/>
  <c r="K60" i="43"/>
  <c r="J60" i="43" s="1"/>
  <c r="D60" i="43"/>
  <c r="E59" i="43" s="1"/>
  <c r="B57" i="43" s="1"/>
  <c r="B60" i="43"/>
  <c r="M59" i="43"/>
  <c r="N59" i="43" s="1"/>
  <c r="K59" i="43"/>
  <c r="J59" i="43" s="1"/>
  <c r="D59" i="43"/>
  <c r="B59" i="43"/>
  <c r="N56" i="43"/>
  <c r="M56" i="43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N53" i="43"/>
  <c r="M53" i="43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N50" i="43"/>
  <c r="M50" i="43"/>
  <c r="K50" i="43"/>
  <c r="J50" i="43"/>
  <c r="D50" i="43"/>
  <c r="B50" i="43"/>
  <c r="M49" i="43"/>
  <c r="N49" i="43" s="1"/>
  <c r="K49" i="43"/>
  <c r="J49" i="43" s="1"/>
  <c r="D49" i="43"/>
  <c r="E48" i="43" s="1"/>
  <c r="B46" i="43" s="1"/>
  <c r="B49" i="43"/>
  <c r="M48" i="43"/>
  <c r="N48" i="43" s="1"/>
  <c r="K48" i="43"/>
  <c r="J48" i="43" s="1"/>
  <c r="D48" i="43"/>
  <c r="B48" i="43"/>
  <c r="H39" i="43"/>
  <c r="F39" i="43"/>
  <c r="H38" i="43"/>
  <c r="H37" i="43"/>
  <c r="F37" i="43"/>
  <c r="H36" i="43"/>
  <c r="H35" i="43"/>
  <c r="F35" i="43"/>
  <c r="H34" i="43"/>
  <c r="H33" i="43"/>
  <c r="J20" i="43"/>
  <c r="C18" i="43"/>
  <c r="N17" i="43"/>
  <c r="J17" i="43"/>
  <c r="I17" i="43"/>
  <c r="E17" i="43"/>
  <c r="A16" i="43"/>
  <c r="F15" i="43"/>
  <c r="E15" i="43"/>
  <c r="D15" i="43"/>
  <c r="C15" i="43"/>
  <c r="C12" i="43" s="1"/>
  <c r="A12" i="43"/>
  <c r="C10" i="43"/>
  <c r="C11" i="43" s="1"/>
  <c r="C9" i="43"/>
  <c r="N7" i="43"/>
  <c r="N6" i="43"/>
  <c r="M5" i="43"/>
  <c r="E5" i="43"/>
  <c r="N4" i="43"/>
  <c r="B4" i="43"/>
  <c r="M3" i="43"/>
  <c r="B3" i="43"/>
  <c r="M2" i="43"/>
  <c r="I2" i="43"/>
  <c r="H16" i="44" s="1"/>
  <c r="G2" i="43"/>
  <c r="L17" i="43" s="1"/>
  <c r="E2" i="43"/>
  <c r="F114" i="43" s="1"/>
  <c r="N1" i="43"/>
  <c r="D1" i="43"/>
  <c r="R33" i="59"/>
  <c r="Q33" i="59"/>
  <c r="P33" i="59"/>
  <c r="O33" i="59"/>
  <c r="G32" i="59"/>
  <c r="F32" i="59"/>
  <c r="G31" i="59"/>
  <c r="F31" i="59"/>
  <c r="G30" i="59"/>
  <c r="G29" i="59"/>
  <c r="I22" i="59"/>
  <c r="H21" i="59"/>
  <c r="F18" i="59"/>
  <c r="F16" i="59"/>
  <c r="F8" i="9" s="1"/>
  <c r="F13" i="59"/>
  <c r="F19" i="59" s="1"/>
  <c r="F10" i="9" s="1"/>
  <c r="H9" i="59"/>
  <c r="B8" i="59"/>
  <c r="G3" i="43" s="1"/>
  <c r="N102" i="43" s="1"/>
  <c r="H6" i="59"/>
  <c r="O4" i="59"/>
  <c r="B4" i="59"/>
  <c r="H19" i="43" s="1"/>
  <c r="O3" i="59"/>
  <c r="O2" i="59"/>
  <c r="G13" i="9"/>
  <c r="C13" i="9"/>
  <c r="G11" i="9"/>
  <c r="C11" i="9"/>
  <c r="G10" i="9"/>
  <c r="G9" i="9"/>
  <c r="F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14" i="68"/>
  <c r="B1" i="68" s="1"/>
  <c r="B8" i="68"/>
  <c r="D8" i="68" s="1"/>
  <c r="B7" i="68"/>
  <c r="D7" i="68" s="1"/>
  <c r="B6" i="68"/>
  <c r="B5" i="68"/>
  <c r="B3" i="68"/>
  <c r="B2" i="68"/>
  <c r="D6" i="68" s="1"/>
  <c r="G7" i="65"/>
  <c r="D4" i="65"/>
  <c r="F29" i="59" l="1"/>
  <c r="F28" i="59"/>
  <c r="C6" i="68"/>
  <c r="E42" i="63"/>
  <c r="B40" i="63" s="1"/>
  <c r="J52" i="63"/>
  <c r="I52" i="63" s="1"/>
  <c r="F55" i="63"/>
  <c r="G55" i="63" s="1"/>
  <c r="F65" i="63"/>
  <c r="G65" i="63" s="1"/>
  <c r="D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K2" i="65"/>
  <c r="C5" i="68"/>
  <c r="C8" i="68"/>
  <c r="F33" i="59"/>
  <c r="B17" i="9" s="1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D5" i="68"/>
  <c r="F12" i="59"/>
  <c r="B17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C28" i="64"/>
  <c r="H9" i="63"/>
  <c r="C7" i="39"/>
  <c r="C30" i="64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10" i="43"/>
  <c r="G110" i="43"/>
  <c r="C101" i="43"/>
  <c r="G101" i="43"/>
  <c r="K101" i="43"/>
  <c r="C102" i="43"/>
  <c r="G102" i="43"/>
  <c r="K102" i="43"/>
  <c r="D109" i="43"/>
  <c r="D110" i="43" s="1"/>
  <c r="H10" i="44"/>
  <c r="D18" i="63"/>
  <c r="D20" i="63"/>
  <c r="AB9" i="39"/>
  <c r="U9" i="39"/>
  <c r="AB12" i="39"/>
  <c r="U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H12" i="63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I13" i="66"/>
  <c r="G13" i="66"/>
  <c r="G14" i="66"/>
  <c r="V60" i="66"/>
  <c r="E60" i="66" s="1"/>
  <c r="V61" i="66"/>
  <c r="E61" i="66" s="1"/>
  <c r="O61" i="66" s="1"/>
  <c r="Y61" i="66"/>
  <c r="T62" i="66"/>
  <c r="B62" i="66" s="1"/>
  <c r="L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O17" i="66"/>
  <c r="O2" i="66" s="1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O26" i="66"/>
  <c r="D30" i="66"/>
  <c r="L63" i="66"/>
  <c r="T64" i="66"/>
  <c r="B64" i="66" s="1"/>
  <c r="L64" i="66" s="1"/>
  <c r="O64" i="66"/>
  <c r="O63" i="66"/>
  <c r="G7" i="66"/>
  <c r="G6" i="66"/>
  <c r="G8" i="66"/>
  <c r="G5" i="66"/>
  <c r="K13" i="66"/>
  <c r="K14" i="66"/>
  <c r="I15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O48" i="66"/>
  <c r="D61" i="66"/>
  <c r="AB61" i="66"/>
  <c r="U64" i="66"/>
  <c r="C64" i="66" s="1"/>
  <c r="M20" i="66" s="1"/>
  <c r="W65" i="66"/>
  <c r="F65" i="66" s="1"/>
  <c r="P65" i="66" s="1"/>
  <c r="U66" i="66"/>
  <c r="C66" i="66" s="1"/>
  <c r="D8" i="66"/>
  <c r="D10" i="66"/>
  <c r="I10" i="66" s="1"/>
  <c r="D12" i="66"/>
  <c r="I12" i="66" s="1"/>
  <c r="D14" i="66"/>
  <c r="D16" i="66"/>
  <c r="I16" i="66" s="1"/>
  <c r="D19" i="66"/>
  <c r="D21" i="66"/>
  <c r="D24" i="66"/>
  <c r="D25" i="66"/>
  <c r="M33" i="66"/>
  <c r="D33" i="66"/>
  <c r="D37" i="66"/>
  <c r="D41" i="66"/>
  <c r="D45" i="66"/>
  <c r="M49" i="66"/>
  <c r="D49" i="66"/>
  <c r="D53" i="66"/>
  <c r="D57" i="66"/>
  <c r="D27" i="66"/>
  <c r="O34" i="66"/>
  <c r="O50" i="66"/>
  <c r="O62" i="66"/>
  <c r="D63" i="66"/>
  <c r="P62" i="66"/>
  <c r="M65" i="66"/>
  <c r="D65" i="66"/>
  <c r="G2" i="65"/>
  <c r="D6" i="65"/>
  <c r="G8" i="65"/>
  <c r="D5" i="65"/>
  <c r="D8" i="65"/>
  <c r="G4" i="65"/>
  <c r="G6" i="65"/>
  <c r="D7" i="65"/>
  <c r="G5" i="65"/>
  <c r="K1" i="65" l="1"/>
  <c r="C7" i="63"/>
  <c r="K3" i="65"/>
  <c r="I1" i="65"/>
  <c r="K4" i="65"/>
  <c r="G9" i="59"/>
  <c r="C12" i="9" s="1"/>
  <c r="C29" i="63"/>
  <c r="N34" i="66"/>
  <c r="N18" i="66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M23" i="66"/>
  <c r="N59" i="66"/>
  <c r="M50" i="66"/>
  <c r="M34" i="66"/>
  <c r="O54" i="66"/>
  <c r="N57" i="66"/>
  <c r="N41" i="66"/>
  <c r="I8" i="66"/>
  <c r="I5" i="66"/>
  <c r="I4" i="66"/>
  <c r="I7" i="66"/>
  <c r="I6" i="66"/>
  <c r="O36" i="66"/>
  <c r="M59" i="66"/>
  <c r="M48" i="66"/>
  <c r="M43" i="66"/>
  <c r="M19" i="66"/>
  <c r="N30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E28" i="64"/>
  <c r="C27" i="64"/>
  <c r="E27" i="64" s="1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N36" i="66"/>
  <c r="N25" i="66"/>
  <c r="M52" i="66"/>
  <c r="N50" i="66"/>
  <c r="M47" i="66"/>
  <c r="M36" i="66"/>
  <c r="M21" i="66"/>
  <c r="P64" i="66"/>
  <c r="O38" i="66"/>
  <c r="N27" i="66"/>
  <c r="N26" i="66"/>
  <c r="M53" i="66"/>
  <c r="M37" i="66"/>
  <c r="M25" i="66"/>
  <c r="W60" i="66"/>
  <c r="F60" i="66" s="1"/>
  <c r="W61" i="66"/>
  <c r="F61" i="66" s="1"/>
  <c r="P61" i="66" s="1"/>
  <c r="O52" i="66"/>
  <c r="O28" i="66"/>
  <c r="N62" i="66"/>
  <c r="M46" i="66"/>
  <c r="N39" i="66"/>
  <c r="M32" i="66"/>
  <c r="O20" i="66"/>
  <c r="N17" i="66"/>
  <c r="N2" i="66" s="1"/>
  <c r="M26" i="66"/>
  <c r="I11" i="66"/>
  <c r="N65" i="66"/>
  <c r="M63" i="66"/>
  <c r="O58" i="66"/>
  <c r="O42" i="66"/>
  <c r="M27" i="66"/>
  <c r="M57" i="66"/>
  <c r="N44" i="66"/>
  <c r="M41" i="66"/>
  <c r="O30" i="66"/>
  <c r="I14" i="66"/>
  <c r="M66" i="66"/>
  <c r="D66" i="66"/>
  <c r="N66" i="66" s="1"/>
  <c r="O56" i="66"/>
  <c r="O40" i="66"/>
  <c r="M58" i="66"/>
  <c r="M55" i="66"/>
  <c r="N51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N52" i="66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E30" i="64"/>
  <c r="C29" i="64"/>
  <c r="E29" i="64" s="1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B18" i="59"/>
  <c r="J110" i="43"/>
  <c r="D13" i="63"/>
  <c r="O46" i="66"/>
  <c r="O24" i="66"/>
  <c r="N49" i="66"/>
  <c r="M45" i="66"/>
  <c r="N33" i="66"/>
  <c r="N32" i="66"/>
  <c r="N21" i="66"/>
  <c r="M61" i="66"/>
  <c r="O44" i="66"/>
  <c r="N23" i="66"/>
  <c r="M56" i="66"/>
  <c r="M54" i="66"/>
  <c r="N54" i="66"/>
  <c r="M51" i="66"/>
  <c r="N47" i="66"/>
  <c r="M40" i="66"/>
  <c r="M38" i="66"/>
  <c r="N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1" i="65"/>
  <c r="G21" i="59" l="1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E6" i="65"/>
  <c r="G3" i="65" s="1"/>
  <c r="E7" i="65"/>
  <c r="H8" i="65"/>
  <c r="H7" i="65"/>
  <c r="E8" i="65"/>
  <c r="H5" i="65"/>
  <c r="E4" i="65"/>
  <c r="E5" i="65"/>
  <c r="E20" i="43" s="1"/>
  <c r="H4" i="65"/>
  <c r="H6" i="65"/>
  <c r="F21" i="59" l="1"/>
  <c r="F11" i="59" s="1"/>
  <c r="R20" i="43"/>
  <c r="G20" i="43" s="1"/>
  <c r="Q20" i="43"/>
  <c r="P20" i="43"/>
  <c r="S20" i="43"/>
  <c r="I3" i="65"/>
  <c r="C23" i="64" s="1"/>
  <c r="C22" i="64" s="1"/>
  <c r="B3" i="64" s="1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F12" i="9" l="1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E41" i="43"/>
  <c r="C41" i="43" s="1"/>
  <c r="C20" i="43"/>
  <c r="F58" i="39" l="1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F6" i="59" s="1"/>
  <c r="F5" i="59" s="1"/>
  <c r="C29" i="43"/>
  <c r="C37" i="43"/>
  <c r="C36" i="43"/>
  <c r="C35" i="43"/>
  <c r="C34" i="43"/>
  <c r="C33" i="43"/>
  <c r="C30" i="43" l="1"/>
  <c r="E30" i="43" s="1"/>
  <c r="E29" i="43"/>
  <c r="G35" i="43"/>
  <c r="I35" i="43" s="1"/>
  <c r="E35" i="43"/>
  <c r="F8" i="59"/>
  <c r="B11" i="9" s="1"/>
  <c r="B5" i="9"/>
  <c r="E36" i="43"/>
  <c r="G36" i="43"/>
  <c r="I36" i="43" s="1"/>
  <c r="G39" i="43"/>
  <c r="I39" i="43" s="1"/>
  <c r="E39" i="43"/>
  <c r="G33" i="43"/>
  <c r="I33" i="43" s="1"/>
  <c r="E33" i="43"/>
  <c r="G37" i="43"/>
  <c r="I37" i="43" s="1"/>
  <c r="E37" i="43"/>
  <c r="D13" i="67"/>
  <c r="C12" i="67"/>
  <c r="E38" i="43"/>
  <c r="G38" i="43"/>
  <c r="I38" i="43" s="1"/>
  <c r="G58" i="39"/>
  <c r="H56" i="39"/>
  <c r="E34" i="43"/>
  <c r="G34" i="43"/>
  <c r="I34" i="43" s="1"/>
  <c r="F10" i="59" l="1"/>
  <c r="B13" i="9" s="1"/>
  <c r="F9" i="59"/>
  <c r="B12" i="9" s="1"/>
  <c r="B14" i="9" s="1"/>
  <c r="D12" i="67"/>
  <c r="C11" i="67"/>
  <c r="C26" i="43"/>
  <c r="B2" i="43" s="1"/>
  <c r="H58" i="39"/>
  <c r="I56" i="39"/>
  <c r="C27" i="43"/>
  <c r="F4" i="59" l="1"/>
  <c r="F24" i="59" s="1"/>
  <c r="F35" i="59" s="1"/>
  <c r="B18" i="9" s="1"/>
  <c r="C11" i="68" s="1"/>
  <c r="I58" i="39"/>
  <c r="J56" i="39"/>
  <c r="C10" i="67"/>
  <c r="D11" i="67"/>
  <c r="F25" i="59" l="1"/>
  <c r="F36" i="59" s="1"/>
  <c r="B19" i="9" s="1"/>
  <c r="B15" i="9"/>
  <c r="D10" i="67"/>
  <c r="C9" i="67"/>
  <c r="T10" i="67"/>
  <c r="J58" i="39"/>
  <c r="K56" i="39"/>
  <c r="B16" i="9" l="1"/>
  <c r="H16" i="9" s="1"/>
  <c r="D9" i="67"/>
  <c r="C8" i="67"/>
  <c r="K58" i="39"/>
  <c r="L56" i="39"/>
  <c r="B11" i="68"/>
  <c r="H19" i="9"/>
  <c r="L58" i="39" l="1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<sst xmlns="http://schemas.openxmlformats.org/spreadsheetml/2006/main" count="3959" uniqueCount="1305">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</sst>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8" formatCode="0.0_ "/>
    <numFmt numFmtId="179" formatCode="0.0_);[Red]\(0.0\)"/>
    <numFmt numFmtId="180" formatCode="0_);[Red]\(0\)"/>
    <numFmt numFmtId="181" formatCode="0_ "/>
    <numFmt numFmtId="182" formatCode="0.0%"/>
    <numFmt numFmtId="183" formatCode="0.000_ "/>
    <numFmt numFmtId="184" formatCode="yyyy/m/d;@"/>
    <numFmt numFmtId="185" formatCode="0.00_ "/>
    <numFmt numFmtId="186" formatCode="yyyy&quot;年&quot;m&quot;月&quot;d&quot;日&quot;;@"/>
    <numFmt numFmtId="187" formatCode="0.00_);[Red]\(0.00\)"/>
    <numFmt numFmtId="188" formatCode="0.000_);[Red]\(0.000\)"/>
    <numFmt numFmtId="189" formatCode="0.0000_ "/>
    <numFmt numFmtId="190" formatCode="0.000%"/>
    <numFmt numFmtId="191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80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80" fontId="9" fillId="3" borderId="8" xfId="3" applyNumberFormat="1" applyFont="1" applyFill="1" applyBorder="1" applyAlignment="1">
      <alignment horizontal="left" vertical="center" wrapText="1"/>
    </xf>
    <xf numFmtId="180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80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80" fontId="9" fillId="3" borderId="8" xfId="2" applyNumberFormat="1" applyFont="1" applyFill="1" applyBorder="1" applyAlignment="1">
      <alignment horizontal="left" vertical="center" wrapText="1"/>
    </xf>
    <xf numFmtId="180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80" fontId="9" fillId="3" borderId="11" xfId="2" applyNumberFormat="1" applyFont="1" applyFill="1" applyBorder="1" applyAlignment="1">
      <alignment horizontal="left" vertical="center" wrapText="1"/>
    </xf>
    <xf numFmtId="180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80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80" fontId="9" fillId="3" borderId="14" xfId="2" applyNumberFormat="1" applyFont="1" applyFill="1" applyBorder="1" applyAlignment="1">
      <alignment horizontal="left" vertical="center" wrapText="1"/>
    </xf>
    <xf numFmtId="180" fontId="9" fillId="3" borderId="26" xfId="2" applyNumberFormat="1" applyFont="1" applyFill="1" applyBorder="1" applyAlignment="1">
      <alignment horizontal="left" vertical="center" wrapText="1"/>
    </xf>
    <xf numFmtId="180" fontId="2" fillId="8" borderId="0" xfId="2" applyNumberFormat="1" applyFont="1" applyFill="1" applyAlignment="1">
      <alignment horizontal="left" vertical="center"/>
    </xf>
    <xf numFmtId="180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2" fontId="2" fillId="0" borderId="17" xfId="2" applyNumberFormat="1" applyFont="1" applyBorder="1" applyAlignment="1">
      <alignment horizontal="left" vertical="center"/>
    </xf>
    <xf numFmtId="182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181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8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81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3" fontId="2" fillId="0" borderId="0" xfId="2" applyNumberFormat="1" applyFont="1" applyAlignment="1">
      <alignment horizontal="left" vertical="center"/>
    </xf>
    <xf numFmtId="183" fontId="2" fillId="0" borderId="17" xfId="2" applyNumberFormat="1" applyFont="1" applyBorder="1" applyAlignment="1">
      <alignment horizontal="left" vertical="center"/>
    </xf>
    <xf numFmtId="183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3" fontId="11" fillId="0" borderId="0" xfId="2" applyNumberFormat="1" applyFont="1" applyAlignment="1">
      <alignment horizontal="left" vertical="center"/>
    </xf>
    <xf numFmtId="183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8" fontId="2" fillId="0" borderId="16" xfId="2" applyNumberFormat="1" applyFont="1" applyBorder="1" applyAlignment="1">
      <alignment horizontal="left" vertical="center"/>
    </xf>
    <xf numFmtId="178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4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81" fontId="24" fillId="2" borderId="0" xfId="12" applyNumberFormat="1" applyFont="1" applyFill="1" applyAlignment="1">
      <alignment horizontal="center"/>
    </xf>
    <xf numFmtId="181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5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9" fontId="5" fillId="0" borderId="0" xfId="0" applyNumberFormat="1" applyFont="1" applyAlignment="1" applyProtection="1">
      <alignment horizontal="center" vertical="center"/>
      <protection locked="0"/>
    </xf>
    <xf numFmtId="182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81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80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6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6" fontId="14" fillId="0" borderId="70" xfId="0" applyNumberFormat="1" applyFont="1" applyBorder="1" applyAlignment="1" applyProtection="1">
      <alignment horizontal="center" vertical="center" wrapText="1"/>
      <protection locked="0"/>
    </xf>
    <xf numFmtId="181" fontId="31" fillId="2" borderId="71" xfId="0" applyNumberFormat="1" applyFont="1" applyFill="1" applyBorder="1" applyAlignment="1">
      <alignment horizontal="center" vertical="center" wrapText="1"/>
    </xf>
    <xf numFmtId="186" fontId="14" fillId="0" borderId="68" xfId="0" applyNumberFormat="1" applyFont="1" applyBorder="1" applyAlignment="1" applyProtection="1">
      <alignment horizontal="center" vertical="center" wrapText="1"/>
      <protection locked="0"/>
    </xf>
    <xf numFmtId="180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80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80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80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2" fontId="5" fillId="2" borderId="3" xfId="0" applyNumberFormat="1" applyFont="1" applyFill="1" applyBorder="1" applyAlignment="1">
      <alignment horizontal="center" vertical="center"/>
    </xf>
    <xf numFmtId="182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9" fontId="36" fillId="2" borderId="30" xfId="0" applyNumberFormat="1" applyFont="1" applyFill="1" applyBorder="1" applyAlignment="1">
      <alignment horizontal="center" vertical="center"/>
    </xf>
    <xf numFmtId="182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9" fontId="36" fillId="2" borderId="0" xfId="0" applyNumberFormat="1" applyFont="1" applyFill="1" applyAlignment="1" applyProtection="1">
      <alignment horizontal="center" vertical="center"/>
      <protection locked="0"/>
    </xf>
    <xf numFmtId="182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9" fontId="31" fillId="2" borderId="46" xfId="0" applyNumberFormat="1" applyFont="1" applyFill="1" applyBorder="1" applyAlignment="1">
      <alignment horizontal="center" vertical="center" wrapText="1"/>
    </xf>
    <xf numFmtId="182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2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2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2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2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9" fontId="5" fillId="2" borderId="46" xfId="0" applyNumberFormat="1" applyFont="1" applyFill="1" applyBorder="1" applyAlignment="1">
      <alignment horizontal="center" vertical="center"/>
    </xf>
    <xf numFmtId="182" fontId="5" fillId="2" borderId="0" xfId="0" applyNumberFormat="1" applyFont="1" applyFill="1" applyAlignment="1" applyProtection="1">
      <alignment vertical="center" wrapText="1"/>
      <protection locked="0"/>
    </xf>
    <xf numFmtId="179" fontId="5" fillId="2" borderId="46" xfId="0" applyNumberFormat="1" applyFont="1" applyFill="1" applyBorder="1" applyAlignment="1">
      <alignment horizontal="center" vertical="center" wrapText="1"/>
    </xf>
    <xf numFmtId="179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2" fontId="5" fillId="2" borderId="0" xfId="0" applyNumberFormat="1" applyFont="1" applyFill="1" applyAlignment="1" applyProtection="1">
      <alignment horizontal="center" vertical="center"/>
      <protection locked="0"/>
    </xf>
    <xf numFmtId="179" fontId="34" fillId="2" borderId="0" xfId="0" applyNumberFormat="1" applyFont="1" applyFill="1" applyAlignment="1" applyProtection="1">
      <alignment horizontal="center" vertical="center"/>
      <protection locked="0"/>
    </xf>
    <xf numFmtId="182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9" fontId="5" fillId="2" borderId="16" xfId="0" applyNumberFormat="1" applyFont="1" applyFill="1" applyBorder="1" applyAlignment="1" applyProtection="1">
      <alignment horizontal="center"/>
      <protection locked="0"/>
    </xf>
    <xf numFmtId="182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8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8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8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9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2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9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9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2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5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5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5" fontId="49" fillId="2" borderId="98" xfId="0" applyNumberFormat="1" applyFont="1" applyFill="1" applyBorder="1" applyAlignment="1">
      <alignment horizontal="center" vertical="center" wrapText="1"/>
    </xf>
    <xf numFmtId="185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9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9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9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90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5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8" fontId="0" fillId="2" borderId="101" xfId="0" applyNumberFormat="1" applyFill="1" applyBorder="1" applyAlignment="1">
      <alignment horizontal="center" vertical="center"/>
    </xf>
    <xf numFmtId="178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8" fontId="0" fillId="2" borderId="2" xfId="0" applyNumberFormat="1" applyFill="1" applyBorder="1" applyAlignment="1">
      <alignment horizontal="center" vertical="center"/>
    </xf>
    <xf numFmtId="178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8" fontId="0" fillId="2" borderId="79" xfId="0" applyNumberFormat="1" applyFill="1" applyBorder="1" applyAlignment="1">
      <alignment horizontal="center" vertical="center"/>
    </xf>
    <xf numFmtId="185" fontId="0" fillId="0" borderId="0" xfId="0" applyNumberFormat="1">
      <alignment vertical="center"/>
    </xf>
    <xf numFmtId="185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5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5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8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8" fontId="0" fillId="2" borderId="56" xfId="0" applyNumberFormat="1" applyFill="1" applyBorder="1" applyAlignment="1">
      <alignment horizontal="center" vertical="center"/>
    </xf>
    <xf numFmtId="178" fontId="0" fillId="2" borderId="61" xfId="0" applyNumberFormat="1" applyFill="1" applyBorder="1" applyAlignment="1">
      <alignment horizontal="center" vertical="center"/>
    </xf>
    <xf numFmtId="178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9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9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2" fontId="3" fillId="2" borderId="146" xfId="0" applyNumberFormat="1" applyFont="1" applyFill="1" applyBorder="1" applyAlignment="1">
      <alignment horizontal="center" vertical="center" wrapText="1"/>
    </xf>
    <xf numFmtId="182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5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5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9" fontId="1" fillId="2" borderId="102" xfId="0" applyNumberFormat="1" applyFont="1" applyFill="1" applyBorder="1" applyAlignment="1">
      <alignment horizontal="center" vertical="center" wrapText="1"/>
    </xf>
    <xf numFmtId="189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9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2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90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81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80" fontId="2" fillId="2" borderId="2" xfId="0" applyNumberFormat="1" applyFont="1" applyFill="1" applyBorder="1" applyAlignment="1">
      <alignment horizontal="center" vertical="center"/>
    </xf>
    <xf numFmtId="189" fontId="2" fillId="2" borderId="2" xfId="0" applyNumberFormat="1" applyFont="1" applyFill="1" applyBorder="1" applyAlignment="1">
      <alignment horizontal="center" vertical="center"/>
    </xf>
    <xf numFmtId="181" fontId="11" fillId="2" borderId="2" xfId="0" applyNumberFormat="1" applyFont="1" applyFill="1" applyBorder="1" applyAlignment="1">
      <alignment horizontal="center" vertical="center"/>
    </xf>
    <xf numFmtId="189" fontId="11" fillId="2" borderId="2" xfId="0" applyNumberFormat="1" applyFont="1" applyFill="1" applyBorder="1" applyAlignment="1">
      <alignment horizontal="center" vertical="center" wrapText="1"/>
    </xf>
    <xf numFmtId="180" fontId="2" fillId="2" borderId="51" xfId="0" applyNumberFormat="1" applyFont="1" applyFill="1" applyBorder="1" applyAlignment="1">
      <alignment horizontal="center" vertical="center" wrapText="1"/>
    </xf>
    <xf numFmtId="185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5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2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81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81" fontId="96" fillId="7" borderId="2" xfId="11" applyNumberFormat="1" applyFont="1" applyFill="1" applyBorder="1" applyAlignment="1" applyProtection="1">
      <alignment horizontal="center" vertical="center"/>
      <protection locked="0"/>
    </xf>
    <xf numFmtId="186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5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9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91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80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80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180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81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49" fontId="3" fillId="2" borderId="2" xfId="2" applyNumberFormat="1" applyFont="1" applyFill="1" applyBorder="1" applyAlignment="1" applyProtection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38" t="s">
        <v>12</v>
      </c>
      <c r="B15" s="1632" t="s">
        <v>13</v>
      </c>
    </row>
    <row r="16" spans="1:7" ht="13.5">
      <c r="A16" s="1639"/>
      <c r="B16" s="1633" t="s">
        <v>14</v>
      </c>
    </row>
    <row r="17" spans="1:2" ht="13.5">
      <c r="A17" s="1634" t="s">
        <v>15</v>
      </c>
      <c r="B17" s="1635"/>
    </row>
    <row r="18" spans="1:2" ht="13.5">
      <c r="A18" s="1640" t="s">
        <v>16</v>
      </c>
      <c r="B18" s="1632" t="s">
        <v>17</v>
      </c>
    </row>
    <row r="19" spans="1:2" ht="13.5">
      <c r="A19" s="1640"/>
      <c r="B19" s="1632" t="s">
        <v>18</v>
      </c>
    </row>
    <row r="20" spans="1:2" ht="13.5">
      <c r="A20" s="1640"/>
      <c r="B20" s="1632" t="s">
        <v>19</v>
      </c>
    </row>
    <row r="21" spans="1:2" ht="13.5">
      <c r="A21" s="1640"/>
      <c r="B21" s="1636" t="s">
        <v>20</v>
      </c>
    </row>
    <row r="22" spans="1:2" ht="13.5">
      <c r="A22" s="1640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88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88"/>
      <c r="B19" s="1688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88"/>
      <c r="B20" s="1688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88"/>
      <c r="B21" s="1688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88"/>
      <c r="B22" s="1688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88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88"/>
      <c r="B24" s="1688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88"/>
      <c r="B25" s="1688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88"/>
      <c r="B26" s="1688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88"/>
      <c r="B27" s="1688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88"/>
      <c r="B28" s="1688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88"/>
      <c r="B29" s="1688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88"/>
      <c r="B30" s="1688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88"/>
      <c r="B31" s="1688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88"/>
      <c r="B32" s="1688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88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88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88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88"/>
      <c r="B36" s="1688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88"/>
      <c r="B37" s="1688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88"/>
      <c r="B38" s="1688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88"/>
      <c r="B39" s="1688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88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88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88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88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88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88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88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88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88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88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88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88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88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88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88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88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88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88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88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88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88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88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88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88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88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88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88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88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88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88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88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88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88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88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88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88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88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88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88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88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88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88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88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88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88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88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88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88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88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88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C16" sqref="C16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204.54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三级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6088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3660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1.6057999999999999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38867</v>
      </c>
      <c r="I9" s="1032">
        <f>ROUND(SUMPRODUCT((地价!A36:A86=YEAR(H9)&amp;"-"&amp;ROUNDUP(MONTH(H9)/3,0))*(地价!B3:F3=E2)*(地价!B36:F86)),0)</f>
        <v>167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0.98180000000000001</v>
      </c>
      <c r="D10" s="941" t="s">
        <v>278</v>
      </c>
      <c r="E10" s="942">
        <v>0.04</v>
      </c>
      <c r="F10" s="943"/>
      <c r="G10" s="944">
        <f>IF(F10="剩余土地使用年限",主表!B15,主表!B16)</f>
        <v>64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1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1</v>
      </c>
      <c r="E12" s="950">
        <f>ROUNDDOWN(G3,1)</f>
        <v>2</v>
      </c>
      <c r="F12" s="951">
        <f>IF(G3&lt;=10,SUMPRODUCT(('2002容积率修正'!A3:A102=E12)*('2002容积率修正'!B2:D2=E2)*('2002容积率修正'!B3:D102)),"——")</f>
        <v>1</v>
      </c>
      <c r="G12" s="952">
        <f>ROUNDUP(G3,1)</f>
        <v>2</v>
      </c>
      <c r="H12" s="692">
        <f>IF(G3&lt;=10,SUMPRODUCT(('2002容积率修正'!A3:A102=G12)*('2002容积率修正'!B2:D2=E2)*('2002容积率修正'!B3:D102)),"——")</f>
        <v>1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1</v>
      </c>
      <c r="E13" s="950">
        <f>ROUNDDOWN(G3,1)</f>
        <v>2</v>
      </c>
      <c r="F13" s="951">
        <f>IF(G3&lt;=10,SUMPRODUCT(('2002容积率修正'!A3:A102=E13)*('2002容积率修正'!E2:G2=E2)*('2002容积率修正'!E3:G102)),"——")</f>
        <v>0.85</v>
      </c>
      <c r="G13" s="952">
        <f>ROUNDUP(G3,1)</f>
        <v>2</v>
      </c>
      <c r="H13" s="692">
        <f>IF(G3&lt;=10,SUMPRODUCT(('2002容积率修正'!A3:A102=G13)*('2002容积率修正'!E2:G2=E2)*('2002容积率修正'!E3:G102)),"——")</f>
        <v>0.85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1.0549999999999999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698" t="s">
        <v>1019</v>
      </c>
      <c r="B18" s="735" t="s">
        <v>1007</v>
      </c>
      <c r="C18" s="971">
        <f>ROUND(C7*C9*C10*C11*C15*C16,0)</f>
        <v>6088</v>
      </c>
      <c r="D18" s="736">
        <f>H1</f>
        <v>204.54</v>
      </c>
      <c r="E18" s="737">
        <f>ROUND(C18*D18,0)</f>
        <v>1245240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699"/>
      <c r="B19" s="740" t="s">
        <v>1021</v>
      </c>
      <c r="C19" s="692">
        <f>ROUND(C7*C9*C10*C11*C15*C16*G3,0)</f>
        <v>12175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0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204.54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0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18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4.4999999999999998E-2</v>
      </c>
      <c r="G42" s="1014">
        <f>F42/2</f>
        <v>2.2499999999999999E-2</v>
      </c>
      <c r="H42" s="1015">
        <v>0</v>
      </c>
      <c r="I42" s="1014">
        <f>J42/2</f>
        <v>-2.2499999999999999E-2</v>
      </c>
      <c r="J42" s="1014">
        <f>SUMPRODUCT(('2002因素修正幅度'!$A$66:$A$72=A42)*('2002因素修正幅度'!$B$35:$K$35=$G$2)*('2002因素修正幅度'!$B$66:$K$72))</f>
        <v>-4.4999999999999998E-2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2.2499999999999999E-2</v>
      </c>
      <c r="G43" s="1014">
        <f t="shared" ref="G43:G48" si="2">F43/2</f>
        <v>1.125E-2</v>
      </c>
      <c r="H43" s="1015">
        <v>0</v>
      </c>
      <c r="I43" s="1014">
        <f t="shared" ref="I43:I48" si="3">J43/2</f>
        <v>-1.125E-2</v>
      </c>
      <c r="J43" s="1014">
        <f>SUMPRODUCT(('2002因素修正幅度'!$A$66:$A$72=A43)*('2002因素修正幅度'!$B$35:$K$35=$G$2)*('2002因素修正幅度'!$B$66:$K$72))</f>
        <v>-2.2499999999999999E-2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1.4999999999999999E-2</v>
      </c>
      <c r="G44" s="1014">
        <f t="shared" si="2"/>
        <v>7.4999999999999997E-3</v>
      </c>
      <c r="H44" s="1015">
        <v>0</v>
      </c>
      <c r="I44" s="1014">
        <f t="shared" si="3"/>
        <v>-7.4999999999999997E-3</v>
      </c>
      <c r="J44" s="1014">
        <f>SUMPRODUCT(('2002因素修正幅度'!$A$66:$A$72=A44)*('2002因素修正幅度'!$B$35:$K$35=$G$2)*('2002因素修正幅度'!$B$66:$K$72))</f>
        <v>-1.4999999999999999E-2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0.03</v>
      </c>
      <c r="G45" s="1014">
        <f t="shared" si="2"/>
        <v>1.4999999999999999E-2</v>
      </c>
      <c r="H45" s="1015">
        <v>0</v>
      </c>
      <c r="I45" s="1014">
        <f t="shared" si="3"/>
        <v>-1.4999999999999999E-2</v>
      </c>
      <c r="J45" s="1014">
        <f>SUMPRODUCT(('2002因素修正幅度'!$A$66:$A$72=A45)*('2002因素修正幅度'!$B$35:$K$35=$G$2)*('2002因素修正幅度'!$B$66:$K$72))</f>
        <v>-0.03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1.4999999999999999E-2</v>
      </c>
      <c r="G46" s="1014">
        <f t="shared" si="2"/>
        <v>7.4999999999999997E-3</v>
      </c>
      <c r="H46" s="1015">
        <v>0</v>
      </c>
      <c r="I46" s="1014">
        <f t="shared" si="3"/>
        <v>-7.4999999999999997E-3</v>
      </c>
      <c r="J46" s="1014">
        <f>SUMPRODUCT(('2002因素修正幅度'!$A$66:$A$72=A46)*('2002因素修正幅度'!$B$35:$K$35=$G$2)*('2002因素修正幅度'!$B$66:$K$72))</f>
        <v>-1.4999999999999999E-2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1.2E-2</v>
      </c>
      <c r="G47" s="1014">
        <f t="shared" si="2"/>
        <v>6.0000000000000001E-3</v>
      </c>
      <c r="H47" s="1015">
        <v>0</v>
      </c>
      <c r="I47" s="1014">
        <f t="shared" si="3"/>
        <v>-6.0000000000000001E-3</v>
      </c>
      <c r="J47" s="1014">
        <f>SUMPRODUCT(('2002因素修正幅度'!$A$66:$A$72=A47)*('2002因素修正幅度'!$B$35:$K$35=$G$2)*('2002因素修正幅度'!$B$66:$K$72))</f>
        <v>-1.2E-2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1.0500000000000001E-2</v>
      </c>
      <c r="G48" s="1014">
        <f t="shared" si="2"/>
        <v>5.2500000000000003E-3</v>
      </c>
      <c r="H48" s="1015">
        <v>0</v>
      </c>
      <c r="I48" s="1014">
        <f t="shared" si="3"/>
        <v>-5.2500000000000003E-3</v>
      </c>
      <c r="J48" s="1014">
        <f>SUMPRODUCT(('2002因素修正幅度'!$A$66:$A$72=A48)*('2002因素修正幅度'!$B$35:$K$35=$G$2)*('2002因素修正幅度'!$B$66:$K$72))</f>
        <v>-1.0500000000000001E-2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0.03</v>
      </c>
      <c r="G51" s="1014">
        <f>F51/2</f>
        <v>1.4999999999999999E-2</v>
      </c>
      <c r="H51" s="1015">
        <v>0</v>
      </c>
      <c r="I51" s="1014">
        <f>J51/2</f>
        <v>-1.4999999999999999E-2</v>
      </c>
      <c r="J51" s="1014">
        <f>SUMPRODUCT(('2002因素修正幅度'!$A$73:$A$79=A51)*('2002因素修正幅度'!$B$35:$K$35=$G$2)*('2002因素修正幅度'!$B$73:$K$79))</f>
        <v>-0.03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3.7499999999999999E-2</v>
      </c>
      <c r="G52" s="1014">
        <f t="shared" ref="G52:G57" si="5">F52/2</f>
        <v>1.8749999999999999E-2</v>
      </c>
      <c r="H52" s="1015">
        <v>0</v>
      </c>
      <c r="I52" s="1014">
        <f t="shared" ref="I52:I57" si="6">J52/2</f>
        <v>-1.8749999999999999E-2</v>
      </c>
      <c r="J52" s="1014">
        <f>SUMPRODUCT(('2002因素修正幅度'!$A$73:$A$79=A52)*('2002因素修正幅度'!$B$35:$K$35=$G$2)*('2002因素修正幅度'!$B$73:$K$79))</f>
        <v>-3.7499999999999999E-2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1.4999999999999999E-2</v>
      </c>
      <c r="G53" s="1014">
        <f t="shared" si="5"/>
        <v>7.4999999999999997E-3</v>
      </c>
      <c r="H53" s="1015">
        <v>0</v>
      </c>
      <c r="I53" s="1014">
        <f t="shared" si="6"/>
        <v>-7.4999999999999997E-3</v>
      </c>
      <c r="J53" s="1014">
        <f>SUMPRODUCT(('2002因素修正幅度'!$A$73:$A$79=A53)*('2002因素修正幅度'!$B$35:$K$35=$G$2)*('2002因素修正幅度'!$B$73:$K$79))</f>
        <v>-1.4999999999999999E-2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1.4999999999999999E-2</v>
      </c>
      <c r="G54" s="1014">
        <f t="shared" si="5"/>
        <v>7.4999999999999997E-3</v>
      </c>
      <c r="H54" s="1015">
        <v>0</v>
      </c>
      <c r="I54" s="1014">
        <f t="shared" si="6"/>
        <v>-7.4999999999999997E-3</v>
      </c>
      <c r="J54" s="1014">
        <f>SUMPRODUCT(('2002因素修正幅度'!$A$73:$A$79=A54)*('2002因素修正幅度'!$B$35:$K$35=$G$2)*('2002因素修正幅度'!$B$73:$K$79))</f>
        <v>-1.4999999999999999E-2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2.2499999999999999E-2</v>
      </c>
      <c r="G55" s="1014">
        <f t="shared" si="5"/>
        <v>1.125E-2</v>
      </c>
      <c r="H55" s="1015">
        <v>0</v>
      </c>
      <c r="I55" s="1014">
        <f t="shared" si="6"/>
        <v>-1.125E-2</v>
      </c>
      <c r="J55" s="1014">
        <f>SUMPRODUCT(('2002因素修正幅度'!$A$73:$A$79=A55)*('2002因素修正幅度'!$B$35:$K$35=$G$2)*('2002因素修正幅度'!$B$73:$K$79))</f>
        <v>-2.2499999999999999E-2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1.2E-2</v>
      </c>
      <c r="G56" s="1014">
        <f t="shared" si="5"/>
        <v>6.0000000000000001E-3</v>
      </c>
      <c r="H56" s="1015">
        <v>0</v>
      </c>
      <c r="I56" s="1014">
        <f t="shared" si="6"/>
        <v>-6.0000000000000001E-3</v>
      </c>
      <c r="J56" s="1014">
        <f>SUMPRODUCT(('2002因素修正幅度'!$A$73:$A$79=A56)*('2002因素修正幅度'!$B$35:$K$35=$G$2)*('2002因素修正幅度'!$B$73:$K$79))</f>
        <v>-1.2E-2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1.7999999999999999E-2</v>
      </c>
      <c r="G57" s="1014">
        <f t="shared" si="5"/>
        <v>8.9999999999999993E-3</v>
      </c>
      <c r="H57" s="1015">
        <v>0</v>
      </c>
      <c r="I57" s="1014">
        <f t="shared" si="6"/>
        <v>-8.9999999999999993E-3</v>
      </c>
      <c r="J57" s="1014">
        <f>SUMPRODUCT(('2002因素修正幅度'!$A$73:$A$79=A57)*('2002因素修正幅度'!$B$35:$K$35=$G$2)*('2002因素修正幅度'!$B$73:$K$79))</f>
        <v>-1.7999999999999999E-2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1.0549999999999999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1.2500000000000001E-2</v>
      </c>
      <c r="E60" s="1013">
        <f>SUM(D60:D67)</f>
        <v>5.5000000000000007E-2</v>
      </c>
      <c r="F60" s="1014">
        <f>SUMPRODUCT(('2002因素修正幅度'!$A$50:$A$57=A60)*('2002因素修正幅度'!$B$35:$K$35=$G$2)*('2002因素修正幅度'!$B$50:$K$57))</f>
        <v>2.5000000000000001E-2</v>
      </c>
      <c r="G60" s="1014">
        <f>F60/2</f>
        <v>1.2500000000000001E-2</v>
      </c>
      <c r="H60" s="1015">
        <v>0</v>
      </c>
      <c r="I60" s="1014">
        <f>J60/2</f>
        <v>-7.4999999999999997E-3</v>
      </c>
      <c r="J60" s="1014">
        <f>SUMPRODUCT(('2002因素修正幅度'!$A$80:$A$87=A60)*('2002因素修正幅度'!$B$35:$K$35=$G$2)*('2002因素修正幅度'!$B$80:$K$87))</f>
        <v>-1.4999999999999999E-2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0.05</v>
      </c>
      <c r="G61" s="1014">
        <f t="shared" ref="G61:G67" si="8">F61/2</f>
        <v>2.5000000000000001E-2</v>
      </c>
      <c r="H61" s="1015">
        <v>0</v>
      </c>
      <c r="I61" s="1014">
        <f t="shared" ref="I61:I67" si="9">J61/2</f>
        <v>-1.4999999999999999E-2</v>
      </c>
      <c r="J61" s="1014">
        <f>SUMPRODUCT(('2002因素修正幅度'!$A$80:$A$87=A61)*('2002因素修正幅度'!$B$35:$K$35=$G$2)*('2002因素修正幅度'!$B$80:$K$87))</f>
        <v>-0.03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1.2500000000000001E-2</v>
      </c>
      <c r="E62" s="1025"/>
      <c r="F62" s="1014">
        <f>SUMPRODUCT(('2002因素修正幅度'!$A$50:$A$57=A62)*('2002因素修正幅度'!$B$35:$K$35=$G$2)*('2002因素修正幅度'!$B$50:$K$57))</f>
        <v>2.5000000000000001E-2</v>
      </c>
      <c r="G62" s="1014">
        <f t="shared" si="8"/>
        <v>1.2500000000000001E-2</v>
      </c>
      <c r="H62" s="1015">
        <v>0</v>
      </c>
      <c r="I62" s="1014">
        <f t="shared" si="9"/>
        <v>-7.4999999999999997E-3</v>
      </c>
      <c r="J62" s="1014">
        <f>SUMPRODUCT(('2002因素修正幅度'!$A$80:$A$87=A62)*('2002因素修正幅度'!$B$35:$K$35=$G$2)*('2002因素修正幅度'!$B$80:$K$87))</f>
        <v>-1.4999999999999999E-2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-7.4999999999999997E-3</v>
      </c>
      <c r="E63" s="1025"/>
      <c r="F63" s="1014">
        <f>SUMPRODUCT(('2002因素修正幅度'!$A$50:$A$57=A63)*('2002因素修正幅度'!$B$35:$K$35=$G$2)*('2002因素修正幅度'!$B$50:$K$57))</f>
        <v>2.5000000000000001E-2</v>
      </c>
      <c r="G63" s="1014">
        <f t="shared" si="8"/>
        <v>1.2500000000000001E-2</v>
      </c>
      <c r="H63" s="1015">
        <v>0</v>
      </c>
      <c r="I63" s="1014">
        <f t="shared" si="9"/>
        <v>-7.4999999999999997E-3</v>
      </c>
      <c r="J63" s="1014">
        <f>SUMPRODUCT(('2002因素修正幅度'!$A$80:$A$87=A63)*('2002因素修正幅度'!$B$35:$K$35=$G$2)*('2002因素修正幅度'!$B$80:$K$87))</f>
        <v>-1.4999999999999999E-2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0.01</v>
      </c>
      <c r="E64" s="1025"/>
      <c r="F64" s="1014">
        <f>SUMPRODUCT(('2002因素修正幅度'!$A$50:$A$57=A64)*('2002因素修正幅度'!$B$35:$K$35=$G$2)*('2002因素修正幅度'!$B$50:$K$57))</f>
        <v>0.02</v>
      </c>
      <c r="G64" s="1014">
        <f t="shared" si="8"/>
        <v>0.01</v>
      </c>
      <c r="H64" s="1015">
        <v>0</v>
      </c>
      <c r="I64" s="1014">
        <f t="shared" si="9"/>
        <v>-6.0000000000000001E-3</v>
      </c>
      <c r="J64" s="1014">
        <f>SUMPRODUCT(('2002因素修正幅度'!$A$80:$A$87=A64)*('2002因素修正幅度'!$B$35:$K$35=$G$2)*('2002因素修正幅度'!$B$80:$K$87))</f>
        <v>-1.2E-2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434</v>
      </c>
      <c r="D65" s="1012">
        <f t="shared" si="7"/>
        <v>1.4999999999999999E-2</v>
      </c>
      <c r="E65" s="1025"/>
      <c r="F65" s="1014">
        <f>SUMPRODUCT(('2002因素修正幅度'!$A$50:$A$57=A65)*('2002因素修正幅度'!$B$35:$K$35=$G$2)*('2002因素修正幅度'!$B$50:$K$57))</f>
        <v>0.03</v>
      </c>
      <c r="G65" s="1014">
        <f t="shared" si="8"/>
        <v>1.4999999999999999E-2</v>
      </c>
      <c r="H65" s="1015">
        <v>0</v>
      </c>
      <c r="I65" s="1014">
        <f t="shared" si="9"/>
        <v>-8.9999999999999993E-3</v>
      </c>
      <c r="J65" s="1014">
        <f>SUMPRODUCT(('2002因素修正幅度'!$A$80:$A$87=A65)*('2002因素修正幅度'!$B$35:$K$35=$G$2)*('2002因素修正幅度'!$B$80:$K$87))</f>
        <v>-1.7999999999999999E-2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0.05</v>
      </c>
      <c r="G66" s="1014">
        <f t="shared" si="8"/>
        <v>2.5000000000000001E-2</v>
      </c>
      <c r="H66" s="1015">
        <v>0</v>
      </c>
      <c r="I66" s="1014">
        <f t="shared" si="9"/>
        <v>-1.4999999999999999E-2</v>
      </c>
      <c r="J66" s="1014">
        <f>SUMPRODUCT(('2002因素修正幅度'!$A$80:$A$87=A66)*('2002因素修正幅度'!$B$35:$K$35=$G$2)*('2002因素修正幅度'!$B$80:$K$87))</f>
        <v>-0.03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434</v>
      </c>
      <c r="D67" s="1012">
        <f t="shared" si="7"/>
        <v>1.2500000000000001E-2</v>
      </c>
      <c r="E67" s="1053"/>
      <c r="F67" s="1014">
        <f>SUMPRODUCT(('2002因素修正幅度'!$A$50:$A$57=A67)*('2002因素修正幅度'!$B$35:$K$35=$G$2)*('2002因素修正幅度'!$B$50:$K$57))</f>
        <v>2.5000000000000001E-2</v>
      </c>
      <c r="G67" s="1014">
        <f t="shared" si="8"/>
        <v>1.2500000000000001E-2</v>
      </c>
      <c r="H67" s="1015">
        <v>0</v>
      </c>
      <c r="I67" s="1014">
        <f t="shared" si="9"/>
        <v>-7.4999999999999997E-3</v>
      </c>
      <c r="J67" s="1014">
        <f>SUMPRODUCT(('2002因素修正幅度'!$A$80:$A$87=A67)*('2002因素修正幅度'!$B$35:$K$35=$G$2)*('2002因素修正幅度'!$B$80:$K$87))</f>
        <v>-1.4999999999999999E-2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0.04</v>
      </c>
      <c r="G70" s="1014">
        <f t="shared" ref="G70:G76" si="11">F70/2</f>
        <v>0.02</v>
      </c>
      <c r="H70" s="1015">
        <v>0</v>
      </c>
      <c r="I70" s="1014">
        <f t="shared" ref="I70:I76" si="12">J70/2</f>
        <v>-0.02</v>
      </c>
      <c r="J70" s="1014">
        <f>SUMPRODUCT(('2002因素修正幅度'!$A$88:$A$94=A70)*('2002因素修正幅度'!$B$35:$K$35=$G$2)*('2002因素修正幅度'!$B$88:$K$94))</f>
        <v>-0.04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6.4000000000000001E-2</v>
      </c>
      <c r="G71" s="1014">
        <f t="shared" si="11"/>
        <v>3.2000000000000001E-2</v>
      </c>
      <c r="H71" s="1015">
        <v>0</v>
      </c>
      <c r="I71" s="1014">
        <f t="shared" si="12"/>
        <v>-3.2000000000000001E-2</v>
      </c>
      <c r="J71" s="1014">
        <f>SUMPRODUCT(('2002因素修正幅度'!$A$88:$A$94=A71)*('2002因素修正幅度'!$B$35:$K$35=$G$2)*('2002因素修正幅度'!$B$88:$K$94))</f>
        <v>-6.4000000000000001E-2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0.02</v>
      </c>
      <c r="G72" s="1014">
        <f t="shared" si="11"/>
        <v>0.01</v>
      </c>
      <c r="H72" s="1015">
        <v>0</v>
      </c>
      <c r="I72" s="1014">
        <f t="shared" si="12"/>
        <v>-0.01</v>
      </c>
      <c r="J72" s="1014">
        <f>SUMPRODUCT(('2002因素修正幅度'!$A$88:$A$94=A72)*('2002因素修正幅度'!$B$35:$K$35=$G$2)*('2002因素修正幅度'!$B$88:$K$94))</f>
        <v>-0.02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1.6E-2</v>
      </c>
      <c r="G73" s="1014">
        <f t="shared" si="11"/>
        <v>8.0000000000000002E-3</v>
      </c>
      <c r="H73" s="1015">
        <v>0</v>
      </c>
      <c r="I73" s="1014">
        <f t="shared" si="12"/>
        <v>-8.0000000000000002E-3</v>
      </c>
      <c r="J73" s="1014">
        <f>SUMPRODUCT(('2002因素修正幅度'!$A$88:$A$94=A73)*('2002因素修正幅度'!$B$35:$K$35=$G$2)*('2002因素修正幅度'!$B$88:$K$94))</f>
        <v>-1.6E-2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2.4E-2</v>
      </c>
      <c r="G74" s="1014">
        <f t="shared" si="11"/>
        <v>1.2E-2</v>
      </c>
      <c r="H74" s="1015">
        <v>0</v>
      </c>
      <c r="I74" s="1014">
        <f t="shared" si="12"/>
        <v>-1.2E-2</v>
      </c>
      <c r="J74" s="1014">
        <f>SUMPRODUCT(('2002因素修正幅度'!$A$88:$A$94=A74)*('2002因素修正幅度'!$B$35:$K$35=$G$2)*('2002因素修正幅度'!$B$88:$K$94))</f>
        <v>-2.4E-2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0.02</v>
      </c>
      <c r="G75" s="1014">
        <f t="shared" si="11"/>
        <v>0.01</v>
      </c>
      <c r="H75" s="1015">
        <v>0</v>
      </c>
      <c r="I75" s="1014">
        <f t="shared" si="12"/>
        <v>-0.01</v>
      </c>
      <c r="J75" s="1014">
        <f>SUMPRODUCT(('2002因素修正幅度'!$A$88:$A$94=A75)*('2002因素修正幅度'!$B$35:$K$35=$G$2)*('2002因素修正幅度'!$B$88:$K$94))</f>
        <v>-0.02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1.6E-2</v>
      </c>
      <c r="G76" s="1014">
        <f t="shared" si="11"/>
        <v>8.0000000000000002E-3</v>
      </c>
      <c r="H76" s="1015">
        <v>0</v>
      </c>
      <c r="I76" s="1014">
        <f t="shared" si="12"/>
        <v>-8.0000000000000002E-3</v>
      </c>
      <c r="J76" s="1014">
        <f>SUMPRODUCT(('2002因素修正幅度'!$A$88:$A$94=A76)*('2002因素修正幅度'!$B$35:$K$35=$G$2)*('2002因素修正幅度'!$B$88:$K$94))</f>
        <v>-1.6E-2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0.97419999999999995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0.81740000000000002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0.95140000000000002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0.97419999999999995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0.70750000000000002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三级</v>
      </c>
      <c r="M1" s="872">
        <f>SUMPRODUCT((K3:K12=L1)*(L2:O2=K1)*(L3:O12))</f>
        <v>3660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04" t="s">
        <v>1046</v>
      </c>
      <c r="B1" s="1701" t="s">
        <v>1047</v>
      </c>
      <c r="C1" s="1702"/>
      <c r="D1" s="1703"/>
      <c r="E1" s="1701" t="s">
        <v>1048</v>
      </c>
      <c r="F1" s="1702"/>
      <c r="G1" s="1703"/>
    </row>
    <row r="2" spans="1:7">
      <c r="A2" s="1705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I19" sqref="I19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2" t="s">
        <v>377</v>
      </c>
      <c r="E2" s="1716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13"/>
      <c r="E3" s="1717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3"/>
      <c r="E4" s="1717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4"/>
      <c r="E5" s="1718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/>
      <c r="C6" s="657"/>
      <c r="D6" s="1712" t="s">
        <v>1065</v>
      </c>
      <c r="E6" s="1716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三类</v>
      </c>
      <c r="C7" s="657"/>
      <c r="D7" s="1713"/>
      <c r="E7" s="1717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14"/>
      <c r="E8" s="1718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204.54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2" t="s">
        <v>137</v>
      </c>
      <c r="E10" s="1716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15"/>
      <c r="E11" s="1719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0</v>
      </c>
      <c r="E14" s="683">
        <f>SUMPRODUCT((D35:M35=B7)*(B40:B43=B6)*(D40:M43))</f>
        <v>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0.98629999999999995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4.6350000000000002E-2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64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698" t="s">
        <v>1019</v>
      </c>
      <c r="B27" s="735" t="s">
        <v>1007</v>
      </c>
      <c r="C27" s="692" t="e">
        <f>ROUND(C28/B11,0)</f>
        <v>#DIV/0!</v>
      </c>
      <c r="D27" s="736">
        <f>B9</f>
        <v>204.54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699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0" t="s">
        <v>1089</v>
      </c>
      <c r="B29" s="690" t="s">
        <v>1090</v>
      </c>
      <c r="C29" s="703" t="e">
        <f>ROUND(C30/B11,0)</f>
        <v>#DIV/0!</v>
      </c>
      <c r="D29" s="741">
        <f>B9</f>
        <v>204.54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06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07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08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08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08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08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08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08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08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09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0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0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0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0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11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0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0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0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11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20" t="s">
        <v>1116</v>
      </c>
      <c r="D4" s="1721"/>
      <c r="E4" s="1722" t="s">
        <v>1117</v>
      </c>
      <c r="F4" s="1723"/>
      <c r="G4" s="1720" t="s">
        <v>1118</v>
      </c>
      <c r="H4" s="1721"/>
      <c r="I4" s="1720" t="s">
        <v>1119</v>
      </c>
      <c r="J4" s="1721"/>
      <c r="K4" s="438" t="s">
        <v>1120</v>
      </c>
      <c r="L4" s="439"/>
      <c r="M4" s="396"/>
      <c r="N4" s="396"/>
      <c r="O4" s="396"/>
      <c r="P4" s="1755" t="s">
        <v>1121</v>
      </c>
      <c r="Q4" s="1756"/>
      <c r="R4" s="1749" t="s">
        <v>1117</v>
      </c>
      <c r="S4" s="1750"/>
      <c r="T4" s="1749" t="s">
        <v>1118</v>
      </c>
      <c r="U4" s="1750"/>
      <c r="V4" s="1736" t="s">
        <v>1119</v>
      </c>
      <c r="W4" s="1736"/>
      <c r="X4" s="496"/>
      <c r="Y4" s="1749" t="s">
        <v>1121</v>
      </c>
      <c r="Z4" s="1750"/>
      <c r="AA4" s="1746" t="s">
        <v>1117</v>
      </c>
      <c r="AB4" s="1747" t="s">
        <v>1118</v>
      </c>
      <c r="AC4" s="1746" t="s">
        <v>1119</v>
      </c>
    </row>
    <row r="5" spans="1:29" ht="15">
      <c r="A5" s="275"/>
      <c r="B5" s="276"/>
      <c r="C5" s="1724" t="s">
        <v>1122</v>
      </c>
      <c r="D5" s="1725"/>
      <c r="E5" s="1726" t="s">
        <v>1123</v>
      </c>
      <c r="F5" s="1727"/>
      <c r="G5" s="1724" t="s">
        <v>1124</v>
      </c>
      <c r="H5" s="1725"/>
      <c r="I5" s="1724" t="s">
        <v>1125</v>
      </c>
      <c r="J5" s="1725"/>
      <c r="K5" s="438"/>
      <c r="L5" s="439"/>
      <c r="M5" s="396"/>
      <c r="N5" s="396"/>
      <c r="O5" s="396"/>
      <c r="P5" s="1757"/>
      <c r="Q5" s="1758"/>
      <c r="R5" s="1751"/>
      <c r="S5" s="1752"/>
      <c r="T5" s="1751"/>
      <c r="U5" s="1752"/>
      <c r="V5" s="1736"/>
      <c r="W5" s="1736"/>
      <c r="X5" s="496"/>
      <c r="Y5" s="1751"/>
      <c r="Z5" s="1752"/>
      <c r="AA5" s="1747"/>
      <c r="AB5" s="1747"/>
      <c r="AC5" s="1747"/>
    </row>
    <row r="6" spans="1:29" ht="15">
      <c r="A6" s="278"/>
      <c r="B6" s="279"/>
      <c r="C6" s="1728" t="s">
        <v>1126</v>
      </c>
      <c r="D6" s="1729"/>
      <c r="E6" s="1730" t="s">
        <v>1126</v>
      </c>
      <c r="F6" s="1731"/>
      <c r="G6" s="1728" t="s">
        <v>1126</v>
      </c>
      <c r="H6" s="1729"/>
      <c r="I6" s="1728" t="s">
        <v>1126</v>
      </c>
      <c r="J6" s="1729"/>
      <c r="K6" s="438" t="s">
        <v>1127</v>
      </c>
      <c r="L6" s="439"/>
      <c r="M6" s="396"/>
      <c r="N6" s="396"/>
      <c r="O6" s="396"/>
      <c r="P6" s="1759"/>
      <c r="Q6" s="1760"/>
      <c r="R6" s="1751"/>
      <c r="S6" s="1752"/>
      <c r="T6" s="1753"/>
      <c r="U6" s="1754"/>
      <c r="V6" s="1736"/>
      <c r="W6" s="1736"/>
      <c r="X6" s="496"/>
      <c r="Y6" s="1753"/>
      <c r="Z6" s="1754"/>
      <c r="AA6" s="1748"/>
      <c r="AB6" s="1748"/>
      <c r="AC6" s="1748"/>
    </row>
    <row r="7" spans="1:29" s="247" customFormat="1" ht="15">
      <c r="A7" s="280" t="s">
        <v>1128</v>
      </c>
      <c r="B7" s="281"/>
      <c r="C7" s="282">
        <f>主表!B4</f>
        <v>38867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32" t="s">
        <v>1129</v>
      </c>
      <c r="Q7" s="1733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32" t="s">
        <v>1129</v>
      </c>
      <c r="Z7" s="1734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32" t="s">
        <v>1133</v>
      </c>
      <c r="Q8" s="1734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32" t="s">
        <v>1133</v>
      </c>
      <c r="Z8" s="1734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3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45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3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45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3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45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三级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3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45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3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45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3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45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1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41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2"/>
      <c r="Q16" s="445"/>
      <c r="R16" s="501"/>
      <c r="S16" s="502"/>
      <c r="T16" s="501"/>
      <c r="U16" s="502"/>
      <c r="V16" s="501"/>
      <c r="W16" s="502"/>
      <c r="X16" s="496"/>
      <c r="Y16" s="1742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2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42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2"/>
      <c r="Q18" s="445"/>
      <c r="R18" s="501"/>
      <c r="S18" s="502"/>
      <c r="T18" s="501"/>
      <c r="U18" s="502"/>
      <c r="V18" s="501"/>
      <c r="W18" s="502"/>
      <c r="X18" s="496"/>
      <c r="Y18" s="1742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2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42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2"/>
      <c r="Q20" s="445"/>
      <c r="R20" s="501"/>
      <c r="S20" s="502"/>
      <c r="T20" s="501"/>
      <c r="U20" s="502"/>
      <c r="V20" s="501"/>
      <c r="W20" s="502"/>
      <c r="X20" s="496"/>
      <c r="Y20" s="1742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2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42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2"/>
      <c r="Q22" s="445"/>
      <c r="R22" s="501"/>
      <c r="S22" s="502"/>
      <c r="T22" s="501"/>
      <c r="U22" s="502"/>
      <c r="V22" s="501"/>
      <c r="W22" s="502"/>
      <c r="X22" s="496"/>
      <c r="Y22" s="1742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2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42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2"/>
      <c r="Q24" s="445"/>
      <c r="R24" s="501"/>
      <c r="S24" s="502"/>
      <c r="T24" s="501"/>
      <c r="U24" s="502"/>
      <c r="V24" s="501"/>
      <c r="W24" s="502"/>
      <c r="X24" s="496"/>
      <c r="Y24" s="1742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2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42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2"/>
      <c r="Q26" s="445"/>
      <c r="R26" s="501"/>
      <c r="S26" s="502"/>
      <c r="T26" s="501"/>
      <c r="U26" s="502"/>
      <c r="V26" s="501"/>
      <c r="W26" s="502"/>
      <c r="X26" s="496"/>
      <c r="Y26" s="1742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2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42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2"/>
      <c r="Q28" s="500"/>
      <c r="R28" s="497"/>
      <c r="S28" s="498"/>
      <c r="T28" s="497"/>
      <c r="U28" s="498"/>
      <c r="V28" s="497"/>
      <c r="W28" s="498"/>
      <c r="X28" s="499"/>
      <c r="Y28" s="1742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2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42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2"/>
      <c r="Q30" s="500"/>
      <c r="R30" s="497"/>
      <c r="S30" s="498"/>
      <c r="T30" s="497"/>
      <c r="U30" s="498"/>
      <c r="V30" s="497"/>
      <c r="W30" s="498"/>
      <c r="X30" s="499"/>
      <c r="Y30" s="1742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2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42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2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42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2"/>
      <c r="Q33" s="445"/>
      <c r="R33" s="501"/>
      <c r="S33" s="502"/>
      <c r="T33" s="501"/>
      <c r="U33" s="502"/>
      <c r="V33" s="501"/>
      <c r="W33" s="502"/>
      <c r="X33" s="496"/>
      <c r="Y33" s="1742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2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42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2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42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3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44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4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44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4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44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4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44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4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44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4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44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4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44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4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44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4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44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4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44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35" t="str">
        <f>A46</f>
        <v>成交单价</v>
      </c>
      <c r="Q46" s="1735"/>
      <c r="R46" s="1736">
        <f>E46</f>
        <v>0</v>
      </c>
      <c r="S46" s="1736"/>
      <c r="T46" s="1736">
        <f>G46</f>
        <v>0</v>
      </c>
      <c r="U46" s="1736"/>
      <c r="V46" s="1736">
        <f>I46</f>
        <v>0</v>
      </c>
      <c r="W46" s="1736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35" t="str">
        <f>A47</f>
        <v>比较价值（元/平方米）</v>
      </c>
      <c r="Q47" s="1735"/>
      <c r="R47" s="1737" t="e">
        <f>ROUND(PRODUCT(R46,AA7:AA45),0)</f>
        <v>#DIV/0!</v>
      </c>
      <c r="S47" s="1737"/>
      <c r="T47" s="1737" t="e">
        <f>ROUND(PRODUCT(T46,AB7:AB45),0)</f>
        <v>#DIV/0!</v>
      </c>
      <c r="U47" s="1737"/>
      <c r="V47" s="1737" t="e">
        <f>ROUND(PRODUCT(V46,AC7:AC45),0)</f>
        <v>#DIV/0!</v>
      </c>
      <c r="W47" s="1737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38" t="str">
        <f>A48</f>
        <v>估价对象比较价值（单价内涵，元/平方米）</v>
      </c>
      <c r="Q48" s="1739"/>
      <c r="R48" s="1740" t="e">
        <f>ROUND(AVERAGE(R47:V47),0)</f>
        <v>#DIV/0!</v>
      </c>
      <c r="S48" s="1740"/>
      <c r="T48" s="1740"/>
      <c r="U48" s="1740"/>
      <c r="V48" s="1740"/>
      <c r="W48" s="1740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2006-5-1</v>
      </c>
      <c r="D56" s="408">
        <f>EDATE(C56,-3)</f>
        <v>38749</v>
      </c>
      <c r="E56" s="408">
        <f t="shared" ref="E56:O56" si="15">EDATE(D56,-3)</f>
        <v>38657</v>
      </c>
      <c r="F56" s="408">
        <f t="shared" si="15"/>
        <v>38565</v>
      </c>
      <c r="G56" s="408">
        <f t="shared" si="15"/>
        <v>38473</v>
      </c>
      <c r="H56" s="408">
        <f t="shared" si="15"/>
        <v>38384</v>
      </c>
      <c r="I56" s="408">
        <f t="shared" si="15"/>
        <v>38292</v>
      </c>
      <c r="J56" s="408">
        <f t="shared" si="15"/>
        <v>38200</v>
      </c>
      <c r="K56" s="408">
        <f t="shared" si="15"/>
        <v>38108</v>
      </c>
      <c r="L56" s="408">
        <f t="shared" si="15"/>
        <v>38018</v>
      </c>
      <c r="M56" s="408">
        <f t="shared" si="15"/>
        <v>37926</v>
      </c>
      <c r="N56" s="408">
        <f t="shared" si="15"/>
        <v>37834</v>
      </c>
      <c r="O56" s="408">
        <f t="shared" si="15"/>
        <v>37742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2006-2</v>
      </c>
      <c r="D58" s="415" t="str">
        <f t="shared" ref="D58:O58" si="16">YEAR(D56)&amp;"-"&amp;ROUNDUP(MONTH(D56)/3,0)</f>
        <v>2006-1</v>
      </c>
      <c r="E58" s="415" t="str">
        <f t="shared" si="16"/>
        <v>2005-4</v>
      </c>
      <c r="F58" s="415" t="str">
        <f t="shared" si="16"/>
        <v>2005-3</v>
      </c>
      <c r="G58" s="415" t="str">
        <f t="shared" si="16"/>
        <v>2005-2</v>
      </c>
      <c r="H58" s="415" t="str">
        <f t="shared" si="16"/>
        <v>2005-1</v>
      </c>
      <c r="I58" s="415" t="str">
        <f t="shared" si="16"/>
        <v>2004-4</v>
      </c>
      <c r="J58" s="415" t="str">
        <f t="shared" si="16"/>
        <v>2004-3</v>
      </c>
      <c r="K58" s="415" t="str">
        <f t="shared" si="16"/>
        <v>2004-2</v>
      </c>
      <c r="L58" s="415" t="str">
        <f t="shared" si="16"/>
        <v>2004-1</v>
      </c>
      <c r="M58" s="415" t="str">
        <f t="shared" si="16"/>
        <v>2003-4</v>
      </c>
      <c r="N58" s="415" t="str">
        <f t="shared" si="16"/>
        <v>2003-3</v>
      </c>
      <c r="O58" s="415" t="str">
        <f t="shared" si="16"/>
        <v>2003-2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38867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5.8499999999999996E-2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49</v>
      </c>
      <c r="K1" s="237">
        <f ca="1">MATCH(E1,C4:C8,1)+IF(SUMIF(C4:C8,E1,D4:D8)=0,3,2)</f>
        <v>5</v>
      </c>
      <c r="L1" s="237">
        <f>IF(C1&gt;M14,0,MATCH(C1,M$14:M$52,-1))+IF(SUMIF(M14:M52,C1,N14:N52)=0,14,13)</f>
        <v>39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38867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49</v>
      </c>
      <c r="K2" s="237">
        <f ca="1">MATCH(E2,C4:C8,1)+IF(SUMIF(C4:C8,E2,D4:D8)=0,3,2)</f>
        <v>3</v>
      </c>
      <c r="L2" s="237">
        <f>IF(C2&gt;M14,0,MATCH(C2,M$14:M$52,-1))+IF(SUMIF(M14:M52,C2,N14:N52)=0,14,13)</f>
        <v>39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6.0299999999999999E-2</v>
      </c>
      <c r="H3" s="203" t="s">
        <v>1183</v>
      </c>
      <c r="I3" s="204">
        <f ca="1">SUMIF(F4:F8,E3,H4:H8)/100</f>
        <v>3.2400000000000005E-2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5.4</v>
      </c>
      <c r="E4" s="207">
        <f ca="1">INDIRECT("d"&amp;$J$2)</f>
        <v>5.4</v>
      </c>
      <c r="F4" s="206">
        <v>0.5</v>
      </c>
      <c r="G4" s="208">
        <f ca="1">INDIRECT("p"&amp;$L$1)</f>
        <v>2.0699999999999998</v>
      </c>
      <c r="H4" s="208">
        <f ca="1">INDIRECT("p"&amp;$L$2)</f>
        <v>2.0699999999999998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6.03</v>
      </c>
      <c r="E6" s="211">
        <f ca="1">INDIRECT("f"&amp;$J$2)</f>
        <v>6.03</v>
      </c>
      <c r="F6" s="210">
        <v>2</v>
      </c>
      <c r="G6" s="195">
        <f ca="1">INDIRECT("r"&amp;$L$1)</f>
        <v>2.7</v>
      </c>
      <c r="H6" s="195">
        <f ca="1">INDIRECT("r"&amp;$L$2)</f>
        <v>2.7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6.12</v>
      </c>
      <c r="E7" s="211">
        <f ca="1">INDIRECT("g"&amp;$J$2)</f>
        <v>6.12</v>
      </c>
      <c r="F7" s="210">
        <v>3</v>
      </c>
      <c r="G7" s="195">
        <f ca="1">INDIRECT("s"&amp;$L$1)</f>
        <v>3.24</v>
      </c>
      <c r="H7" s="195">
        <f ca="1">INDIRECT("s"&amp;$L$2)</f>
        <v>3.24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6.39</v>
      </c>
      <c r="E8" s="211">
        <f ca="1">INDIRECT("h"&amp;$J$2)</f>
        <v>6.39</v>
      </c>
      <c r="F8" s="210">
        <v>5</v>
      </c>
      <c r="G8" s="195">
        <f ca="1">INDIRECT("t"&amp;$L$1)</f>
        <v>3.6</v>
      </c>
      <c r="H8" s="195">
        <f ca="1">INDIRECT("t"&amp;$L$2)</f>
        <v>3.6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52"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61" t="s">
        <v>1209</v>
      </c>
      <c r="H2" s="1761"/>
      <c r="I2" s="1761"/>
      <c r="J2" s="1761"/>
      <c r="K2" s="1761"/>
      <c r="L2" s="1761"/>
      <c r="N2" s="1762" t="s">
        <v>1210</v>
      </c>
      <c r="O2" s="1762"/>
      <c r="P2" s="1762"/>
      <c r="Q2" s="1762"/>
      <c r="S2" s="1762" t="s">
        <v>1211</v>
      </c>
      <c r="T2" s="1762"/>
      <c r="U2" s="1762"/>
      <c r="V2" s="1762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63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63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63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64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65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63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63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64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65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63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63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66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67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63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63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66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67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63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63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774" customFormat="1">
      <c r="A38" s="1780" t="s">
        <v>1246</v>
      </c>
      <c r="B38" s="1771">
        <f t="shared" si="170"/>
        <v>307.34512863658733</v>
      </c>
      <c r="C38" s="1771">
        <f t="shared" si="170"/>
        <v>257.80556031626975</v>
      </c>
      <c r="D38" s="1771">
        <f t="shared" si="165"/>
        <v>257.80556031626975</v>
      </c>
      <c r="E38" s="1771">
        <f t="shared" si="171"/>
        <v>422.70928459677179</v>
      </c>
      <c r="F38" s="1771">
        <f t="shared" si="171"/>
        <v>229.73803270336617</v>
      </c>
      <c r="G38" s="1766"/>
      <c r="H38" s="1772">
        <v>1</v>
      </c>
      <c r="I38" s="1772">
        <v>2.97</v>
      </c>
      <c r="J38" s="1772">
        <v>2.34</v>
      </c>
      <c r="K38" s="1772">
        <v>3.28</v>
      </c>
      <c r="L38" s="1773">
        <v>1.36</v>
      </c>
      <c r="N38" s="1775">
        <f t="shared" si="167"/>
        <v>2.9700000000000001E-2</v>
      </c>
      <c r="O38" s="1776">
        <f t="shared" si="163"/>
        <v>2.3399999999999997E-2</v>
      </c>
      <c r="P38" s="1776">
        <f t="shared" si="163"/>
        <v>3.2799999999999996E-2</v>
      </c>
      <c r="Q38" s="1776">
        <f t="shared" si="163"/>
        <v>1.3600000000000001E-2</v>
      </c>
      <c r="R38" s="1777"/>
      <c r="S38" s="1778">
        <f>B38/B39-1</f>
        <v>2.7910129219355539E-2</v>
      </c>
      <c r="T38" s="1779">
        <f>C38/C39-1</f>
        <v>2.3037937762975247E-2</v>
      </c>
      <c r="U38" s="1779">
        <f>E38/E39-1</f>
        <v>3.3519033243940788E-2</v>
      </c>
      <c r="V38" s="1779">
        <f>F38/F39-1</f>
        <v>1.2061818076502862E-2</v>
      </c>
      <c r="AC38" s="1776"/>
      <c r="AD38" s="1776"/>
      <c r="AE38" s="1776"/>
      <c r="AF38" s="1776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68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69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69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0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67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63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63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66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67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63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63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66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67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63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63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66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67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63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63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66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67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63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63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66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67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63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63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66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67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63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63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66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67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63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63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66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67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63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63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66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67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63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63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66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67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63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63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66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30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18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204.54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38867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204.54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41" t="s">
        <v>190</v>
      </c>
      <c r="B2" s="1641"/>
      <c r="C2" s="1641"/>
      <c r="D2" s="1641"/>
      <c r="E2" s="1641"/>
      <c r="F2" s="1641"/>
      <c r="G2" s="1641"/>
      <c r="H2" s="1523"/>
      <c r="I2" s="1522"/>
      <c r="X2" s="1518"/>
      <c r="AG2" s="1519"/>
    </row>
    <row r="3" spans="1:33" ht="13.5">
      <c r="A3" s="1642" t="s">
        <v>191</v>
      </c>
      <c r="B3" s="1643"/>
      <c r="C3" s="1644"/>
      <c r="D3" s="1645" t="s">
        <v>192</v>
      </c>
      <c r="E3" s="1643"/>
      <c r="F3" s="1643"/>
      <c r="G3" s="1646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47" t="s">
        <v>193</v>
      </c>
      <c r="E4" s="1648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61" t="s">
        <v>196</v>
      </c>
      <c r="B5" s="1652">
        <f>主表!F5</f>
        <v>6088</v>
      </c>
      <c r="C5" s="1662" t="s">
        <v>197</v>
      </c>
      <c r="D5" s="1648" t="s">
        <v>198</v>
      </c>
      <c r="E5" s="1649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61"/>
      <c r="B6" s="1652"/>
      <c r="C6" s="1662"/>
      <c r="D6" s="1663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61"/>
      <c r="B7" s="1652"/>
      <c r="C7" s="1662"/>
      <c r="D7" s="1663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61"/>
      <c r="B8" s="1652"/>
      <c r="C8" s="1662"/>
      <c r="D8" s="1650" t="s">
        <v>204</v>
      </c>
      <c r="E8" s="1651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61"/>
      <c r="B9" s="1652"/>
      <c r="C9" s="1662"/>
      <c r="D9" s="1650" t="s">
        <v>205</v>
      </c>
      <c r="E9" s="1651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61"/>
      <c r="B10" s="1652"/>
      <c r="C10" s="1662"/>
      <c r="D10" s="1650" t="s">
        <v>206</v>
      </c>
      <c r="E10" s="1651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48" t="s">
        <v>207</v>
      </c>
      <c r="E11" s="1649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48" t="s">
        <v>208</v>
      </c>
      <c r="E12" s="1649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48" t="s">
        <v>209</v>
      </c>
      <c r="E13" s="1649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6088</v>
      </c>
      <c r="C14" s="1529" t="s">
        <v>211</v>
      </c>
      <c r="D14" s="1648" t="s">
        <v>210</v>
      </c>
      <c r="E14" s="1649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2">
        <f ca="1">主表!F24</f>
        <v>6088</v>
      </c>
      <c r="C15" s="1653"/>
      <c r="D15" s="1650" t="s">
        <v>213</v>
      </c>
      <c r="E15" s="1651"/>
      <c r="F15" s="1651"/>
      <c r="G15" s="1654"/>
      <c r="H15" s="1523"/>
      <c r="I15" s="1522"/>
      <c r="X15" s="1518"/>
      <c r="AG15" s="1519"/>
    </row>
    <row r="16" spans="1:33" ht="27">
      <c r="A16" s="1524" t="s">
        <v>214</v>
      </c>
      <c r="B16" s="1652">
        <f ca="1">主表!F25</f>
        <v>124.524</v>
      </c>
      <c r="C16" s="1653"/>
      <c r="D16" s="1650" t="s">
        <v>215</v>
      </c>
      <c r="E16" s="1651"/>
      <c r="F16" s="1651"/>
      <c r="G16" s="1654"/>
      <c r="H16" s="1532" t="str">
        <f ca="1">NUMBERSTRING(INT(B16*10000),2)&amp;"元整"</f>
        <v>壹佰贰拾肆万伍仟贰佰肆拾元整</v>
      </c>
      <c r="I16" s="1555"/>
      <c r="X16" s="1518"/>
      <c r="AG16" s="1519"/>
    </row>
    <row r="17" spans="1:33" ht="13.5">
      <c r="A17" s="1524" t="s">
        <v>216</v>
      </c>
      <c r="B17" s="1655">
        <f>主表!F33</f>
        <v>0</v>
      </c>
      <c r="C17" s="1653"/>
      <c r="D17" s="1650" t="s">
        <v>217</v>
      </c>
      <c r="E17" s="1651"/>
      <c r="F17" s="1651"/>
      <c r="G17" s="1654"/>
      <c r="H17" s="1523"/>
      <c r="I17" s="1522"/>
      <c r="X17" s="1518"/>
      <c r="AG17" s="1519"/>
    </row>
    <row r="18" spans="1:33" ht="27">
      <c r="A18" s="1524" t="s">
        <v>218</v>
      </c>
      <c r="B18" s="1652">
        <f ca="1">主表!F35</f>
        <v>0</v>
      </c>
      <c r="C18" s="1653"/>
      <c r="D18" s="1650" t="s">
        <v>219</v>
      </c>
      <c r="E18" s="1651"/>
      <c r="F18" s="1651"/>
      <c r="G18" s="1654"/>
      <c r="H18" s="1523"/>
      <c r="I18" s="1522"/>
      <c r="X18" s="1518"/>
      <c r="AG18" s="1519"/>
    </row>
    <row r="19" spans="1:33" ht="27">
      <c r="A19" s="1533" t="s">
        <v>220</v>
      </c>
      <c r="B19" s="1656">
        <f ca="1">主表!F36</f>
        <v>0</v>
      </c>
      <c r="C19" s="1657"/>
      <c r="D19" s="1658" t="s">
        <v>221</v>
      </c>
      <c r="E19" s="1659"/>
      <c r="F19" s="1659"/>
      <c r="G19" s="1660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17" sqref="B17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64" t="s">
        <v>231</v>
      </c>
      <c r="E2" s="1665"/>
      <c r="F2" s="1665"/>
      <c r="G2" s="1665"/>
      <c r="H2" s="1666"/>
      <c r="I2" s="1483"/>
      <c r="J2" s="1483"/>
      <c r="K2" s="1444"/>
      <c r="L2" s="1444"/>
      <c r="N2" s="1484" t="s">
        <v>232</v>
      </c>
      <c r="O2" s="1485">
        <f>SUMPRODUCT((N6:N12=B20)*(O5:Q5=B21)*(O6:Q12))</f>
        <v>60</v>
      </c>
    </row>
    <row r="3" spans="1:18" ht="15.75" customHeight="1">
      <c r="A3" s="1392" t="s">
        <v>233</v>
      </c>
      <c r="B3" s="1393">
        <v>38867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5</v>
      </c>
    </row>
    <row r="4" spans="1:18" ht="15.75" customHeight="1">
      <c r="A4" s="1397" t="s">
        <v>239</v>
      </c>
      <c r="B4" s="1393">
        <f>B3</f>
        <v>38867</v>
      </c>
      <c r="C4" s="1391"/>
      <c r="D4" s="1398" t="s">
        <v>240</v>
      </c>
      <c r="E4" s="1399" t="s">
        <v>191</v>
      </c>
      <c r="F4" s="1400">
        <f ca="1">F5+F8+F9+F10</f>
        <v>6088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6088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6088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204.54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75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64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64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0.98199999999999998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72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5.8499999999999996E-2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2001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6088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124.524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67" t="s">
        <v>296</v>
      </c>
      <c r="E26" s="1668"/>
      <c r="F26" s="1668"/>
      <c r="G26" s="1668"/>
      <c r="H26" s="1669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0.92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4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0.5</v>
      </c>
      <c r="H31" s="1467"/>
      <c r="I31" s="1674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</v>
      </c>
      <c r="H32" s="1467"/>
      <c r="I32" s="1674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67" t="s">
        <v>309</v>
      </c>
      <c r="E34" s="1668"/>
      <c r="F34" s="1668"/>
      <c r="G34" s="1668"/>
      <c r="H34" s="1669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70" t="s">
        <v>310</v>
      </c>
      <c r="H35" s="1671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2" t="s">
        <v>312</v>
      </c>
      <c r="H36" s="1673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I30:I32"/>
    <mergeCell ref="D2:H2"/>
    <mergeCell ref="D26:H26"/>
    <mergeCell ref="D34:H34"/>
    <mergeCell ref="G35:H35"/>
    <mergeCell ref="G36:H36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204.54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三级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0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81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81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81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81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0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82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82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83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0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75" t="s">
        <v>370</v>
      </c>
      <c r="E16" s="1676"/>
      <c r="F16" s="1675" t="s">
        <v>371</v>
      </c>
      <c r="G16" s="1677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84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30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38867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0.99490000000000001</v>
      </c>
      <c r="D20" s="1230" t="s">
        <v>387</v>
      </c>
      <c r="E20" s="1231">
        <f ca="1">INDIRECT("'存贷款利率'!e"&amp;存贷款利率!$K$4)/100</f>
        <v>5.8499999999999996E-2</v>
      </c>
      <c r="F20" s="1206" t="s">
        <v>278</v>
      </c>
      <c r="G20" s="1232">
        <f ca="1">SUMIF(P18:S18,E2,P20:S20)</f>
        <v>6.7000000000000004E-2</v>
      </c>
      <c r="H20" s="1233" t="s">
        <v>272</v>
      </c>
      <c r="I20" s="1328">
        <f>IF(H20="剩余土地使用年限",主表!B15,主表!B16)</f>
        <v>64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7.2999999999999995E-2</v>
      </c>
      <c r="Q20" s="1331">
        <f ca="1">ROUND($E$20*(1+Q19),3)</f>
        <v>7.0000000000000007E-2</v>
      </c>
      <c r="R20" s="1331">
        <f ca="1">ROUND($E$20*(1+R19),3)</f>
        <v>6.7000000000000004E-2</v>
      </c>
      <c r="S20" s="997">
        <f ca="1">ROUND($E$20*(1+S19),3)</f>
        <v>6.4000000000000001E-2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85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86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86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87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6.7000000000000004E-2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78" t="s">
        <v>449</v>
      </c>
      <c r="B91" s="1678"/>
      <c r="C91" s="1678"/>
      <c r="D91" s="1678"/>
      <c r="E91" s="1678"/>
      <c r="F91" s="1678"/>
      <c r="G91" s="1678"/>
      <c r="H91" s="1678"/>
      <c r="I91" s="1678"/>
      <c r="J91" s="1678"/>
      <c r="K91" s="1358"/>
      <c r="L91" s="1358"/>
      <c r="M91" s="1358"/>
      <c r="N91" s="1358"/>
    </row>
    <row r="92" spans="1:37">
      <c r="A92" s="1688" t="s">
        <v>376</v>
      </c>
      <c r="B92" s="1688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88"/>
      <c r="B93" s="1688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89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0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0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0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0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0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0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691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89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0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0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0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0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0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0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0"/>
      <c r="B109" s="1692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691"/>
      <c r="B110" s="1693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79" t="s">
        <v>457</v>
      </c>
      <c r="B111" s="1679"/>
      <c r="C111" s="1679"/>
      <c r="D111" s="1679"/>
      <c r="E111" s="1679"/>
      <c r="F111" s="1679"/>
      <c r="G111" s="1679"/>
      <c r="H111" s="1679"/>
      <c r="I111" s="1679"/>
      <c r="J111" s="1679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三级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694" t="s">
        <v>460</v>
      </c>
      <c r="B1" s="1694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694" t="s">
        <v>802</v>
      </c>
      <c r="B1" s="1694"/>
      <c r="C1" s="1694"/>
      <c r="D1" s="1694"/>
      <c r="E1" s="1694"/>
      <c r="F1" s="1694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695" t="s">
        <v>803</v>
      </c>
      <c r="B2" s="1695"/>
      <c r="C2" s="1695"/>
      <c r="D2" s="1695"/>
      <c r="E2" s="1695"/>
      <c r="F2" s="1695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696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697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2023-11-24T07:06:19Z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