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海淀区北洼西里颐安嘉园18号楼A单元5层502号住宅用房房地产市场价值\测算\"/>
    </mc:Choice>
  </mc:AlternateContent>
  <xr:revisionPtr revIDLastSave="0" documentId="13_ncr:1_{F70E6199-AA3E-41C8-96DB-5F5D947BA77C}" xr6:coauthVersionLast="47" xr6:coauthVersionMax="47" xr10:uidLastSave="{00000000-0000-0000-0000-000000000000}"/>
  <bookViews>
    <workbookView xWindow="-120" yWindow="-120" windowWidth="19440" windowHeight="1500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B65" i="66"/>
  <c r="W64" i="66" s="1"/>
  <c r="F64" i="66" s="1"/>
  <c r="AA65" i="66"/>
  <c r="V64" i="66" s="1"/>
  <c r="E64" i="66" s="1"/>
  <c r="V65" i="66"/>
  <c r="E65" i="66" s="1"/>
  <c r="O65" i="66" s="1"/>
  <c r="C65" i="66"/>
  <c r="AB63" i="66"/>
  <c r="AB62" i="66" s="1"/>
  <c r="W62" i="66" s="1"/>
  <c r="F62" i="66" s="1"/>
  <c r="AA63" i="66"/>
  <c r="AA62" i="66" s="1"/>
  <c r="V62" i="66" s="1"/>
  <c r="Z63" i="66"/>
  <c r="Y63" i="66"/>
  <c r="W63" i="66"/>
  <c r="V63" i="66"/>
  <c r="E63" i="66" s="1"/>
  <c r="U63" i="66"/>
  <c r="T63" i="66"/>
  <c r="F63" i="66"/>
  <c r="C63" i="66"/>
  <c r="B63" i="66"/>
  <c r="Z62" i="66"/>
  <c r="Z61" i="66" s="1"/>
  <c r="U61" i="66" s="1"/>
  <c r="Y62" i="66"/>
  <c r="U62" i="66"/>
  <c r="C62" i="66" s="1"/>
  <c r="D62" i="66" s="1"/>
  <c r="E62" i="66"/>
  <c r="AA61" i="66"/>
  <c r="C61" i="66"/>
  <c r="U60" i="66"/>
  <c r="C60" i="66" s="1"/>
  <c r="D60" i="66" s="1"/>
  <c r="F59" i="66"/>
  <c r="E59" i="66"/>
  <c r="C59" i="66"/>
  <c r="B59" i="66"/>
  <c r="F58" i="66"/>
  <c r="E58" i="66"/>
  <c r="D58" i="66"/>
  <c r="C58" i="66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D28" i="66"/>
  <c r="C28" i="66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D22" i="66"/>
  <c r="C22" i="66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I18" i="66"/>
  <c r="H18" i="66"/>
  <c r="F18" i="66"/>
  <c r="K18" i="66" s="1"/>
  <c r="E18" i="66"/>
  <c r="D18" i="66"/>
  <c r="C18" i="66"/>
  <c r="B18" i="66"/>
  <c r="G18" i="66" s="1"/>
  <c r="K17" i="66"/>
  <c r="H17" i="66"/>
  <c r="G17" i="66"/>
  <c r="F17" i="66"/>
  <c r="E17" i="66"/>
  <c r="J17" i="66" s="1"/>
  <c r="D17" i="66"/>
  <c r="C17" i="66"/>
  <c r="B17" i="66"/>
  <c r="J16" i="66"/>
  <c r="F16" i="66"/>
  <c r="E16" i="66"/>
  <c r="C16" i="66"/>
  <c r="H16" i="66" s="1"/>
  <c r="B16" i="66"/>
  <c r="H15" i="66"/>
  <c r="F15" i="66"/>
  <c r="E15" i="66"/>
  <c r="J15" i="66" s="1"/>
  <c r="D15" i="66"/>
  <c r="C15" i="66"/>
  <c r="B15" i="66"/>
  <c r="J14" i="66"/>
  <c r="F14" i="66"/>
  <c r="K4" i="66" s="1"/>
  <c r="E14" i="66"/>
  <c r="C14" i="66"/>
  <c r="H14" i="66" s="1"/>
  <c r="B14" i="66"/>
  <c r="H13" i="66"/>
  <c r="F13" i="66"/>
  <c r="E13" i="66"/>
  <c r="J13" i="66" s="1"/>
  <c r="D13" i="66"/>
  <c r="C13" i="66"/>
  <c r="B13" i="66"/>
  <c r="J12" i="66"/>
  <c r="F12" i="66"/>
  <c r="E12" i="66"/>
  <c r="C12" i="66"/>
  <c r="H12" i="66" s="1"/>
  <c r="B12" i="66"/>
  <c r="H11" i="66"/>
  <c r="F11" i="66"/>
  <c r="E11" i="66"/>
  <c r="J11" i="66" s="1"/>
  <c r="D11" i="66"/>
  <c r="C11" i="66"/>
  <c r="B11" i="66"/>
  <c r="J10" i="66"/>
  <c r="F10" i="66"/>
  <c r="E10" i="66"/>
  <c r="C10" i="66"/>
  <c r="H10" i="66" s="1"/>
  <c r="B10" i="66"/>
  <c r="H9" i="66"/>
  <c r="F9" i="66"/>
  <c r="E9" i="66"/>
  <c r="J9" i="66" s="1"/>
  <c r="D9" i="66"/>
  <c r="C9" i="66"/>
  <c r="H5" i="66" s="1"/>
  <c r="B9" i="66"/>
  <c r="J8" i="66"/>
  <c r="F8" i="66"/>
  <c r="E8" i="66"/>
  <c r="J7" i="66" s="1"/>
  <c r="C8" i="66"/>
  <c r="H8" i="66" s="1"/>
  <c r="B8" i="66"/>
  <c r="G4" i="66" s="1"/>
  <c r="H7" i="66"/>
  <c r="H6" i="66"/>
  <c r="J5" i="66"/>
  <c r="H2" i="66"/>
  <c r="N21" i="43" s="1"/>
  <c r="O1" i="66"/>
  <c r="J1" i="66"/>
  <c r="D87" i="67"/>
  <c r="F86" i="67"/>
  <c r="E86" i="67"/>
  <c r="E85" i="67" s="1"/>
  <c r="C86" i="67"/>
  <c r="D86" i="67" s="1"/>
  <c r="B86" i="67"/>
  <c r="F85" i="67"/>
  <c r="F84" i="67" s="1"/>
  <c r="D85" i="67"/>
  <c r="C85" i="67"/>
  <c r="B85" i="67"/>
  <c r="B84" i="67" s="1"/>
  <c r="E84" i="67"/>
  <c r="D84" i="67"/>
  <c r="C84" i="67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S78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S74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B66" i="67"/>
  <c r="B65" i="67" s="1"/>
  <c r="B64" i="67" s="1"/>
  <c r="O65" i="67"/>
  <c r="C65" i="67"/>
  <c r="C64" i="67" s="1"/>
  <c r="O63" i="67" s="1"/>
  <c r="D64" i="67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D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F58" i="67"/>
  <c r="V58" i="67" s="1"/>
  <c r="Q57" i="67"/>
  <c r="P57" i="67"/>
  <c r="O57" i="67"/>
  <c r="N57" i="67"/>
  <c r="Q56" i="67"/>
  <c r="P56" i="67"/>
  <c r="O56" i="67"/>
  <c r="N56" i="67"/>
  <c r="E56" i="67"/>
  <c r="E57" i="67" s="1"/>
  <c r="E58" i="67" s="1"/>
  <c r="U58" i="67" s="1"/>
  <c r="Q55" i="67"/>
  <c r="F56" i="67" s="1"/>
  <c r="F57" i="67" s="1"/>
  <c r="P55" i="67"/>
  <c r="O55" i="67"/>
  <c r="C56" i="67" s="1"/>
  <c r="C57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D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F50" i="67"/>
  <c r="V50" i="67" s="1"/>
  <c r="Q49" i="67"/>
  <c r="P49" i="67"/>
  <c r="O49" i="67"/>
  <c r="N49" i="67"/>
  <c r="Q48" i="67"/>
  <c r="P48" i="67"/>
  <c r="O48" i="67"/>
  <c r="N48" i="67"/>
  <c r="E48" i="67"/>
  <c r="E49" i="67" s="1"/>
  <c r="E50" i="67" s="1"/>
  <c r="U50" i="67" s="1"/>
  <c r="Q47" i="67"/>
  <c r="F48" i="67" s="1"/>
  <c r="F49" i="67" s="1"/>
  <c r="P47" i="67"/>
  <c r="O47" i="67"/>
  <c r="C48" i="67" s="1"/>
  <c r="C49" i="67" s="1"/>
  <c r="N47" i="67"/>
  <c r="B48" i="67" s="1"/>
  <c r="B49" i="67" s="1"/>
  <c r="B50" i="67" s="1"/>
  <c r="S50" i="67" s="1"/>
  <c r="D47" i="67"/>
  <c r="V46" i="67"/>
  <c r="T46" i="67"/>
  <c r="Q46" i="67"/>
  <c r="P46" i="67"/>
  <c r="O46" i="67"/>
  <c r="N46" i="67"/>
  <c r="F46" i="67"/>
  <c r="D46" i="67"/>
  <c r="Q45" i="67"/>
  <c r="P45" i="67"/>
  <c r="O45" i="67"/>
  <c r="N45" i="67"/>
  <c r="F45" i="67"/>
  <c r="Q44" i="67"/>
  <c r="P44" i="67"/>
  <c r="O44" i="67"/>
  <c r="N44" i="67"/>
  <c r="B45" i="67" s="1"/>
  <c r="B46" i="67" s="1"/>
  <c r="S46" i="67" s="1"/>
  <c r="F44" i="67"/>
  <c r="C44" i="67"/>
  <c r="D44" i="67" s="1"/>
  <c r="Q43" i="67"/>
  <c r="P43" i="67"/>
  <c r="E44" i="67" s="1"/>
  <c r="E45" i="67" s="1"/>
  <c r="E46" i="67" s="1"/>
  <c r="U46" i="67" s="1"/>
  <c r="O43" i="67"/>
  <c r="N43" i="67"/>
  <c r="B44" i="67" s="1"/>
  <c r="D43" i="67"/>
  <c r="V42" i="67"/>
  <c r="Q42" i="67"/>
  <c r="P42" i="67"/>
  <c r="O42" i="67"/>
  <c r="N42" i="67"/>
  <c r="F42" i="67"/>
  <c r="Q41" i="67"/>
  <c r="P41" i="67"/>
  <c r="O41" i="67"/>
  <c r="N41" i="67"/>
  <c r="F41" i="67"/>
  <c r="Q40" i="67"/>
  <c r="P40" i="67"/>
  <c r="O40" i="67"/>
  <c r="N40" i="67"/>
  <c r="B41" i="67" s="1"/>
  <c r="B42" i="67" s="1"/>
  <c r="S42" i="67" s="1"/>
  <c r="F40" i="67"/>
  <c r="C40" i="67"/>
  <c r="D40" i="67" s="1"/>
  <c r="Q39" i="67"/>
  <c r="P39" i="67"/>
  <c r="E40" i="67" s="1"/>
  <c r="E41" i="67" s="1"/>
  <c r="E42" i="67" s="1"/>
  <c r="U42" i="67" s="1"/>
  <c r="O39" i="67"/>
  <c r="N39" i="67"/>
  <c r="B40" i="67" s="1"/>
  <c r="D39" i="67"/>
  <c r="V38" i="67"/>
  <c r="Q38" i="67"/>
  <c r="P38" i="67"/>
  <c r="O38" i="67"/>
  <c r="N38" i="67"/>
  <c r="F38" i="67"/>
  <c r="Q37" i="67"/>
  <c r="P37" i="67"/>
  <c r="O37" i="67"/>
  <c r="N37" i="67"/>
  <c r="F37" i="67"/>
  <c r="Q36" i="67"/>
  <c r="P36" i="67"/>
  <c r="O36" i="67"/>
  <c r="N36" i="67"/>
  <c r="B37" i="67" s="1"/>
  <c r="B38" i="67" s="1"/>
  <c r="S38" i="67" s="1"/>
  <c r="F36" i="67"/>
  <c r="C36" i="67"/>
  <c r="D36" i="67" s="1"/>
  <c r="Q35" i="67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E34" i="67"/>
  <c r="U34" i="67" s="1"/>
  <c r="Q33" i="67"/>
  <c r="P33" i="67"/>
  <c r="O33" i="67"/>
  <c r="N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O31" i="67"/>
  <c r="C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7" i="67"/>
  <c r="U26" i="67"/>
  <c r="T26" i="67"/>
  <c r="Q26" i="67"/>
  <c r="P26" i="67"/>
  <c r="O26" i="67"/>
  <c r="C26" i="67" s="1"/>
  <c r="N26" i="67"/>
  <c r="F26" i="67"/>
  <c r="V26" i="67" s="1"/>
  <c r="E26" i="67"/>
  <c r="D26" i="67"/>
  <c r="B26" i="67"/>
  <c r="S26" i="67" s="1"/>
  <c r="Q25" i="67"/>
  <c r="P25" i="67"/>
  <c r="O25" i="67"/>
  <c r="N25" i="67"/>
  <c r="F25" i="67"/>
  <c r="E25" i="67"/>
  <c r="E24" i="67" s="1"/>
  <c r="C25" i="67"/>
  <c r="D25" i="67" s="1"/>
  <c r="B25" i="67"/>
  <c r="Q24" i="67"/>
  <c r="P24" i="67"/>
  <c r="O24" i="67"/>
  <c r="N24" i="67"/>
  <c r="F24" i="67"/>
  <c r="C24" i="67"/>
  <c r="D24" i="67" s="1"/>
  <c r="B24" i="67"/>
  <c r="Q23" i="67"/>
  <c r="P23" i="67"/>
  <c r="O23" i="67"/>
  <c r="N23" i="67"/>
  <c r="D23" i="67"/>
  <c r="U22" i="67"/>
  <c r="T22" i="67"/>
  <c r="Q22" i="67"/>
  <c r="P22" i="67"/>
  <c r="O22" i="67"/>
  <c r="C22" i="67" s="1"/>
  <c r="N22" i="67"/>
  <c r="F22" i="67"/>
  <c r="V22" i="67" s="1"/>
  <c r="E22" i="67"/>
  <c r="D22" i="67"/>
  <c r="B22" i="67"/>
  <c r="S22" i="67" s="1"/>
  <c r="Q21" i="67"/>
  <c r="P21" i="67"/>
  <c r="O21" i="67"/>
  <c r="N21" i="67"/>
  <c r="F21" i="67"/>
  <c r="E21" i="67"/>
  <c r="E20" i="67" s="1"/>
  <c r="C21" i="67"/>
  <c r="D21" i="67" s="1"/>
  <c r="B21" i="67"/>
  <c r="Q20" i="67"/>
  <c r="P20" i="67"/>
  <c r="O20" i="67"/>
  <c r="N20" i="67"/>
  <c r="F20" i="67"/>
  <c r="F19" i="67" s="1"/>
  <c r="F18" i="67" s="1"/>
  <c r="C20" i="67"/>
  <c r="D20" i="67" s="1"/>
  <c r="B20" i="67"/>
  <c r="Q19" i="67"/>
  <c r="P19" i="67"/>
  <c r="O19" i="67"/>
  <c r="N19" i="67"/>
  <c r="E19" i="67"/>
  <c r="E18" i="67" s="1"/>
  <c r="C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J1" i="65"/>
  <c r="E1" i="65"/>
  <c r="D1" i="65"/>
  <c r="C1" i="65"/>
  <c r="L1" i="65" s="1"/>
  <c r="F120" i="39"/>
  <c r="G120" i="39" s="1"/>
  <c r="E120" i="39"/>
  <c r="D120" i="39"/>
  <c r="A119" i="39"/>
  <c r="B117" i="39"/>
  <c r="B115" i="39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H110" i="39"/>
  <c r="I110" i="39" s="1"/>
  <c r="J110" i="39" s="1"/>
  <c r="K110" i="39" s="1"/>
  <c r="L110" i="39" s="1"/>
  <c r="M110" i="39" s="1"/>
  <c r="G110" i="39"/>
  <c r="F110" i="39"/>
  <c r="D110" i="39"/>
  <c r="E110" i="39" s="1"/>
  <c r="H108" i="39"/>
  <c r="I108" i="39" s="1"/>
  <c r="J108" i="39" s="1"/>
  <c r="K108" i="39" s="1"/>
  <c r="L108" i="39" s="1"/>
  <c r="M108" i="39" s="1"/>
  <c r="F108" i="39"/>
  <c r="G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E103" i="39"/>
  <c r="D103" i="39"/>
  <c r="A102" i="39"/>
  <c r="B100" i="39"/>
  <c r="B98" i="39"/>
  <c r="G97" i="39"/>
  <c r="H97" i="39" s="1"/>
  <c r="I97" i="39" s="1"/>
  <c r="J97" i="39" s="1"/>
  <c r="K97" i="39" s="1"/>
  <c r="L97" i="39" s="1"/>
  <c r="M97" i="39" s="1"/>
  <c r="F97" i="39"/>
  <c r="E97" i="39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G93" i="39"/>
  <c r="H93" i="39" s="1"/>
  <c r="I93" i="39" s="1"/>
  <c r="J93" i="39" s="1"/>
  <c r="K93" i="39" s="1"/>
  <c r="L93" i="39" s="1"/>
  <c r="M93" i="39" s="1"/>
  <c r="F93" i="39"/>
  <c r="E93" i="39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D71" i="39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J43" i="39"/>
  <c r="AC43" i="39" s="1"/>
  <c r="H43" i="39"/>
  <c r="AB43" i="39" s="1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AC38" i="39"/>
  <c r="W38" i="39"/>
  <c r="U38" i="39"/>
  <c r="Q38" i="39"/>
  <c r="Z38" i="39" s="1"/>
  <c r="J38" i="39"/>
  <c r="H38" i="39"/>
  <c r="AB38" i="39" s="1"/>
  <c r="F38" i="39"/>
  <c r="AA38" i="39" s="1"/>
  <c r="AA37" i="39"/>
  <c r="Q37" i="39"/>
  <c r="Z37" i="39" s="1"/>
  <c r="J37" i="39"/>
  <c r="W37" i="39" s="1"/>
  <c r="H37" i="39"/>
  <c r="U37" i="39" s="1"/>
  <c r="F37" i="39"/>
  <c r="S37" i="39" s="1"/>
  <c r="AB36" i="39"/>
  <c r="AA36" i="39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J12" i="39"/>
  <c r="AC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E20" i="64"/>
  <c r="C18" i="64"/>
  <c r="E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J53" i="63"/>
  <c r="I53" i="63" s="1"/>
  <c r="D53" i="63"/>
  <c r="B53" i="63"/>
  <c r="D52" i="63"/>
  <c r="B52" i="63"/>
  <c r="D51" i="63"/>
  <c r="B51" i="63"/>
  <c r="D48" i="63"/>
  <c r="B48" i="63"/>
  <c r="D47" i="63"/>
  <c r="F46" i="63"/>
  <c r="G46" i="63" s="1"/>
  <c r="D46" i="63"/>
  <c r="B46" i="63"/>
  <c r="F45" i="63"/>
  <c r="G45" i="63" s="1"/>
  <c r="D45" i="63"/>
  <c r="J44" i="63"/>
  <c r="I44" i="63" s="1"/>
  <c r="D44" i="63"/>
  <c r="B44" i="63"/>
  <c r="J43" i="63"/>
  <c r="I43" i="63" s="1"/>
  <c r="D43" i="63"/>
  <c r="B43" i="63"/>
  <c r="J42" i="63"/>
  <c r="I42" i="63" s="1"/>
  <c r="D42" i="63"/>
  <c r="B42" i="63"/>
  <c r="D21" i="63"/>
  <c r="D19" i="63"/>
  <c r="G12" i="63"/>
  <c r="G10" i="63"/>
  <c r="F9" i="63"/>
  <c r="D8" i="63"/>
  <c r="G3" i="63"/>
  <c r="E12" i="63" s="1"/>
  <c r="G2" i="63"/>
  <c r="L1" i="60" s="1"/>
  <c r="E2" i="63"/>
  <c r="J1" i="63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F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/>
  <c r="D84" i="43"/>
  <c r="B84" i="43"/>
  <c r="N83" i="43"/>
  <c r="M83" i="43"/>
  <c r="K83" i="43"/>
  <c r="J83" i="43"/>
  <c r="D83" i="43"/>
  <c r="B83" i="43"/>
  <c r="M82" i="43"/>
  <c r="N82" i="43" s="1"/>
  <c r="K82" i="43"/>
  <c r="J82" i="43" s="1"/>
  <c r="D82" i="43"/>
  <c r="E81" i="43" s="1"/>
  <c r="B79" i="43" s="1"/>
  <c r="B82" i="43"/>
  <c r="M81" i="43"/>
  <c r="N81" i="43" s="1"/>
  <c r="K81" i="43"/>
  <c r="J81" i="43" s="1"/>
  <c r="D81" i="43"/>
  <c r="B81" i="43"/>
  <c r="N78" i="43"/>
  <c r="M78" i="43"/>
  <c r="K78" i="43"/>
  <c r="J78" i="43"/>
  <c r="D78" i="43"/>
  <c r="M77" i="43"/>
  <c r="N77" i="43" s="1"/>
  <c r="K77" i="43"/>
  <c r="J77" i="43" s="1"/>
  <c r="D77" i="43"/>
  <c r="B77" i="43"/>
  <c r="N76" i="43"/>
  <c r="M76" i="43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N64" i="43"/>
  <c r="M64" i="43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N61" i="43"/>
  <c r="M61" i="43"/>
  <c r="K61" i="43"/>
  <c r="J61" i="43"/>
  <c r="D61" i="43"/>
  <c r="B61" i="43"/>
  <c r="M60" i="43"/>
  <c r="N60" i="43" s="1"/>
  <c r="K60" i="43"/>
  <c r="J60" i="43" s="1"/>
  <c r="D60" i="43"/>
  <c r="E59" i="43" s="1"/>
  <c r="B57" i="43" s="1"/>
  <c r="B60" i="43"/>
  <c r="M59" i="43"/>
  <c r="N59" i="43" s="1"/>
  <c r="K59" i="43"/>
  <c r="J59" i="43" s="1"/>
  <c r="D59" i="43"/>
  <c r="B59" i="43"/>
  <c r="N56" i="43"/>
  <c r="M56" i="43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N53" i="43"/>
  <c r="M53" i="43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N50" i="43"/>
  <c r="M50" i="43"/>
  <c r="K50" i="43"/>
  <c r="J50" i="43"/>
  <c r="D50" i="43"/>
  <c r="B50" i="43"/>
  <c r="M49" i="43"/>
  <c r="N49" i="43" s="1"/>
  <c r="K49" i="43"/>
  <c r="J49" i="43" s="1"/>
  <c r="D49" i="43"/>
  <c r="E48" i="43" s="1"/>
  <c r="B46" i="43" s="1"/>
  <c r="B49" i="43"/>
  <c r="M48" i="43"/>
  <c r="N48" i="43" s="1"/>
  <c r="K48" i="43"/>
  <c r="J48" i="43" s="1"/>
  <c r="D48" i="43"/>
  <c r="B48" i="43"/>
  <c r="H39" i="43"/>
  <c r="F39" i="43"/>
  <c r="H38" i="43"/>
  <c r="H37" i="43"/>
  <c r="F37" i="43"/>
  <c r="H36" i="43"/>
  <c r="H35" i="43"/>
  <c r="F35" i="43"/>
  <c r="H34" i="43"/>
  <c r="H33" i="43"/>
  <c r="J20" i="43"/>
  <c r="C18" i="43"/>
  <c r="N17" i="43"/>
  <c r="J17" i="43"/>
  <c r="I17" i="43"/>
  <c r="E17" i="43"/>
  <c r="A16" i="43"/>
  <c r="F15" i="43"/>
  <c r="E15" i="43"/>
  <c r="D15" i="43"/>
  <c r="C15" i="43"/>
  <c r="C12" i="43" s="1"/>
  <c r="A12" i="43"/>
  <c r="C10" i="43"/>
  <c r="C11" i="43" s="1"/>
  <c r="C9" i="43"/>
  <c r="N7" i="43"/>
  <c r="N6" i="43"/>
  <c r="M5" i="43"/>
  <c r="E5" i="43"/>
  <c r="N4" i="43"/>
  <c r="B4" i="43"/>
  <c r="M3" i="43"/>
  <c r="B3" i="43"/>
  <c r="M2" i="43"/>
  <c r="I2" i="43"/>
  <c r="H16" i="44" s="1"/>
  <c r="G2" i="43"/>
  <c r="L17" i="43" s="1"/>
  <c r="E2" i="43"/>
  <c r="F114" i="43" s="1"/>
  <c r="N1" i="43"/>
  <c r="D1" i="43"/>
  <c r="R33" i="59"/>
  <c r="Q33" i="59"/>
  <c r="P33" i="59"/>
  <c r="O33" i="59"/>
  <c r="G32" i="59"/>
  <c r="F32" i="59"/>
  <c r="G31" i="59"/>
  <c r="F31" i="59"/>
  <c r="G30" i="59"/>
  <c r="G29" i="59"/>
  <c r="I22" i="59"/>
  <c r="H21" i="59"/>
  <c r="F18" i="59"/>
  <c r="F16" i="59"/>
  <c r="F8" i="9" s="1"/>
  <c r="F13" i="59"/>
  <c r="F19" i="59" s="1"/>
  <c r="F10" i="9" s="1"/>
  <c r="H9" i="59"/>
  <c r="B8" i="59"/>
  <c r="G3" i="43" s="1"/>
  <c r="N102" i="43" s="1"/>
  <c r="H6" i="59"/>
  <c r="O4" i="59"/>
  <c r="B4" i="59"/>
  <c r="H19" i="43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14" i="68"/>
  <c r="B1" i="68" s="1"/>
  <c r="B8" i="68"/>
  <c r="D8" i="68" s="1"/>
  <c r="B7" i="68"/>
  <c r="D7" i="68" s="1"/>
  <c r="B6" i="68"/>
  <c r="B5" i="68"/>
  <c r="B3" i="68"/>
  <c r="B2" i="68"/>
  <c r="D6" i="68" s="1"/>
  <c r="G7" i="65"/>
  <c r="D4" i="65"/>
  <c r="F29" i="59" l="1"/>
  <c r="F28" i="59"/>
  <c r="C6" i="68"/>
  <c r="E42" i="63"/>
  <c r="B40" i="63" s="1"/>
  <c r="J52" i="63"/>
  <c r="I52" i="63" s="1"/>
  <c r="F55" i="63"/>
  <c r="G55" i="63" s="1"/>
  <c r="F65" i="63"/>
  <c r="G65" i="63" s="1"/>
  <c r="D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K2" i="65"/>
  <c r="C5" i="68"/>
  <c r="C8" i="68"/>
  <c r="F33" i="59"/>
  <c r="B17" i="9" s="1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D5" i="68"/>
  <c r="F12" i="59"/>
  <c r="B17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C28" i="64"/>
  <c r="H9" i="63"/>
  <c r="C7" i="39"/>
  <c r="C30" i="64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10" i="43"/>
  <c r="G110" i="43"/>
  <c r="C101" i="43"/>
  <c r="G101" i="43"/>
  <c r="K101" i="43"/>
  <c r="C102" i="43"/>
  <c r="G102" i="43"/>
  <c r="K102" i="43"/>
  <c r="D109" i="43"/>
  <c r="D110" i="43" s="1"/>
  <c r="H10" i="44"/>
  <c r="D18" i="63"/>
  <c r="D20" i="63"/>
  <c r="AB9" i="39"/>
  <c r="U9" i="39"/>
  <c r="AB12" i="39"/>
  <c r="U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H12" i="63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I13" i="66"/>
  <c r="G13" i="66"/>
  <c r="G14" i="66"/>
  <c r="V60" i="66"/>
  <c r="E60" i="66" s="1"/>
  <c r="V61" i="66"/>
  <c r="E61" i="66" s="1"/>
  <c r="O61" i="66" s="1"/>
  <c r="Y61" i="66"/>
  <c r="T62" i="66"/>
  <c r="B62" i="66" s="1"/>
  <c r="L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O17" i="66"/>
  <c r="O2" i="66" s="1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O26" i="66"/>
  <c r="D30" i="66"/>
  <c r="L63" i="66"/>
  <c r="T64" i="66"/>
  <c r="B64" i="66" s="1"/>
  <c r="L64" i="66" s="1"/>
  <c r="O64" i="66"/>
  <c r="O63" i="66"/>
  <c r="G7" i="66"/>
  <c r="G6" i="66"/>
  <c r="G8" i="66"/>
  <c r="G5" i="66"/>
  <c r="K13" i="66"/>
  <c r="K14" i="66"/>
  <c r="I15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O48" i="66"/>
  <c r="D61" i="66"/>
  <c r="AB61" i="66"/>
  <c r="U64" i="66"/>
  <c r="C64" i="66" s="1"/>
  <c r="M20" i="66" s="1"/>
  <c r="W65" i="66"/>
  <c r="F65" i="66" s="1"/>
  <c r="P65" i="66" s="1"/>
  <c r="U66" i="66"/>
  <c r="C66" i="66" s="1"/>
  <c r="D8" i="66"/>
  <c r="D10" i="66"/>
  <c r="I10" i="66" s="1"/>
  <c r="D12" i="66"/>
  <c r="I12" i="66" s="1"/>
  <c r="D14" i="66"/>
  <c r="D16" i="66"/>
  <c r="I16" i="66" s="1"/>
  <c r="D19" i="66"/>
  <c r="D21" i="66"/>
  <c r="D24" i="66"/>
  <c r="D25" i="66"/>
  <c r="M33" i="66"/>
  <c r="D33" i="66"/>
  <c r="D37" i="66"/>
  <c r="D41" i="66"/>
  <c r="D45" i="66"/>
  <c r="M49" i="66"/>
  <c r="D49" i="66"/>
  <c r="D53" i="66"/>
  <c r="D57" i="66"/>
  <c r="D27" i="66"/>
  <c r="O34" i="66"/>
  <c r="O50" i="66"/>
  <c r="O62" i="66"/>
  <c r="D63" i="66"/>
  <c r="P62" i="66"/>
  <c r="M65" i="66"/>
  <c r="D65" i="66"/>
  <c r="G2" i="65"/>
  <c r="D8" i="65"/>
  <c r="G5" i="65"/>
  <c r="D6" i="65"/>
  <c r="G4" i="65"/>
  <c r="G8" i="65"/>
  <c r="G6" i="65"/>
  <c r="D5" i="65"/>
  <c r="D7" i="65"/>
  <c r="K1" i="65" l="1"/>
  <c r="C7" i="63"/>
  <c r="K3" i="65"/>
  <c r="I1" i="65"/>
  <c r="K4" i="65"/>
  <c r="G9" i="59"/>
  <c r="C12" i="9" s="1"/>
  <c r="C29" i="63"/>
  <c r="N34" i="66"/>
  <c r="N18" i="66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M23" i="66"/>
  <c r="N59" i="66"/>
  <c r="M50" i="66"/>
  <c r="M34" i="66"/>
  <c r="O54" i="66"/>
  <c r="N57" i="66"/>
  <c r="N41" i="66"/>
  <c r="I8" i="66"/>
  <c r="I5" i="66"/>
  <c r="I4" i="66"/>
  <c r="I7" i="66"/>
  <c r="I6" i="66"/>
  <c r="O36" i="66"/>
  <c r="M59" i="66"/>
  <c r="M48" i="66"/>
  <c r="M43" i="66"/>
  <c r="M19" i="66"/>
  <c r="N30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E28" i="64"/>
  <c r="C27" i="64"/>
  <c r="E27" i="64" s="1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N36" i="66"/>
  <c r="N25" i="66"/>
  <c r="M52" i="66"/>
  <c r="N50" i="66"/>
  <c r="M47" i="66"/>
  <c r="M36" i="66"/>
  <c r="M21" i="66"/>
  <c r="P64" i="66"/>
  <c r="O38" i="66"/>
  <c r="N27" i="66"/>
  <c r="N26" i="66"/>
  <c r="M53" i="66"/>
  <c r="M37" i="66"/>
  <c r="M25" i="66"/>
  <c r="W60" i="66"/>
  <c r="F60" i="66" s="1"/>
  <c r="W61" i="66"/>
  <c r="F61" i="66" s="1"/>
  <c r="P61" i="66" s="1"/>
  <c r="O52" i="66"/>
  <c r="O28" i="66"/>
  <c r="N62" i="66"/>
  <c r="M46" i="66"/>
  <c r="N39" i="66"/>
  <c r="M32" i="66"/>
  <c r="O20" i="66"/>
  <c r="N17" i="66"/>
  <c r="N2" i="66" s="1"/>
  <c r="M26" i="66"/>
  <c r="I11" i="66"/>
  <c r="N65" i="66"/>
  <c r="M63" i="66"/>
  <c r="O58" i="66"/>
  <c r="O42" i="66"/>
  <c r="M27" i="66"/>
  <c r="M57" i="66"/>
  <c r="N44" i="66"/>
  <c r="M41" i="66"/>
  <c r="O30" i="66"/>
  <c r="I14" i="66"/>
  <c r="M66" i="66"/>
  <c r="D66" i="66"/>
  <c r="N66" i="66" s="1"/>
  <c r="O56" i="66"/>
  <c r="O40" i="66"/>
  <c r="M58" i="66"/>
  <c r="M55" i="66"/>
  <c r="N51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N52" i="66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E30" i="64"/>
  <c r="C29" i="64"/>
  <c r="E29" i="64" s="1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B18" i="59"/>
  <c r="J110" i="43"/>
  <c r="D13" i="63"/>
  <c r="O46" i="66"/>
  <c r="O24" i="66"/>
  <c r="N49" i="66"/>
  <c r="M45" i="66"/>
  <c r="N33" i="66"/>
  <c r="N32" i="66"/>
  <c r="N21" i="66"/>
  <c r="M61" i="66"/>
  <c r="O44" i="66"/>
  <c r="N23" i="66"/>
  <c r="M56" i="66"/>
  <c r="M54" i="66"/>
  <c r="N54" i="66"/>
  <c r="M51" i="66"/>
  <c r="N47" i="66"/>
  <c r="M40" i="66"/>
  <c r="M38" i="66"/>
  <c r="N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1" i="65"/>
  <c r="G21" i="59" l="1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E5" i="65"/>
  <c r="E8" i="65"/>
  <c r="H6" i="65"/>
  <c r="H8" i="65"/>
  <c r="E6" i="65"/>
  <c r="H4" i="65"/>
  <c r="E7" i="65"/>
  <c r="H5" i="65"/>
  <c r="E4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C22" i="64" s="1"/>
  <c r="B3" i="64" s="1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0" i="43" l="1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F6" i="59" s="1"/>
  <c r="F5" i="59" s="1"/>
  <c r="C35" i="43" l="1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E35" i="43"/>
  <c r="F8" i="59"/>
  <c r="B11" i="9" s="1"/>
  <c r="B5" i="9"/>
  <c r="G36" i="43"/>
  <c r="I36" i="43" s="1"/>
  <c r="G39" i="43"/>
  <c r="I39" i="43" s="1"/>
  <c r="E39" i="43"/>
  <c r="D13" i="67"/>
  <c r="C12" i="67"/>
  <c r="E38" i="43"/>
  <c r="G38" i="43"/>
  <c r="I38" i="43" s="1"/>
  <c r="G58" i="39"/>
  <c r="H56" i="39"/>
  <c r="E33" i="43" l="1"/>
  <c r="E34" i="43"/>
  <c r="C26" i="43" s="1"/>
  <c r="B2" i="43" s="1"/>
  <c r="G37" i="43"/>
  <c r="I37" i="43" s="1"/>
  <c r="C27" i="43" s="1"/>
  <c r="F10" i="59"/>
  <c r="B13" i="9" s="1"/>
  <c r="F9" i="59"/>
  <c r="B12" i="9" s="1"/>
  <c r="D12" i="67"/>
  <c r="C11" i="67"/>
  <c r="H58" i="39"/>
  <c r="I56" i="39"/>
  <c r="B14" i="9" l="1"/>
  <c r="F4" i="59"/>
  <c r="F24" i="59" s="1"/>
  <c r="F35" i="59" s="1"/>
  <c r="B18" i="9" s="1"/>
  <c r="C11" i="68" s="1"/>
  <c r="I58" i="39"/>
  <c r="J56" i="39"/>
  <c r="C10" i="67"/>
  <c r="D11" i="67"/>
  <c r="F25" i="59" l="1"/>
  <c r="F36" i="59" s="1"/>
  <c r="B19" i="9" s="1"/>
  <c r="B15" i="9"/>
  <c r="D10" i="67"/>
  <c r="C9" i="67"/>
  <c r="T10" i="67"/>
  <c r="J58" i="39"/>
  <c r="K56" i="39"/>
  <c r="B16" i="9" l="1"/>
  <c r="H16" i="9" s="1"/>
  <c r="D9" i="67"/>
  <c r="C8" i="67"/>
  <c r="K58" i="39"/>
  <c r="L56" i="39"/>
  <c r="B11" i="68"/>
  <c r="H19" i="9"/>
  <c r="L58" i="39" l="1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<sst xmlns="http://schemas.openxmlformats.org/spreadsheetml/2006/main" count="3959" uniqueCount="1305">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</sst>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9" fontId="19" fillId="2" borderId="2" xfId="0" applyNumberFormat="1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66" sqref="E66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204.54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5834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3660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1.6057999999999999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38867</v>
      </c>
      <c r="I9" s="1032">
        <f>ROUND(SUMPRODUCT((地价!A36:A86=YEAR(H9)&amp;"-"&amp;ROUNDUP(MONTH(H9)/3,0))*(地价!B3:F3=E2)*(地价!B36:F86)),0)</f>
        <v>167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0.98180000000000001</v>
      </c>
      <c r="D10" s="941" t="s">
        <v>278</v>
      </c>
      <c r="E10" s="942">
        <v>0.04</v>
      </c>
      <c r="F10" s="943"/>
      <c r="G10" s="944">
        <f>IF(F10="剩余土地使用年限",主表!B15,主表!B16)</f>
        <v>64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1</v>
      </c>
      <c r="E12" s="950">
        <f>ROUNDDOWN(G3,1)</f>
        <v>2</v>
      </c>
      <c r="F12" s="951">
        <f>IF(G3&lt;=10,SUMPRODUCT(('2002容积率修正'!A3:A102=E12)*('2002容积率修正'!B2:D2=E2)*('2002容积率修正'!B3:D102)),"——")</f>
        <v>1</v>
      </c>
      <c r="G12" s="952">
        <f>ROUNDUP(G3,1)</f>
        <v>2</v>
      </c>
      <c r="H12" s="692">
        <f>IF(G3&lt;=10,SUMPRODUCT(('2002容积率修正'!A3:A102=G12)*('2002容积率修正'!B2:D2=E2)*('2002容积率修正'!B3:D102)),"——")</f>
        <v>1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1</v>
      </c>
      <c r="E13" s="950">
        <f>ROUNDDOWN(G3,1)</f>
        <v>2</v>
      </c>
      <c r="F13" s="951">
        <f>IF(G3&lt;=10,SUMPRODUCT(('2002容积率修正'!A3:A102=E13)*('2002容积率修正'!E2:G2=E2)*('2002容积率修正'!E3:G102)),"——")</f>
        <v>0.85</v>
      </c>
      <c r="G13" s="952">
        <f>ROUNDUP(G3,1)</f>
        <v>2</v>
      </c>
      <c r="H13" s="692">
        <f>IF(G3&lt;=10,SUMPRODUCT(('2002容积率修正'!A3:A102=G13)*('2002容积率修正'!E2:G2=E2)*('2002容积率修正'!E3:G102)),"——")</f>
        <v>0.85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1.0109999999999999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5834</v>
      </c>
      <c r="D18" s="736">
        <f>H1</f>
        <v>204.54</v>
      </c>
      <c r="E18" s="737">
        <f>ROUND(C18*D18,0)</f>
        <v>1193286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11667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204.54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18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4.4999999999999998E-2</v>
      </c>
      <c r="G42" s="1014">
        <f>F42/2</f>
        <v>2.2499999999999999E-2</v>
      </c>
      <c r="H42" s="1015">
        <v>0</v>
      </c>
      <c r="I42" s="1014">
        <f>J42/2</f>
        <v>-2.2499999999999999E-2</v>
      </c>
      <c r="J42" s="1014">
        <f>SUMPRODUCT(('2002因素修正幅度'!$A$66:$A$72=A42)*('2002因素修正幅度'!$B$35:$K$35=$G$2)*('2002因素修正幅度'!$B$66:$K$72))</f>
        <v>-4.4999999999999998E-2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2.2499999999999999E-2</v>
      </c>
      <c r="G43" s="1014">
        <f t="shared" ref="G43:G48" si="2">F43/2</f>
        <v>1.125E-2</v>
      </c>
      <c r="H43" s="1015">
        <v>0</v>
      </c>
      <c r="I43" s="1014">
        <f t="shared" ref="I43:I48" si="3">J43/2</f>
        <v>-1.125E-2</v>
      </c>
      <c r="J43" s="1014">
        <f>SUMPRODUCT(('2002因素修正幅度'!$A$66:$A$72=A43)*('2002因素修正幅度'!$B$35:$K$35=$G$2)*('2002因素修正幅度'!$B$66:$K$72))</f>
        <v>-2.2499999999999999E-2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1.4999999999999999E-2</v>
      </c>
      <c r="G44" s="1014">
        <f t="shared" si="2"/>
        <v>7.4999999999999997E-3</v>
      </c>
      <c r="H44" s="1015">
        <v>0</v>
      </c>
      <c r="I44" s="1014">
        <f t="shared" si="3"/>
        <v>-7.4999999999999997E-3</v>
      </c>
      <c r="J44" s="1014">
        <f>SUMPRODUCT(('2002因素修正幅度'!$A$66:$A$72=A44)*('2002因素修正幅度'!$B$35:$K$35=$G$2)*('2002因素修正幅度'!$B$66:$K$72))</f>
        <v>-1.4999999999999999E-2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0.03</v>
      </c>
      <c r="G45" s="1014">
        <f t="shared" si="2"/>
        <v>1.4999999999999999E-2</v>
      </c>
      <c r="H45" s="1015">
        <v>0</v>
      </c>
      <c r="I45" s="1014">
        <f t="shared" si="3"/>
        <v>-1.4999999999999999E-2</v>
      </c>
      <c r="J45" s="1014">
        <f>SUMPRODUCT(('2002因素修正幅度'!$A$66:$A$72=A45)*('2002因素修正幅度'!$B$35:$K$35=$G$2)*('2002因素修正幅度'!$B$66:$K$72))</f>
        <v>-0.03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1.4999999999999999E-2</v>
      </c>
      <c r="G46" s="1014">
        <f t="shared" si="2"/>
        <v>7.4999999999999997E-3</v>
      </c>
      <c r="H46" s="1015">
        <v>0</v>
      </c>
      <c r="I46" s="1014">
        <f t="shared" si="3"/>
        <v>-7.4999999999999997E-3</v>
      </c>
      <c r="J46" s="1014">
        <f>SUMPRODUCT(('2002因素修正幅度'!$A$66:$A$72=A46)*('2002因素修正幅度'!$B$35:$K$35=$G$2)*('2002因素修正幅度'!$B$66:$K$72))</f>
        <v>-1.4999999999999999E-2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1.2E-2</v>
      </c>
      <c r="G47" s="1014">
        <f t="shared" si="2"/>
        <v>6.0000000000000001E-3</v>
      </c>
      <c r="H47" s="1015">
        <v>0</v>
      </c>
      <c r="I47" s="1014">
        <f t="shared" si="3"/>
        <v>-6.0000000000000001E-3</v>
      </c>
      <c r="J47" s="1014">
        <f>SUMPRODUCT(('2002因素修正幅度'!$A$66:$A$72=A47)*('2002因素修正幅度'!$B$35:$K$35=$G$2)*('2002因素修正幅度'!$B$66:$K$72))</f>
        <v>-1.2E-2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1.0500000000000001E-2</v>
      </c>
      <c r="G48" s="1014">
        <f t="shared" si="2"/>
        <v>5.2500000000000003E-3</v>
      </c>
      <c r="H48" s="1015">
        <v>0</v>
      </c>
      <c r="I48" s="1014">
        <f t="shared" si="3"/>
        <v>-5.2500000000000003E-3</v>
      </c>
      <c r="J48" s="1014">
        <f>SUMPRODUCT(('2002因素修正幅度'!$A$66:$A$72=A48)*('2002因素修正幅度'!$B$35:$K$35=$G$2)*('2002因素修正幅度'!$B$66:$K$72))</f>
        <v>-1.0500000000000001E-2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0.03</v>
      </c>
      <c r="G51" s="1014">
        <f>F51/2</f>
        <v>1.4999999999999999E-2</v>
      </c>
      <c r="H51" s="1015">
        <v>0</v>
      </c>
      <c r="I51" s="1014">
        <f>J51/2</f>
        <v>-1.4999999999999999E-2</v>
      </c>
      <c r="J51" s="1014">
        <f>SUMPRODUCT(('2002因素修正幅度'!$A$73:$A$79=A51)*('2002因素修正幅度'!$B$35:$K$35=$G$2)*('2002因素修正幅度'!$B$73:$K$79))</f>
        <v>-0.03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3.7499999999999999E-2</v>
      </c>
      <c r="G52" s="1014">
        <f t="shared" ref="G52:G57" si="5">F52/2</f>
        <v>1.8749999999999999E-2</v>
      </c>
      <c r="H52" s="1015">
        <v>0</v>
      </c>
      <c r="I52" s="1014">
        <f t="shared" ref="I52:I57" si="6">J52/2</f>
        <v>-1.8749999999999999E-2</v>
      </c>
      <c r="J52" s="1014">
        <f>SUMPRODUCT(('2002因素修正幅度'!$A$73:$A$79=A52)*('2002因素修正幅度'!$B$35:$K$35=$G$2)*('2002因素修正幅度'!$B$73:$K$79))</f>
        <v>-3.7499999999999999E-2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1.4999999999999999E-2</v>
      </c>
      <c r="G53" s="1014">
        <f t="shared" si="5"/>
        <v>7.4999999999999997E-3</v>
      </c>
      <c r="H53" s="1015">
        <v>0</v>
      </c>
      <c r="I53" s="1014">
        <f t="shared" si="6"/>
        <v>-7.4999999999999997E-3</v>
      </c>
      <c r="J53" s="1014">
        <f>SUMPRODUCT(('2002因素修正幅度'!$A$73:$A$79=A53)*('2002因素修正幅度'!$B$35:$K$35=$G$2)*('2002因素修正幅度'!$B$73:$K$79))</f>
        <v>-1.4999999999999999E-2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1.4999999999999999E-2</v>
      </c>
      <c r="G54" s="1014">
        <f t="shared" si="5"/>
        <v>7.4999999999999997E-3</v>
      </c>
      <c r="H54" s="1015">
        <v>0</v>
      </c>
      <c r="I54" s="1014">
        <f t="shared" si="6"/>
        <v>-7.4999999999999997E-3</v>
      </c>
      <c r="J54" s="1014">
        <f>SUMPRODUCT(('2002因素修正幅度'!$A$73:$A$79=A54)*('2002因素修正幅度'!$B$35:$K$35=$G$2)*('2002因素修正幅度'!$B$73:$K$79))</f>
        <v>-1.4999999999999999E-2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2.2499999999999999E-2</v>
      </c>
      <c r="G55" s="1014">
        <f t="shared" si="5"/>
        <v>1.125E-2</v>
      </c>
      <c r="H55" s="1015">
        <v>0</v>
      </c>
      <c r="I55" s="1014">
        <f t="shared" si="6"/>
        <v>-1.125E-2</v>
      </c>
      <c r="J55" s="1014">
        <f>SUMPRODUCT(('2002因素修正幅度'!$A$73:$A$79=A55)*('2002因素修正幅度'!$B$35:$K$35=$G$2)*('2002因素修正幅度'!$B$73:$K$79))</f>
        <v>-2.2499999999999999E-2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1.2E-2</v>
      </c>
      <c r="G56" s="1014">
        <f t="shared" si="5"/>
        <v>6.0000000000000001E-3</v>
      </c>
      <c r="H56" s="1015">
        <v>0</v>
      </c>
      <c r="I56" s="1014">
        <f t="shared" si="6"/>
        <v>-6.0000000000000001E-3</v>
      </c>
      <c r="J56" s="1014">
        <f>SUMPRODUCT(('2002因素修正幅度'!$A$73:$A$79=A56)*('2002因素修正幅度'!$B$35:$K$35=$G$2)*('2002因素修正幅度'!$B$73:$K$79))</f>
        <v>-1.2E-2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1.7999999999999999E-2</v>
      </c>
      <c r="G57" s="1014">
        <f t="shared" si="5"/>
        <v>8.9999999999999993E-3</v>
      </c>
      <c r="H57" s="1015">
        <v>0</v>
      </c>
      <c r="I57" s="1014">
        <f t="shared" si="6"/>
        <v>-8.9999999999999993E-3</v>
      </c>
      <c r="J57" s="1014">
        <f>SUMPRODUCT(('2002因素修正幅度'!$A$73:$A$79=A57)*('2002因素修正幅度'!$B$35:$K$35=$G$2)*('2002因素修正幅度'!$B$73:$K$79))</f>
        <v>-1.7999999999999999E-2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1.0109999999999999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1.2500000000000001E-2</v>
      </c>
      <c r="E60" s="1013">
        <f>SUM(D60:D67)</f>
        <v>1.1000000000000003E-2</v>
      </c>
      <c r="F60" s="1014">
        <f>SUMPRODUCT(('2002因素修正幅度'!$A$50:$A$57=A60)*('2002因素修正幅度'!$B$35:$K$35=$G$2)*('2002因素修正幅度'!$B$50:$K$57))</f>
        <v>2.5000000000000001E-2</v>
      </c>
      <c r="G60" s="1014">
        <f>F60/2</f>
        <v>1.2500000000000001E-2</v>
      </c>
      <c r="H60" s="1015">
        <v>0</v>
      </c>
      <c r="I60" s="1014">
        <f>J60/2</f>
        <v>-7.4999999999999997E-3</v>
      </c>
      <c r="J60" s="1014">
        <f>SUMPRODUCT(('2002因素修正幅度'!$A$80:$A$87=A60)*('2002因素修正幅度'!$B$35:$K$35=$G$2)*('2002因素修正幅度'!$B$80:$K$87))</f>
        <v>-1.4999999999999999E-2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0.05</v>
      </c>
      <c r="G61" s="1014">
        <f t="shared" ref="G61:G67" si="8">F61/2</f>
        <v>2.5000000000000001E-2</v>
      </c>
      <c r="H61" s="1015">
        <v>0</v>
      </c>
      <c r="I61" s="1014">
        <f t="shared" ref="I61:I67" si="9">J61/2</f>
        <v>-1.4999999999999999E-2</v>
      </c>
      <c r="J61" s="1014">
        <f>SUMPRODUCT(('2002因素修正幅度'!$A$80:$A$87=A61)*('2002因素修正幅度'!$B$35:$K$35=$G$2)*('2002因素修正幅度'!$B$80:$K$87))</f>
        <v>-0.03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1.2500000000000001E-2</v>
      </c>
      <c r="E62" s="1025"/>
      <c r="F62" s="1014">
        <f>SUMPRODUCT(('2002因素修正幅度'!$A$50:$A$57=A62)*('2002因素修正幅度'!$B$35:$K$35=$G$2)*('2002因素修正幅度'!$B$50:$K$57))</f>
        <v>2.5000000000000001E-2</v>
      </c>
      <c r="G62" s="1014">
        <f t="shared" si="8"/>
        <v>1.2500000000000001E-2</v>
      </c>
      <c r="H62" s="1015">
        <v>0</v>
      </c>
      <c r="I62" s="1014">
        <f t="shared" si="9"/>
        <v>-7.4999999999999997E-3</v>
      </c>
      <c r="J62" s="1014">
        <f>SUMPRODUCT(('2002因素修正幅度'!$A$80:$A$87=A62)*('2002因素修正幅度'!$B$35:$K$35=$G$2)*('2002因素修正幅度'!$B$80:$K$87))</f>
        <v>-1.4999999999999999E-2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-7.4999999999999997E-3</v>
      </c>
      <c r="E63" s="1025"/>
      <c r="F63" s="1014">
        <f>SUMPRODUCT(('2002因素修正幅度'!$A$50:$A$57=A63)*('2002因素修正幅度'!$B$35:$K$35=$G$2)*('2002因素修正幅度'!$B$50:$K$57))</f>
        <v>2.5000000000000001E-2</v>
      </c>
      <c r="G63" s="1014">
        <f t="shared" si="8"/>
        <v>1.2500000000000001E-2</v>
      </c>
      <c r="H63" s="1015">
        <v>0</v>
      </c>
      <c r="I63" s="1014">
        <f t="shared" si="9"/>
        <v>-7.4999999999999997E-3</v>
      </c>
      <c r="J63" s="1014">
        <f>SUMPRODUCT(('2002因素修正幅度'!$A$80:$A$87=A63)*('2002因素修正幅度'!$B$35:$K$35=$G$2)*('2002因素修正幅度'!$B$80:$K$87))</f>
        <v>-1.4999999999999999E-2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0.01</v>
      </c>
      <c r="E64" s="1025"/>
      <c r="F64" s="1014">
        <f>SUMPRODUCT(('2002因素修正幅度'!$A$50:$A$57=A64)*('2002因素修正幅度'!$B$35:$K$35=$G$2)*('2002因素修正幅度'!$B$50:$K$57))</f>
        <v>0.02</v>
      </c>
      <c r="G64" s="1014">
        <f t="shared" si="8"/>
        <v>0.01</v>
      </c>
      <c r="H64" s="1015">
        <v>0</v>
      </c>
      <c r="I64" s="1014">
        <f t="shared" si="9"/>
        <v>-6.0000000000000001E-3</v>
      </c>
      <c r="J64" s="1014">
        <f>SUMPRODUCT(('2002因素修正幅度'!$A$80:$A$87=A64)*('2002因素修正幅度'!$B$35:$K$35=$G$2)*('2002因素修正幅度'!$B$80:$K$87))</f>
        <v>-1.2E-2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7"/>
        <v>-8.9999999999999993E-3</v>
      </c>
      <c r="E65" s="1025"/>
      <c r="F65" s="1014">
        <f>SUMPRODUCT(('2002因素修正幅度'!$A$50:$A$57=A65)*('2002因素修正幅度'!$B$35:$K$35=$G$2)*('2002因素修正幅度'!$B$50:$K$57))</f>
        <v>0.03</v>
      </c>
      <c r="G65" s="1014">
        <f t="shared" si="8"/>
        <v>1.4999999999999999E-2</v>
      </c>
      <c r="H65" s="1015">
        <v>0</v>
      </c>
      <c r="I65" s="1014">
        <f t="shared" si="9"/>
        <v>-8.9999999999999993E-3</v>
      </c>
      <c r="J65" s="1014">
        <f>SUMPRODUCT(('2002因素修正幅度'!$A$80:$A$87=A65)*('2002因素修正幅度'!$B$35:$K$35=$G$2)*('2002因素修正幅度'!$B$80:$K$87))</f>
        <v>-1.7999999999999999E-2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0.05</v>
      </c>
      <c r="G66" s="1014">
        <f t="shared" si="8"/>
        <v>2.5000000000000001E-2</v>
      </c>
      <c r="H66" s="1015">
        <v>0</v>
      </c>
      <c r="I66" s="1014">
        <f t="shared" si="9"/>
        <v>-1.4999999999999999E-2</v>
      </c>
      <c r="J66" s="1014">
        <f>SUMPRODUCT(('2002因素修正幅度'!$A$80:$A$87=A66)*('2002因素修正幅度'!$B$35:$K$35=$G$2)*('2002因素修正幅度'!$B$80:$K$87))</f>
        <v>-0.03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7"/>
        <v>-7.4999999999999997E-3</v>
      </c>
      <c r="E67" s="1053"/>
      <c r="F67" s="1014">
        <f>SUMPRODUCT(('2002因素修正幅度'!$A$50:$A$57=A67)*('2002因素修正幅度'!$B$35:$K$35=$G$2)*('2002因素修正幅度'!$B$50:$K$57))</f>
        <v>2.5000000000000001E-2</v>
      </c>
      <c r="G67" s="1014">
        <f t="shared" si="8"/>
        <v>1.2500000000000001E-2</v>
      </c>
      <c r="H67" s="1015">
        <v>0</v>
      </c>
      <c r="I67" s="1014">
        <f t="shared" si="9"/>
        <v>-7.4999999999999997E-3</v>
      </c>
      <c r="J67" s="1014">
        <f>SUMPRODUCT(('2002因素修正幅度'!$A$80:$A$87=A67)*('2002因素修正幅度'!$B$35:$K$35=$G$2)*('2002因素修正幅度'!$B$80:$K$87))</f>
        <v>-1.4999999999999999E-2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0.04</v>
      </c>
      <c r="G70" s="1014">
        <f t="shared" ref="G70:G76" si="11">F70/2</f>
        <v>0.02</v>
      </c>
      <c r="H70" s="1015">
        <v>0</v>
      </c>
      <c r="I70" s="1014">
        <f t="shared" ref="I70:I76" si="12">J70/2</f>
        <v>-0.02</v>
      </c>
      <c r="J70" s="1014">
        <f>SUMPRODUCT(('2002因素修正幅度'!$A$88:$A$94=A70)*('2002因素修正幅度'!$B$35:$K$35=$G$2)*('2002因素修正幅度'!$B$88:$K$94))</f>
        <v>-0.04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6.4000000000000001E-2</v>
      </c>
      <c r="G71" s="1014">
        <f t="shared" si="11"/>
        <v>3.2000000000000001E-2</v>
      </c>
      <c r="H71" s="1015">
        <v>0</v>
      </c>
      <c r="I71" s="1014">
        <f t="shared" si="12"/>
        <v>-3.2000000000000001E-2</v>
      </c>
      <c r="J71" s="1014">
        <f>SUMPRODUCT(('2002因素修正幅度'!$A$88:$A$94=A71)*('2002因素修正幅度'!$B$35:$K$35=$G$2)*('2002因素修正幅度'!$B$88:$K$94))</f>
        <v>-6.4000000000000001E-2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0.02</v>
      </c>
      <c r="G72" s="1014">
        <f t="shared" si="11"/>
        <v>0.01</v>
      </c>
      <c r="H72" s="1015">
        <v>0</v>
      </c>
      <c r="I72" s="1014">
        <f t="shared" si="12"/>
        <v>-0.01</v>
      </c>
      <c r="J72" s="1014">
        <f>SUMPRODUCT(('2002因素修正幅度'!$A$88:$A$94=A72)*('2002因素修正幅度'!$B$35:$K$35=$G$2)*('2002因素修正幅度'!$B$88:$K$94))</f>
        <v>-0.02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1.6E-2</v>
      </c>
      <c r="G73" s="1014">
        <f t="shared" si="11"/>
        <v>8.0000000000000002E-3</v>
      </c>
      <c r="H73" s="1015">
        <v>0</v>
      </c>
      <c r="I73" s="1014">
        <f t="shared" si="12"/>
        <v>-8.0000000000000002E-3</v>
      </c>
      <c r="J73" s="1014">
        <f>SUMPRODUCT(('2002因素修正幅度'!$A$88:$A$94=A73)*('2002因素修正幅度'!$B$35:$K$35=$G$2)*('2002因素修正幅度'!$B$88:$K$94))</f>
        <v>-1.6E-2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2.4E-2</v>
      </c>
      <c r="G74" s="1014">
        <f t="shared" si="11"/>
        <v>1.2E-2</v>
      </c>
      <c r="H74" s="1015">
        <v>0</v>
      </c>
      <c r="I74" s="1014">
        <f t="shared" si="12"/>
        <v>-1.2E-2</v>
      </c>
      <c r="J74" s="1014">
        <f>SUMPRODUCT(('2002因素修正幅度'!$A$88:$A$94=A74)*('2002因素修正幅度'!$B$35:$K$35=$G$2)*('2002因素修正幅度'!$B$88:$K$94))</f>
        <v>-2.4E-2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0.02</v>
      </c>
      <c r="G75" s="1014">
        <f t="shared" si="11"/>
        <v>0.01</v>
      </c>
      <c r="H75" s="1015">
        <v>0</v>
      </c>
      <c r="I75" s="1014">
        <f t="shared" si="12"/>
        <v>-0.01</v>
      </c>
      <c r="J75" s="1014">
        <f>SUMPRODUCT(('2002因素修正幅度'!$A$88:$A$94=A75)*('2002因素修正幅度'!$B$35:$K$35=$G$2)*('2002因素修正幅度'!$B$88:$K$94))</f>
        <v>-0.02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1.6E-2</v>
      </c>
      <c r="G76" s="1014">
        <f t="shared" si="11"/>
        <v>8.0000000000000002E-3</v>
      </c>
      <c r="H76" s="1015">
        <v>0</v>
      </c>
      <c r="I76" s="1014">
        <f t="shared" si="12"/>
        <v>-8.0000000000000002E-3</v>
      </c>
      <c r="J76" s="1014">
        <f>SUMPRODUCT(('2002因素修正幅度'!$A$88:$A$94=A76)*('2002因素修正幅度'!$B$35:$K$35=$G$2)*('2002因素修正幅度'!$B$88:$K$94))</f>
        <v>-1.6E-2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0.97419999999999995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0.81740000000000002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0.95140000000000002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0.97419999999999995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0.70750000000000002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三级</v>
      </c>
      <c r="M1" s="872">
        <f>SUMPRODUCT((K3:K12=L1)*(L2:O2=K1)*(L3:O12))</f>
        <v>3660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16"/>
      <c r="E3" s="1720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/>
      <c r="C6" s="657"/>
      <c r="D6" s="1715" t="s">
        <v>1065</v>
      </c>
      <c r="E6" s="1719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三类</v>
      </c>
      <c r="C7" s="657"/>
      <c r="D7" s="1716"/>
      <c r="E7" s="1720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17"/>
      <c r="E8" s="1721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204.54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18"/>
      <c r="E11" s="1722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0</v>
      </c>
      <c r="E14" s="683">
        <f>SUMPRODUCT((D35:M35=B7)*(B40:B43=B6)*(D40:M43))</f>
        <v>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0.98629999999999995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4.6350000000000002E-2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64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204.54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204.54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62" t="s">
        <v>1116</v>
      </c>
      <c r="D4" s="1763"/>
      <c r="E4" s="1764" t="s">
        <v>1117</v>
      </c>
      <c r="F4" s="1765"/>
      <c r="G4" s="1762" t="s">
        <v>1118</v>
      </c>
      <c r="H4" s="1763"/>
      <c r="I4" s="1762" t="s">
        <v>1119</v>
      </c>
      <c r="J4" s="1763"/>
      <c r="K4" s="438" t="s">
        <v>1120</v>
      </c>
      <c r="L4" s="439"/>
      <c r="M4" s="396"/>
      <c r="N4" s="396"/>
      <c r="O4" s="396"/>
      <c r="P4" s="1738" t="s">
        <v>1121</v>
      </c>
      <c r="Q4" s="1739"/>
      <c r="R4" s="1732" t="s">
        <v>1117</v>
      </c>
      <c r="S4" s="1733"/>
      <c r="T4" s="1732" t="s">
        <v>1118</v>
      </c>
      <c r="U4" s="1733"/>
      <c r="V4" s="1744" t="s">
        <v>1119</v>
      </c>
      <c r="W4" s="1744"/>
      <c r="X4" s="496"/>
      <c r="Y4" s="1732" t="s">
        <v>1121</v>
      </c>
      <c r="Z4" s="1733"/>
      <c r="AA4" s="1729" t="s">
        <v>1117</v>
      </c>
      <c r="AB4" s="1730" t="s">
        <v>1118</v>
      </c>
      <c r="AC4" s="1729" t="s">
        <v>1119</v>
      </c>
    </row>
    <row r="5" spans="1:29" ht="15">
      <c r="A5" s="275"/>
      <c r="B5" s="276"/>
      <c r="C5" s="1766" t="s">
        <v>1122</v>
      </c>
      <c r="D5" s="1767"/>
      <c r="E5" s="1768" t="s">
        <v>1123</v>
      </c>
      <c r="F5" s="1769"/>
      <c r="G5" s="1766" t="s">
        <v>1124</v>
      </c>
      <c r="H5" s="1767"/>
      <c r="I5" s="1766" t="s">
        <v>1125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1126</v>
      </c>
      <c r="D6" s="1758"/>
      <c r="E6" s="1759" t="s">
        <v>1126</v>
      </c>
      <c r="F6" s="1760"/>
      <c r="G6" s="1757" t="s">
        <v>1126</v>
      </c>
      <c r="H6" s="1758"/>
      <c r="I6" s="1757" t="s">
        <v>1126</v>
      </c>
      <c r="J6" s="1758"/>
      <c r="K6" s="438" t="s">
        <v>1127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1128</v>
      </c>
      <c r="B7" s="281"/>
      <c r="C7" s="282">
        <f>主表!B4</f>
        <v>38867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1129</v>
      </c>
      <c r="Q7" s="176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50" t="s">
        <v>1129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1133</v>
      </c>
      <c r="Q8" s="1751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50" t="s">
        <v>1133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6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三级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52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53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53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53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53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55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55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55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55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55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55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55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55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55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55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2006-5-1</v>
      </c>
      <c r="D56" s="408">
        <f>EDATE(C56,-3)</f>
        <v>38749</v>
      </c>
      <c r="E56" s="408">
        <f t="shared" ref="E56:O56" si="15">EDATE(D56,-3)</f>
        <v>38657</v>
      </c>
      <c r="F56" s="408">
        <f t="shared" si="15"/>
        <v>38565</v>
      </c>
      <c r="G56" s="408">
        <f t="shared" si="15"/>
        <v>38473</v>
      </c>
      <c r="H56" s="408">
        <f t="shared" si="15"/>
        <v>38384</v>
      </c>
      <c r="I56" s="408">
        <f t="shared" si="15"/>
        <v>38292</v>
      </c>
      <c r="J56" s="408">
        <f t="shared" si="15"/>
        <v>38200</v>
      </c>
      <c r="K56" s="408">
        <f t="shared" si="15"/>
        <v>38108</v>
      </c>
      <c r="L56" s="408">
        <f t="shared" si="15"/>
        <v>38018</v>
      </c>
      <c r="M56" s="408">
        <f t="shared" si="15"/>
        <v>37926</v>
      </c>
      <c r="N56" s="408">
        <f t="shared" si="15"/>
        <v>37834</v>
      </c>
      <c r="O56" s="408">
        <f t="shared" si="15"/>
        <v>37742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2006-2</v>
      </c>
      <c r="D58" s="415" t="str">
        <f t="shared" ref="D58:O58" si="16">YEAR(D56)&amp;"-"&amp;ROUNDUP(MONTH(D56)/3,0)</f>
        <v>2006-1</v>
      </c>
      <c r="E58" s="415" t="str">
        <f t="shared" si="16"/>
        <v>2005-4</v>
      </c>
      <c r="F58" s="415" t="str">
        <f t="shared" si="16"/>
        <v>2005-3</v>
      </c>
      <c r="G58" s="415" t="str">
        <f t="shared" si="16"/>
        <v>2005-2</v>
      </c>
      <c r="H58" s="415" t="str">
        <f t="shared" si="16"/>
        <v>2005-1</v>
      </c>
      <c r="I58" s="415" t="str">
        <f t="shared" si="16"/>
        <v>2004-4</v>
      </c>
      <c r="J58" s="415" t="str">
        <f t="shared" si="16"/>
        <v>2004-3</v>
      </c>
      <c r="K58" s="415" t="str">
        <f t="shared" si="16"/>
        <v>2004-2</v>
      </c>
      <c r="L58" s="415" t="str">
        <f t="shared" si="16"/>
        <v>2004-1</v>
      </c>
      <c r="M58" s="415" t="str">
        <f t="shared" si="16"/>
        <v>2003-4</v>
      </c>
      <c r="N58" s="415" t="str">
        <f t="shared" si="16"/>
        <v>2003-3</v>
      </c>
      <c r="O58" s="415" t="str">
        <f t="shared" si="16"/>
        <v>2003-2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38867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49</v>
      </c>
      <c r="K1" s="237">
        <f ca="1">MATCH(E1,C4:C8,1)+IF(SUMIF(C4:C8,E1,D4:D8)=0,3,2)</f>
        <v>5</v>
      </c>
      <c r="L1" s="237">
        <f>IF(C1&gt;M14,0,MATCH(C1,M$14:M$52,-1))+IF(SUMIF(M14:M52,C1,N14:N52)=0,14,13)</f>
        <v>39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38867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49</v>
      </c>
      <c r="K2" s="237">
        <f ca="1">MATCH(E2,C4:C8,1)+IF(SUMIF(C4:C8,E2,D4:D8)=0,3,2)</f>
        <v>3</v>
      </c>
      <c r="L2" s="237">
        <f>IF(C2&gt;M14,0,MATCH(C2,M$14:M$52,-1))+IF(SUMIF(M14:M52,C2,N14:N52)=0,14,13)</f>
        <v>39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6.0299999999999999E-2</v>
      </c>
      <c r="H3" s="203" t="s">
        <v>1183</v>
      </c>
      <c r="I3" s="204">
        <f ca="1">SUMIF(F4:F8,E3,H4:H8)/100</f>
        <v>3.2400000000000005E-2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5.4</v>
      </c>
      <c r="E4" s="207">
        <f ca="1">INDIRECT("d"&amp;$J$2)</f>
        <v>5.4</v>
      </c>
      <c r="F4" s="206">
        <v>0.5</v>
      </c>
      <c r="G4" s="208">
        <f ca="1">INDIRECT("p"&amp;$L$1)</f>
        <v>2.0699999999999998</v>
      </c>
      <c r="H4" s="208">
        <f ca="1">INDIRECT("p"&amp;$L$2)</f>
        <v>2.0699999999999998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6.03</v>
      </c>
      <c r="E6" s="211">
        <f ca="1">INDIRECT("f"&amp;$J$2)</f>
        <v>6.03</v>
      </c>
      <c r="F6" s="210">
        <v>2</v>
      </c>
      <c r="G6" s="195">
        <f ca="1">INDIRECT("r"&amp;$L$1)</f>
        <v>2.7</v>
      </c>
      <c r="H6" s="195">
        <f ca="1">INDIRECT("r"&amp;$L$2)</f>
        <v>2.7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6.12</v>
      </c>
      <c r="E7" s="211">
        <f ca="1">INDIRECT("g"&amp;$J$2)</f>
        <v>6.12</v>
      </c>
      <c r="F7" s="210">
        <v>3</v>
      </c>
      <c r="G7" s="195">
        <f ca="1">INDIRECT("s"&amp;$L$1)</f>
        <v>3.24</v>
      </c>
      <c r="H7" s="195">
        <f ca="1">INDIRECT("s"&amp;$L$2)</f>
        <v>3.24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6.39</v>
      </c>
      <c r="E8" s="211">
        <f ca="1">INDIRECT("h"&amp;$J$2)</f>
        <v>6.39</v>
      </c>
      <c r="F8" s="210">
        <v>5</v>
      </c>
      <c r="G8" s="195">
        <f ca="1">INDIRECT("t"&amp;$L$1)</f>
        <v>3.6</v>
      </c>
      <c r="H8" s="195">
        <f ca="1">INDIRECT("t"&amp;$L$2)</f>
        <v>3.6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52"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7" t="s">
        <v>1209</v>
      </c>
      <c r="H2" s="1777"/>
      <c r="I2" s="1777"/>
      <c r="J2" s="1777"/>
      <c r="K2" s="1777"/>
      <c r="L2" s="1777"/>
      <c r="N2" s="1778" t="s">
        <v>1210</v>
      </c>
      <c r="O2" s="1778"/>
      <c r="P2" s="1778"/>
      <c r="Q2" s="1778"/>
      <c r="S2" s="1778" t="s">
        <v>1211</v>
      </c>
      <c r="T2" s="1778"/>
      <c r="U2" s="1778"/>
      <c r="V2" s="1778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2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30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18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204.54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38867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204.54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3"/>
      <c r="I2" s="1522"/>
      <c r="X2" s="1518"/>
      <c r="AG2" s="1519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69" t="s">
        <v>193</v>
      </c>
      <c r="E4" s="1661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70" t="s">
        <v>196</v>
      </c>
      <c r="B5" s="1655">
        <f>主表!F5</f>
        <v>5834</v>
      </c>
      <c r="C5" s="1671" t="s">
        <v>197</v>
      </c>
      <c r="D5" s="1661" t="s">
        <v>198</v>
      </c>
      <c r="E5" s="1662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70"/>
      <c r="B6" s="1655"/>
      <c r="C6" s="1671"/>
      <c r="D6" s="167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70"/>
      <c r="B7" s="1655"/>
      <c r="C7" s="1671"/>
      <c r="D7" s="167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70"/>
      <c r="B8" s="1655"/>
      <c r="C8" s="1671"/>
      <c r="D8" s="1652" t="s">
        <v>204</v>
      </c>
      <c r="E8" s="1653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70"/>
      <c r="B9" s="1655"/>
      <c r="C9" s="1671"/>
      <c r="D9" s="1652" t="s">
        <v>205</v>
      </c>
      <c r="E9" s="1653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70"/>
      <c r="B10" s="1655"/>
      <c r="C10" s="1671"/>
      <c r="D10" s="1652" t="s">
        <v>206</v>
      </c>
      <c r="E10" s="1653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61" t="s">
        <v>207</v>
      </c>
      <c r="E11" s="1662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5834</v>
      </c>
      <c r="C14" s="1529" t="s">
        <v>211</v>
      </c>
      <c r="D14" s="1661" t="s">
        <v>210</v>
      </c>
      <c r="E14" s="1662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5">
        <f ca="1">主表!F24</f>
        <v>5834</v>
      </c>
      <c r="C15" s="1651"/>
      <c r="D15" s="1652" t="s">
        <v>213</v>
      </c>
      <c r="E15" s="1653"/>
      <c r="F15" s="1653"/>
      <c r="G15" s="1654"/>
      <c r="H15" s="1523"/>
      <c r="I15" s="1522"/>
      <c r="X15" s="1518"/>
      <c r="AG15" s="1519"/>
    </row>
    <row r="16" spans="1:33" ht="27">
      <c r="A16" s="1524" t="s">
        <v>214</v>
      </c>
      <c r="B16" s="1655">
        <f ca="1">主表!F25</f>
        <v>119.32859999999999</v>
      </c>
      <c r="C16" s="1651"/>
      <c r="D16" s="1652" t="s">
        <v>215</v>
      </c>
      <c r="E16" s="1653"/>
      <c r="F16" s="1653"/>
      <c r="G16" s="1654"/>
      <c r="H16" s="1532" t="str">
        <f ca="1">NUMBERSTRING(INT(B16*10000),2)&amp;"元整"</f>
        <v>壹佰壹拾玖万叁仟贰佰捌拾陆元整</v>
      </c>
      <c r="I16" s="1555"/>
      <c r="X16" s="1518"/>
      <c r="AG16" s="1519"/>
    </row>
    <row r="17" spans="1:33" ht="13.5">
      <c r="A17" s="1524" t="s">
        <v>216</v>
      </c>
      <c r="B17" s="1650">
        <f>主表!F33</f>
        <v>0</v>
      </c>
      <c r="C17" s="1651"/>
      <c r="D17" s="1652" t="s">
        <v>217</v>
      </c>
      <c r="E17" s="1653"/>
      <c r="F17" s="1653"/>
      <c r="G17" s="1654"/>
      <c r="H17" s="1523"/>
      <c r="I17" s="1522"/>
      <c r="X17" s="1518"/>
      <c r="AG17" s="1519"/>
    </row>
    <row r="18" spans="1:33" ht="27">
      <c r="A18" s="1524" t="s">
        <v>218</v>
      </c>
      <c r="B18" s="1655">
        <f ca="1">主表!F35</f>
        <v>0</v>
      </c>
      <c r="C18" s="1651"/>
      <c r="D18" s="1652" t="s">
        <v>219</v>
      </c>
      <c r="E18" s="1653"/>
      <c r="F18" s="1653"/>
      <c r="G18" s="1654"/>
      <c r="H18" s="1523"/>
      <c r="I18" s="1522"/>
      <c r="X18" s="1518"/>
      <c r="AG18" s="1519"/>
    </row>
    <row r="19" spans="1:33" ht="27">
      <c r="A19" s="1533" t="s">
        <v>220</v>
      </c>
      <c r="B19" s="1656">
        <f ca="1">主表!F36</f>
        <v>0</v>
      </c>
      <c r="C19" s="1657"/>
      <c r="D19" s="1658" t="s">
        <v>221</v>
      </c>
      <c r="E19" s="1659"/>
      <c r="F19" s="1659"/>
      <c r="G19" s="1660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7" sqref="B17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4" t="s">
        <v>231</v>
      </c>
      <c r="E2" s="1675"/>
      <c r="F2" s="1675"/>
      <c r="G2" s="1675"/>
      <c r="H2" s="1676"/>
      <c r="I2" s="1483"/>
      <c r="J2" s="1483"/>
      <c r="K2" s="1444"/>
      <c r="L2" s="1444"/>
      <c r="N2" s="1484" t="s">
        <v>232</v>
      </c>
      <c r="O2" s="1485">
        <f>SUMPRODUCT((N6:N12=B20)*(O5:Q5=B21)*(O6:Q12))</f>
        <v>60</v>
      </c>
    </row>
    <row r="3" spans="1:18" ht="15.75" customHeight="1">
      <c r="A3" s="1392" t="s">
        <v>233</v>
      </c>
      <c r="B3" s="1393">
        <v>38867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5</v>
      </c>
    </row>
    <row r="4" spans="1:18" ht="15.75" customHeight="1">
      <c r="A4" s="1397" t="s">
        <v>239</v>
      </c>
      <c r="B4" s="1393">
        <f>B3</f>
        <v>38867</v>
      </c>
      <c r="C4" s="1391"/>
      <c r="D4" s="1398" t="s">
        <v>240</v>
      </c>
      <c r="E4" s="1399" t="s">
        <v>191</v>
      </c>
      <c r="F4" s="1400">
        <f ca="1">F5+F8+F9+F10</f>
        <v>5834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5834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5834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204.54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75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64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64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0.98199999999999998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72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5.8499999999999996E-2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2001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5834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119.32859999999999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7" t="s">
        <v>296</v>
      </c>
      <c r="E26" s="1678"/>
      <c r="F26" s="1678"/>
      <c r="G26" s="1678"/>
      <c r="H26" s="1679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0.92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3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0.5</v>
      </c>
      <c r="H31" s="1467"/>
      <c r="I31" s="1673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</v>
      </c>
      <c r="H32" s="1467"/>
      <c r="I32" s="1673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7" t="s">
        <v>309</v>
      </c>
      <c r="E34" s="1678"/>
      <c r="F34" s="1678"/>
      <c r="G34" s="1678"/>
      <c r="H34" s="1679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0" t="s">
        <v>310</v>
      </c>
      <c r="H35" s="1681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82" t="s">
        <v>312</v>
      </c>
      <c r="H36" s="1683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204.54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30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38867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0.99490000000000001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64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三级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2023-11-24T12:13:41Z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