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firstSheet="9"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经济技术指标"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r:id="rId34"/>
    <sheet name="不动产收益法" sheetId="15"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Sheet0 " sheetId="70" state="hidden" r:id="rId42"/>
    <sheet name="不动产收益法 (2)" sheetId="74" r:id="rId43"/>
    <sheet name="Sheet0 (2)" sheetId="72" state="hidden" r:id="rId44"/>
    <sheet name="存贷款利率" sheetId="65" state="hidden" r:id="rId45"/>
    <sheet name="Sheet1" sheetId="73" state="hidden" r:id="rId46"/>
    <sheet name="Sheet2" sheetId="75" r:id="rId47"/>
    <sheet name="Sheet3" sheetId="76" state="hidden" r:id="rId48"/>
  </sheets>
  <externalReferences>
    <externalReference r:id="rId49"/>
    <externalReference r:id="rId50"/>
    <externalReference r:id="rId51"/>
    <externalReference r:id="rId52"/>
    <externalReference r:id="rId53"/>
    <externalReference r:id="rId54"/>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4">不动产收益法!$A$1:$F$43</definedName>
    <definedName name="_xlnm.Print_Area" localSheetId="42">'不动产收益法 (2)'!$A$1:$F$43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6" i="74"/>
  <c r="F8" i="74"/>
  <c r="F7" i="74"/>
  <c r="F9" i="74"/>
  <c r="C6" i="74"/>
  <c r="F11" i="74"/>
  <c r="C10" i="74"/>
  <c r="C5" i="74"/>
  <c r="C32" i="74"/>
  <c r="C33" i="74"/>
  <c r="F35" i="74"/>
  <c r="C34" i="74"/>
  <c r="C31" i="74"/>
  <c r="C14" i="74"/>
  <c r="C15" i="74"/>
  <c r="F16" i="74"/>
  <c r="C16" i="74"/>
  <c r="F43" i="74"/>
  <c r="C17" i="74"/>
  <c r="C18" i="74"/>
  <c r="C19" i="74"/>
  <c r="C20" i="74"/>
  <c r="F24" i="74"/>
  <c r="C23" i="74"/>
  <c r="F26" i="74"/>
  <c r="C26" i="74"/>
  <c r="C24" i="74"/>
  <c r="C27" i="74"/>
  <c r="C29" i="74"/>
  <c r="F36" i="74"/>
  <c r="C36" i="74"/>
  <c r="F13" i="74"/>
  <c r="C13" i="74"/>
  <c r="F37" i="74"/>
  <c r="C37" i="74"/>
  <c r="F38" i="74"/>
  <c r="C38" i="74"/>
  <c r="C30" i="74"/>
  <c r="C39" i="74"/>
  <c r="F42" i="74"/>
  <c r="F40" i="74"/>
  <c r="L48" i="74"/>
  <c r="J53" i="74"/>
  <c r="F1" i="74"/>
  <c r="AE8" i="1"/>
  <c r="F41" i="74"/>
  <c r="C40" i="74"/>
  <c r="M6" i="74"/>
  <c r="M8" i="74"/>
  <c r="M7" i="74"/>
  <c r="M9" i="74"/>
  <c r="J6" i="74"/>
  <c r="M11" i="74"/>
  <c r="J10" i="74"/>
  <c r="J5" i="74"/>
  <c r="J26" i="74"/>
  <c r="J29" i="74"/>
  <c r="B2" i="74"/>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63" i="9"/>
  <c r="C103" i="9"/>
  <c r="C111" i="9"/>
  <c r="C104" i="9"/>
  <c r="C113" i="9"/>
  <c r="C114" i="9"/>
  <c r="C115" i="9"/>
  <c r="G45" i="68"/>
  <c r="G46" i="68"/>
  <c r="G47" i="68"/>
  <c r="G48" i="68"/>
  <c r="G49" i="68"/>
  <c r="E48" i="68"/>
  <c r="E47" i="68"/>
  <c r="E46" i="68"/>
  <c r="E45" i="68"/>
  <c r="E49" i="68"/>
  <c r="F45" i="68"/>
  <c r="C106" i="9"/>
  <c r="D48" i="68"/>
  <c r="D47" i="68"/>
  <c r="D46" i="68"/>
  <c r="D45" i="68"/>
  <c r="F46" i="68"/>
  <c r="F47" i="68"/>
  <c r="F48" i="68"/>
  <c r="F49" i="68"/>
  <c r="D49" i="68"/>
  <c r="E16" i="68"/>
  <c r="E12" i="68"/>
  <c r="I38" i="76"/>
  <c r="H38" i="76"/>
  <c r="G38" i="76"/>
  <c r="F38" i="76"/>
  <c r="D23" i="68"/>
  <c r="D27" i="68"/>
  <c r="E23" i="68"/>
  <c r="E27" i="68"/>
  <c r="F23" i="68"/>
  <c r="F27" i="68"/>
  <c r="C33" i="21"/>
  <c r="F33" i="21"/>
  <c r="AA33" i="21"/>
  <c r="R48" i="21"/>
  <c r="H33" i="21"/>
  <c r="AB33" i="21"/>
  <c r="T48" i="21"/>
  <c r="J33" i="21"/>
  <c r="AC33" i="21"/>
  <c r="V48" i="21"/>
  <c r="R49" i="21"/>
  <c r="C49" i="21"/>
  <c r="B3" i="21"/>
  <c r="C8" i="12"/>
  <c r="B17" i="66"/>
  <c r="B16" i="66"/>
  <c r="B15" i="66"/>
  <c r="F16" i="68"/>
  <c r="F12" i="68"/>
  <c r="F14" i="68"/>
  <c r="D16" i="68"/>
  <c r="D12" i="68"/>
  <c r="G16" i="68"/>
  <c r="G12" i="68"/>
  <c r="H12" i="68"/>
  <c r="H8" i="68"/>
  <c r="H9" i="68"/>
  <c r="H10" i="68"/>
  <c r="H11" i="68"/>
  <c r="D13" i="68"/>
  <c r="E13" i="68"/>
  <c r="F13" i="68"/>
  <c r="H13" i="68"/>
  <c r="H14" i="68"/>
  <c r="O16" i="71"/>
  <c r="O4" i="71"/>
  <c r="O3" i="71"/>
  <c r="C15" i="66"/>
  <c r="C17" i="66"/>
  <c r="C16" i="66"/>
  <c r="E48" i="39"/>
  <c r="C63" i="21"/>
  <c r="F9" i="21"/>
  <c r="AA9" i="21"/>
  <c r="F10" i="21"/>
  <c r="AA10" i="21"/>
  <c r="D69" i="21"/>
  <c r="F11" i="21"/>
  <c r="AA11" i="21"/>
  <c r="F32" i="21"/>
  <c r="AA32" i="21"/>
  <c r="F34" i="21"/>
  <c r="AA34" i="21"/>
  <c r="F35" i="21"/>
  <c r="AA35" i="21"/>
  <c r="F38" i="21"/>
  <c r="AA38" i="21"/>
  <c r="D117" i="21"/>
  <c r="E117" i="21"/>
  <c r="F117" i="21"/>
  <c r="G117" i="21"/>
  <c r="F39" i="21"/>
  <c r="AA39" i="21"/>
  <c r="D110" i="21"/>
  <c r="F36" i="21"/>
  <c r="AA36" i="21"/>
  <c r="D123" i="21"/>
  <c r="E123" i="21"/>
  <c r="F123" i="21"/>
  <c r="F42" i="21"/>
  <c r="AA42" i="21"/>
  <c r="R47" i="21"/>
  <c r="B2" i="1"/>
  <c r="C7" i="21"/>
  <c r="E7" i="21"/>
  <c r="C58" i="21"/>
  <c r="D58" i="21"/>
  <c r="E58" i="21"/>
  <c r="F58" i="21"/>
  <c r="G58" i="21"/>
  <c r="H58" i="21"/>
  <c r="I58" i="21"/>
  <c r="J58" i="21"/>
  <c r="K58" i="21"/>
  <c r="L58" i="21"/>
  <c r="M58" i="21"/>
  <c r="N58" i="21"/>
  <c r="O58" i="21"/>
  <c r="F7" i="21"/>
  <c r="AA7" i="21"/>
  <c r="F8" i="21"/>
  <c r="AA8" i="21"/>
  <c r="B70" i="21"/>
  <c r="F12" i="21"/>
  <c r="AA12" i="21"/>
  <c r="B72" i="21"/>
  <c r="F13" i="21"/>
  <c r="AA13" i="21"/>
  <c r="B74" i="21"/>
  <c r="F14" i="21"/>
  <c r="AA14" i="21"/>
  <c r="D77" i="21"/>
  <c r="E77" i="21"/>
  <c r="F15" i="21"/>
  <c r="AA15" i="21"/>
  <c r="D79" i="21"/>
  <c r="E79" i="21"/>
  <c r="F17" i="21"/>
  <c r="AA17" i="21"/>
  <c r="D81" i="21"/>
  <c r="E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D113" i="21"/>
  <c r="E113" i="21"/>
  <c r="F113" i="21"/>
  <c r="G113" i="21"/>
  <c r="F37" i="21"/>
  <c r="AA37" i="21"/>
  <c r="F40" i="21"/>
  <c r="AA40" i="21"/>
  <c r="F41" i="21"/>
  <c r="AA41" i="21"/>
  <c r="D125" i="21"/>
  <c r="F43" i="21"/>
  <c r="AA43" i="21"/>
  <c r="B126" i="21"/>
  <c r="F44" i="21"/>
  <c r="AA44" i="21"/>
  <c r="B128" i="21"/>
  <c r="F45" i="21"/>
  <c r="AA45" i="21"/>
  <c r="B130" i="21"/>
  <c r="F46" i="21"/>
  <c r="AA46" i="21"/>
  <c r="H9" i="21"/>
  <c r="AB9" i="21"/>
  <c r="H10" i="21"/>
  <c r="AB10" i="21"/>
  <c r="H11" i="21"/>
  <c r="AB11" i="21"/>
  <c r="H32" i="21"/>
  <c r="AB32" i="21"/>
  <c r="H34" i="21"/>
  <c r="AB34" i="21"/>
  <c r="H35" i="21"/>
  <c r="AB35" i="21"/>
  <c r="H38" i="21"/>
  <c r="AB38" i="21"/>
  <c r="H39" i="21"/>
  <c r="AB39" i="21"/>
  <c r="H36" i="21"/>
  <c r="AB36" i="21"/>
  <c r="T47" i="21"/>
  <c r="H42" i="21"/>
  <c r="AB42" i="21"/>
  <c r="G7" i="21"/>
  <c r="H7" i="21"/>
  <c r="AB7" i="21"/>
  <c r="H8" i="21"/>
  <c r="AB8"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7" i="21"/>
  <c r="AB37" i="21"/>
  <c r="H40" i="21"/>
  <c r="AB40" i="21"/>
  <c r="H41" i="21"/>
  <c r="AB41" i="21"/>
  <c r="H43" i="21"/>
  <c r="AB43" i="21"/>
  <c r="H44" i="21"/>
  <c r="AB44" i="21"/>
  <c r="H45" i="21"/>
  <c r="AB45" i="21"/>
  <c r="H46" i="21"/>
  <c r="AB46" i="21"/>
  <c r="J9" i="21"/>
  <c r="AC9" i="21"/>
  <c r="J10" i="21"/>
  <c r="AC10" i="21"/>
  <c r="J11" i="21"/>
  <c r="AC11" i="21"/>
  <c r="J32" i="21"/>
  <c r="AC32" i="21"/>
  <c r="J34" i="21"/>
  <c r="AC34" i="21"/>
  <c r="J35" i="21"/>
  <c r="AC35" i="21"/>
  <c r="J38" i="21"/>
  <c r="AC38" i="21"/>
  <c r="J39" i="21"/>
  <c r="AC39" i="21"/>
  <c r="J36" i="21"/>
  <c r="AC36" i="21"/>
  <c r="J42" i="21"/>
  <c r="AC42" i="21"/>
  <c r="V47" i="21"/>
  <c r="I7" i="21"/>
  <c r="J7" i="21"/>
  <c r="AC7" i="21"/>
  <c r="J8" i="21"/>
  <c r="AC8"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7" i="21"/>
  <c r="AC37" i="21"/>
  <c r="J40" i="21"/>
  <c r="AC40" i="21"/>
  <c r="J41" i="21"/>
  <c r="AC41" i="21"/>
  <c r="J43" i="21"/>
  <c r="AC43" i="21"/>
  <c r="J44" i="21"/>
  <c r="AC44" i="21"/>
  <c r="J45" i="21"/>
  <c r="AC45" i="21"/>
  <c r="J46" i="21"/>
  <c r="AC46" i="21"/>
  <c r="I13" i="3"/>
  <c r="F19" i="6"/>
  <c r="E19" i="6"/>
  <c r="C21" i="6"/>
  <c r="D3" i="21"/>
  <c r="B2" i="21"/>
  <c r="C10" i="12"/>
  <c r="I48" i="39"/>
  <c r="M15" i="3"/>
  <c r="G21" i="6"/>
  <c r="L14" i="1"/>
  <c r="D26" i="68"/>
  <c r="D25" i="68"/>
  <c r="H17" i="75"/>
  <c r="J17" i="75"/>
  <c r="H18" i="75"/>
  <c r="J18" i="75"/>
  <c r="H19" i="75"/>
  <c r="J19" i="75"/>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P25" i="46"/>
  <c r="B73" i="39"/>
  <c r="F9" i="39"/>
  <c r="AA9" i="39"/>
  <c r="F10" i="39"/>
  <c r="AA10" i="39"/>
  <c r="F11" i="39"/>
  <c r="AA11" i="39"/>
  <c r="D83" i="39"/>
  <c r="E83" i="39"/>
  <c r="F13" i="39"/>
  <c r="AA13" i="39"/>
  <c r="B84" i="39"/>
  <c r="F14" i="39"/>
  <c r="AA14" i="39"/>
  <c r="B86" i="39"/>
  <c r="F15" i="39"/>
  <c r="AA15" i="39"/>
  <c r="B88" i="39"/>
  <c r="F16" i="39"/>
  <c r="AA16" i="39"/>
  <c r="D91" i="39"/>
  <c r="E91" i="39"/>
  <c r="F17" i="39"/>
  <c r="AA17" i="39"/>
  <c r="D93" i="39"/>
  <c r="E93" i="39"/>
  <c r="F19" i="39"/>
  <c r="AA19" i="39"/>
  <c r="F21" i="39"/>
  <c r="AA21" i="39"/>
  <c r="D97" i="39"/>
  <c r="E97" i="39"/>
  <c r="F23" i="39"/>
  <c r="AA23" i="39"/>
  <c r="D99" i="39"/>
  <c r="F25" i="39"/>
  <c r="AA25" i="39"/>
  <c r="D101" i="39"/>
  <c r="F27" i="39"/>
  <c r="AA27" i="39"/>
  <c r="D103" i="39"/>
  <c r="E103" i="39"/>
  <c r="F29" i="39"/>
  <c r="AA29" i="39"/>
  <c r="D105" i="39"/>
  <c r="F31" i="39"/>
  <c r="AA31" i="39"/>
  <c r="B106" i="39"/>
  <c r="F33" i="39"/>
  <c r="AA33" i="39"/>
  <c r="F34" i="39"/>
  <c r="AA34" i="39"/>
  <c r="F36" i="39"/>
  <c r="AA36" i="39"/>
  <c r="B112" i="39"/>
  <c r="F37" i="39"/>
  <c r="AA37" i="39"/>
  <c r="B114" i="39"/>
  <c r="F38" i="39"/>
  <c r="AA38" i="39"/>
  <c r="B116" i="39"/>
  <c r="F39" i="39"/>
  <c r="AA39" i="39"/>
  <c r="E40" i="39"/>
  <c r="C40" i="39"/>
  <c r="F40" i="39"/>
  <c r="AA40" i="39"/>
  <c r="D122" i="39"/>
  <c r="F41" i="39"/>
  <c r="AA41" i="39"/>
  <c r="F42" i="39"/>
  <c r="AA42" i="39"/>
  <c r="D126" i="39"/>
  <c r="E126" i="39"/>
  <c r="F126" i="39"/>
  <c r="G126" i="39"/>
  <c r="F43" i="39"/>
  <c r="AA43" i="39"/>
  <c r="F44" i="39"/>
  <c r="AA44" i="39"/>
  <c r="B129" i="39"/>
  <c r="F45" i="39"/>
  <c r="AA45" i="39"/>
  <c r="B131" i="39"/>
  <c r="F46" i="39"/>
  <c r="AA46" i="39"/>
  <c r="B133" i="39"/>
  <c r="F47" i="39"/>
  <c r="AA47" i="39"/>
  <c r="A6" i="1"/>
  <c r="A7" i="1"/>
  <c r="G1" i="15"/>
  <c r="K14" i="3"/>
  <c r="F20" i="6"/>
  <c r="E20" i="6"/>
  <c r="K7" i="1"/>
  <c r="C1" i="65"/>
  <c r="N1" i="65"/>
  <c r="B43" i="1"/>
  <c r="B41" i="1"/>
  <c r="F32" i="15"/>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AL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20" i="6"/>
  <c r="BQ5" i="3"/>
  <c r="BS5" i="3"/>
  <c r="F28" i="6"/>
  <c r="BR5" i="3"/>
  <c r="BT5" i="3"/>
  <c r="G28" i="6"/>
  <c r="E28" i="6"/>
  <c r="E21" i="6"/>
  <c r="E22" i="6"/>
  <c r="E23" i="6"/>
  <c r="E24" i="6"/>
  <c r="E25" i="6"/>
  <c r="E26" i="6"/>
  <c r="BA5" i="3"/>
  <c r="E27" i="6"/>
  <c r="K20" i="6"/>
  <c r="L20" i="6"/>
  <c r="M20" i="6"/>
  <c r="I20" i="6"/>
  <c r="H20" i="6"/>
  <c r="R20" i="6"/>
  <c r="R7" i="1"/>
  <c r="B52" i="1"/>
  <c r="F34" i="15"/>
  <c r="M7" i="1"/>
  <c r="T4" i="1"/>
  <c r="K14" i="1"/>
  <c r="M14" i="1"/>
  <c r="S7" i="1"/>
  <c r="K19" i="6"/>
  <c r="S6" i="1"/>
  <c r="A8" i="1"/>
  <c r="K21" i="6"/>
  <c r="S8" i="1"/>
  <c r="A9" i="1"/>
  <c r="S9" i="1"/>
  <c r="A10" i="1"/>
  <c r="S10" i="1"/>
  <c r="A11" i="1"/>
  <c r="S11" i="1"/>
  <c r="A12" i="1"/>
  <c r="S12" i="1"/>
  <c r="A13" i="1"/>
  <c r="S13" i="1"/>
  <c r="S16" i="1"/>
  <c r="T7" i="1"/>
  <c r="F15" i="15"/>
  <c r="F17" i="15"/>
  <c r="F18" i="15"/>
  <c r="F20" i="15"/>
  <c r="H1" i="65"/>
  <c r="B22" i="1"/>
  <c r="C2" i="65"/>
  <c r="I1" i="65"/>
  <c r="F23" i="15"/>
  <c r="F21" i="15"/>
  <c r="F28" i="15"/>
  <c r="C28" i="15"/>
  <c r="E19" i="4"/>
  <c r="F7" i="1"/>
  <c r="M47" i="15"/>
  <c r="J50" i="15"/>
  <c r="J51" i="15"/>
  <c r="J60" i="15"/>
  <c r="L46" i="15"/>
  <c r="G1" i="74"/>
  <c r="K8" i="1"/>
  <c r="F32" i="74"/>
  <c r="F33" i="74"/>
  <c r="D21" i="6"/>
  <c r="L21" i="6"/>
  <c r="M21" i="6"/>
  <c r="I21" i="6"/>
  <c r="H21" i="6"/>
  <c r="R21" i="6"/>
  <c r="R8" i="1"/>
  <c r="F34" i="74"/>
  <c r="M8" i="1"/>
  <c r="T8" i="1"/>
  <c r="F15" i="74"/>
  <c r="F17" i="74"/>
  <c r="F18" i="74"/>
  <c r="F20" i="74"/>
  <c r="F23" i="74"/>
  <c r="F21" i="74"/>
  <c r="F28" i="74"/>
  <c r="C28" i="74"/>
  <c r="AK8" i="1"/>
  <c r="AL8" i="1"/>
  <c r="AM8" i="1"/>
  <c r="G19" i="4"/>
  <c r="F8" i="1"/>
  <c r="M47" i="74"/>
  <c r="J50" i="74"/>
  <c r="J51" i="74"/>
  <c r="L46" i="74"/>
  <c r="C9" i="12"/>
  <c r="K6" i="1"/>
  <c r="M6" i="1"/>
  <c r="O6" i="1"/>
  <c r="P6" i="1"/>
  <c r="O7" i="1"/>
  <c r="P7" i="1"/>
  <c r="O8" i="1"/>
  <c r="P8" i="1"/>
  <c r="K9" i="1"/>
  <c r="M9" i="1"/>
  <c r="O9" i="1"/>
  <c r="P9" i="1"/>
  <c r="K10" i="1"/>
  <c r="M10" i="1"/>
  <c r="O10" i="1"/>
  <c r="P10" i="1"/>
  <c r="K11" i="1"/>
  <c r="M11" i="1"/>
  <c r="O11" i="1"/>
  <c r="P11" i="1"/>
  <c r="K12" i="1"/>
  <c r="M12" i="1"/>
  <c r="O12" i="1"/>
  <c r="P12" i="1"/>
  <c r="K13" i="1"/>
  <c r="M13" i="1"/>
  <c r="O13" i="1"/>
  <c r="P13" i="1"/>
  <c r="O14" i="1"/>
  <c r="P14" i="1"/>
  <c r="P16" i="1"/>
  <c r="F14" i="12"/>
  <c r="F15" i="12"/>
  <c r="E16" i="12"/>
  <c r="F17" i="12"/>
  <c r="E19" i="12"/>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5" i="3"/>
  <c r="BD5" i="3"/>
  <c r="BE5" i="3"/>
  <c r="BF5" i="3"/>
  <c r="BG5" i="3"/>
  <c r="BH5" i="3"/>
  <c r="BI5" i="3"/>
  <c r="BJ5" i="3"/>
  <c r="BK5" i="3"/>
  <c r="BL5" i="3"/>
  <c r="BM5" i="3"/>
  <c r="BN5" i="3"/>
  <c r="BO5" i="3"/>
  <c r="BP5" i="3"/>
  <c r="E5" i="6"/>
  <c r="E21" i="12"/>
  <c r="E6" i="6"/>
  <c r="E22" i="12"/>
  <c r="F23" i="12"/>
  <c r="F24" i="12"/>
  <c r="B24" i="1"/>
  <c r="F29" i="12"/>
  <c r="Q16" i="1"/>
  <c r="F25" i="12"/>
  <c r="C25" i="12"/>
  <c r="E16" i="75"/>
  <c r="E17" i="75"/>
  <c r="E18" i="75"/>
  <c r="E19" i="75"/>
  <c r="E20" i="75"/>
  <c r="D20" i="75"/>
  <c r="D107" i="9"/>
  <c r="C107" i="9"/>
  <c r="C105" i="9"/>
  <c r="C109" i="9"/>
  <c r="C110" i="9"/>
  <c r="F19" i="75"/>
  <c r="G19" i="75"/>
  <c r="G18" i="75"/>
  <c r="F18" i="75"/>
  <c r="G17" i="75"/>
  <c r="F17" i="75"/>
  <c r="B3" i="12"/>
  <c r="D20" i="9"/>
  <c r="B4" i="12"/>
  <c r="D21" i="9"/>
  <c r="B3" i="15"/>
  <c r="D8" i="12"/>
  <c r="G40" i="39"/>
  <c r="H40" i="39"/>
  <c r="AB40" i="39"/>
  <c r="I40" i="39"/>
  <c r="J40" i="39"/>
  <c r="AC40" i="39"/>
  <c r="BB10" i="3"/>
  <c r="BC10" i="3"/>
  <c r="BD10" i="3"/>
  <c r="BE10" i="3"/>
  <c r="BF10" i="3"/>
  <c r="BG10" i="3"/>
  <c r="BH10" i="3"/>
  <c r="BI10" i="3"/>
  <c r="BJ10" i="3"/>
  <c r="BK10" i="3"/>
  <c r="E8" i="6"/>
  <c r="F27" i="6"/>
  <c r="K22" i="6"/>
  <c r="K23" i="6"/>
  <c r="F9" i="12"/>
  <c r="G9" i="12"/>
  <c r="K38" i="9"/>
  <c r="C14" i="66"/>
  <c r="B2" i="66"/>
  <c r="D9" i="12"/>
  <c r="E9" i="12"/>
  <c r="L9" i="12"/>
  <c r="D9" i="1"/>
  <c r="F9" i="1"/>
  <c r="G9" i="1"/>
  <c r="D10" i="1"/>
  <c r="F10" i="1"/>
  <c r="G10" i="1"/>
  <c r="H14" i="39"/>
  <c r="AB14" i="39"/>
  <c r="H17" i="39"/>
  <c r="AB17" i="39"/>
  <c r="H19" i="39"/>
  <c r="AB19" i="39"/>
  <c r="J14" i="39"/>
  <c r="AC14" i="39"/>
  <c r="J17" i="39"/>
  <c r="AC17" i="39"/>
  <c r="J19" i="39"/>
  <c r="AC19" i="39"/>
  <c r="I9" i="39"/>
  <c r="I7" i="39"/>
  <c r="J8" i="1"/>
  <c r="B3" i="74"/>
  <c r="E8" i="12"/>
  <c r="H16" i="68"/>
  <c r="D22" i="6"/>
  <c r="L22" i="6"/>
  <c r="M22" i="6"/>
  <c r="I22" i="6"/>
  <c r="H22" i="6"/>
  <c r="R22" i="6"/>
  <c r="R9" i="1"/>
  <c r="K24" i="6"/>
  <c r="T9" i="1"/>
  <c r="AE9" i="1"/>
  <c r="Q66" i="74"/>
  <c r="L60" i="74"/>
  <c r="Q67" i="74"/>
  <c r="Q76" i="74"/>
  <c r="D8" i="1"/>
  <c r="L47" i="74"/>
  <c r="L59" i="74"/>
  <c r="Q75" i="74"/>
  <c r="K59" i="74"/>
  <c r="P75" i="74"/>
  <c r="L58" i="74"/>
  <c r="Q74" i="74"/>
  <c r="Q73" i="74"/>
  <c r="J36" i="74"/>
  <c r="Q72" i="74"/>
  <c r="Q71" i="74"/>
  <c r="Q70" i="74"/>
  <c r="F70" i="74"/>
  <c r="F50" i="74"/>
  <c r="F49" i="74"/>
  <c r="C48" i="74"/>
  <c r="C52" i="74"/>
  <c r="C47" i="74"/>
  <c r="F59" i="74"/>
  <c r="C59" i="74"/>
  <c r="D60" i="74"/>
  <c r="F60" i="74"/>
  <c r="C60" i="74"/>
  <c r="F61" i="74"/>
  <c r="F62" i="74"/>
  <c r="C61" i="74"/>
  <c r="C58" i="74"/>
  <c r="C56" i="74"/>
  <c r="F63" i="74"/>
  <c r="C63" i="74"/>
  <c r="C55" i="74"/>
  <c r="F64" i="74"/>
  <c r="C64" i="74"/>
  <c r="F65" i="74"/>
  <c r="C65" i="74"/>
  <c r="C57" i="74"/>
  <c r="C66" i="74"/>
  <c r="F67" i="74"/>
  <c r="F68" i="74"/>
  <c r="C67" i="74"/>
  <c r="C70" i="74"/>
  <c r="Q69" i="74"/>
  <c r="L51" i="74"/>
  <c r="Q68" i="74"/>
  <c r="Q57" i="74"/>
  <c r="Q58" i="74"/>
  <c r="Q63" i="74"/>
  <c r="Q62" i="74"/>
  <c r="P62" i="74"/>
  <c r="Q61" i="74"/>
  <c r="Q60" i="74"/>
  <c r="J60" i="74"/>
  <c r="Q59" i="74"/>
  <c r="J59" i="74"/>
  <c r="J57" i="74"/>
  <c r="J55" i="74"/>
  <c r="J58" i="74"/>
  <c r="F58" i="74"/>
  <c r="L57" i="74"/>
  <c r="L56" i="74"/>
  <c r="Q48" i="74"/>
  <c r="Q49" i="74"/>
  <c r="Q54" i="74"/>
  <c r="I54" i="74"/>
  <c r="Q53" i="74"/>
  <c r="Q52" i="74"/>
  <c r="Q51" i="74"/>
  <c r="Q50" i="74"/>
  <c r="C46" i="74"/>
  <c r="J42" i="74"/>
  <c r="J43" i="74"/>
  <c r="C43" i="74"/>
  <c r="J35" i="74"/>
  <c r="J39" i="74"/>
  <c r="J40" i="74"/>
  <c r="F31" i="74"/>
  <c r="M29" i="74"/>
  <c r="M28" i="74"/>
  <c r="AG8" i="1"/>
  <c r="M27" i="74"/>
  <c r="M26" i="74"/>
  <c r="M18" i="74"/>
  <c r="J18" i="74"/>
  <c r="J19" i="74"/>
  <c r="M20" i="74"/>
  <c r="M21" i="74"/>
  <c r="J20" i="74"/>
  <c r="J17" i="74"/>
  <c r="J14" i="74"/>
  <c r="M22" i="74"/>
  <c r="J22" i="74"/>
  <c r="J15" i="74"/>
  <c r="J13" i="74"/>
  <c r="M23" i="74"/>
  <c r="J23" i="74"/>
  <c r="M24" i="74"/>
  <c r="J24" i="74"/>
  <c r="J16" i="74"/>
  <c r="J25" i="74"/>
  <c r="D24" i="74"/>
  <c r="D23" i="74"/>
  <c r="D22" i="74"/>
  <c r="M19" i="74"/>
  <c r="M17" i="74"/>
  <c r="K10" i="68"/>
  <c r="E25" i="68"/>
  <c r="F25" i="68"/>
  <c r="G23" i="68"/>
  <c r="G25" i="68"/>
  <c r="H25" i="68"/>
  <c r="E26" i="68"/>
  <c r="F26" i="68"/>
  <c r="H26" i="68"/>
  <c r="J5" i="68"/>
  <c r="H23" i="68"/>
  <c r="M35" i="68"/>
  <c r="M36" i="68"/>
  <c r="M38" i="68"/>
  <c r="L38" i="68"/>
  <c r="K38" i="68"/>
  <c r="N4" i="73"/>
  <c r="N5" i="73"/>
  <c r="N7" i="73"/>
  <c r="M7" i="73"/>
  <c r="H34" i="73"/>
  <c r="G34" i="73"/>
  <c r="F34" i="73"/>
  <c r="E34" i="73"/>
  <c r="E31" i="73"/>
  <c r="F31" i="73"/>
  <c r="G31" i="73"/>
  <c r="H31" i="73"/>
  <c r="I31" i="73"/>
  <c r="I30" i="73"/>
  <c r="I29" i="73"/>
  <c r="I28" i="73"/>
  <c r="I27" i="73"/>
  <c r="E26" i="73"/>
  <c r="F26" i="73"/>
  <c r="G26" i="73"/>
  <c r="H26" i="73"/>
  <c r="I26" i="73"/>
  <c r="I25" i="73"/>
  <c r="I19" i="73"/>
  <c r="I20" i="73"/>
  <c r="I21" i="73"/>
  <c r="I22" i="73"/>
  <c r="E23" i="73"/>
  <c r="F23" i="73"/>
  <c r="G23" i="73"/>
  <c r="H23" i="73"/>
  <c r="I23" i="73"/>
  <c r="I24" i="73"/>
  <c r="H24" i="73"/>
  <c r="G24" i="73"/>
  <c r="F24" i="73"/>
  <c r="E24" i="73"/>
  <c r="I17" i="73"/>
  <c r="L7" i="73"/>
  <c r="J10" i="68"/>
  <c r="H17" i="68"/>
  <c r="H18" i="68"/>
  <c r="H19" i="68"/>
  <c r="J11" i="68"/>
  <c r="J12" i="68"/>
  <c r="H15" i="68"/>
  <c r="G48" i="39"/>
  <c r="G9" i="39"/>
  <c r="G7" i="39"/>
  <c r="E7" i="39"/>
  <c r="D21" i="68"/>
  <c r="E21" i="68"/>
  <c r="F21" i="68"/>
  <c r="G21" i="68"/>
  <c r="H21" i="68"/>
  <c r="H20" i="68"/>
  <c r="G14" i="68"/>
  <c r="E14" i="68"/>
  <c r="D14" i="68"/>
  <c r="H6" i="68"/>
  <c r="Q5" i="59"/>
  <c r="P5" i="59"/>
  <c r="O5" i="59"/>
  <c r="N5"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A8" i="59"/>
  <c r="X8" i="59"/>
  <c r="M19" i="46"/>
  <c r="D12"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6" i="4"/>
  <c r="L24" i="4"/>
  <c r="L25" i="4"/>
  <c r="A11" i="55"/>
  <c r="A10" i="55"/>
  <c r="B61" i="63"/>
  <c r="A9" i="55"/>
  <c r="B60" i="63"/>
  <c r="A8" i="55"/>
  <c r="A6" i="54"/>
  <c r="A8" i="54"/>
  <c r="A7" i="54"/>
  <c r="A28" i="51"/>
  <c r="A27" i="51"/>
  <c r="B20" i="63"/>
  <c r="AB11" i="59"/>
  <c r="Y11" i="59"/>
  <c r="Z11" i="59"/>
  <c r="X11" i="59"/>
  <c r="B15" i="59"/>
  <c r="C15" i="59"/>
  <c r="D15" i="59"/>
  <c r="E15" i="59"/>
  <c r="F15" i="59"/>
  <c r="K75" i="9"/>
  <c r="K6" i="4"/>
  <c r="O76" i="9"/>
  <c r="L76" i="9"/>
  <c r="K76" i="9"/>
  <c r="K77" i="9"/>
  <c r="K79" i="9"/>
  <c r="K81" i="9"/>
  <c r="B22" i="31"/>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E105" i="39"/>
  <c r="F105" i="39"/>
  <c r="G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AP10" i="1"/>
  <c r="D24" i="6"/>
  <c r="M24" i="6"/>
  <c r="I24" i="6"/>
  <c r="H24" i="6"/>
  <c r="R24" i="6"/>
  <c r="R12" i="1"/>
  <c r="B13" i="1"/>
  <c r="E13" i="1"/>
  <c r="M23" i="6"/>
  <c r="I23" i="6"/>
  <c r="H23" i="6"/>
  <c r="D23" i="6"/>
  <c r="R23" i="6"/>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AP9" i="1"/>
  <c r="F19" i="4"/>
  <c r="AP8"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F93" i="39"/>
  <c r="G93"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5" i="21"/>
  <c r="E115" i="21"/>
  <c r="F115" i="21"/>
  <c r="G115" i="21"/>
  <c r="H115" i="21"/>
  <c r="I115" i="21"/>
  <c r="J115" i="21"/>
  <c r="K115" i="21"/>
  <c r="L115" i="21"/>
  <c r="M115" i="21"/>
  <c r="H113"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33" i="36"/>
  <c r="AA11" i="36"/>
  <c r="AA14" i="35"/>
  <c r="S14" i="35"/>
  <c r="G99" i="37"/>
  <c r="F33" i="37"/>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38" i="39"/>
  <c r="W29" i="39"/>
  <c r="S29" i="39"/>
  <c r="AC21"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4" i="4"/>
  <c r="C4" i="4"/>
  <c r="G66" i="36"/>
  <c r="J18" i="36"/>
  <c r="AE6" i="1"/>
  <c r="W18" i="36"/>
  <c r="AC18" i="36"/>
  <c r="AG6" i="1"/>
  <c r="D12" i="11"/>
  <c r="C12" i="11"/>
  <c r="D16" i="43"/>
  <c r="C16" i="43"/>
  <c r="L19" i="6"/>
  <c r="L27" i="6"/>
  <c r="B21" i="55"/>
  <c r="B72" i="63"/>
  <c r="B20" i="55"/>
  <c r="B70" i="63"/>
  <c r="L38" i="9"/>
  <c r="B14" i="66"/>
  <c r="B1" i="66"/>
  <c r="C45" i="9"/>
  <c r="H14" i="66"/>
  <c r="B7" i="66"/>
  <c r="C7" i="66"/>
  <c r="M19" i="6"/>
  <c r="I19" i="6"/>
  <c r="H19" i="6"/>
  <c r="D19" i="6"/>
  <c r="R19" i="6"/>
  <c r="R6" i="1"/>
  <c r="G6" i="1"/>
  <c r="G13" i="1"/>
  <c r="H9" i="39"/>
  <c r="AB9" i="39"/>
  <c r="J9" i="39"/>
  <c r="AC9" i="39"/>
  <c r="E11" i="6"/>
  <c r="E63" i="39"/>
  <c r="E12" i="6"/>
  <c r="E64" i="39"/>
  <c r="E13" i="6"/>
  <c r="E65" i="39"/>
  <c r="E14" i="6"/>
  <c r="E66" i="39"/>
  <c r="E15" i="6"/>
  <c r="E67" i="39"/>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F43" i="44"/>
  <c r="M30" i="44"/>
  <c r="F38" i="44"/>
  <c r="M21" i="15"/>
  <c r="E11" i="67"/>
  <c r="F10" i="44"/>
  <c r="N7" i="65"/>
  <c r="B10" i="67"/>
  <c r="E10" i="67"/>
  <c r="F11" i="44"/>
  <c r="E9" i="67"/>
  <c r="M22" i="15"/>
  <c r="N6" i="65"/>
  <c r="M28" i="15"/>
  <c r="M29" i="44"/>
  <c r="J17" i="44"/>
  <c r="F45" i="44"/>
  <c r="M26" i="44"/>
  <c r="B11" i="67"/>
  <c r="F8" i="44"/>
  <c r="M27" i="15"/>
  <c r="M31" i="44"/>
  <c r="B12" i="67"/>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4" i="46"/>
  <c r="B68" i="40"/>
  <c r="E22" i="52"/>
  <c r="B22" i="52"/>
  <c r="B10" i="52"/>
  <c r="B11" i="52"/>
  <c r="B4" i="52"/>
  <c r="E9" i="52"/>
  <c r="C36" i="44"/>
  <c r="C8" i="44"/>
  <c r="C34" i="44"/>
  <c r="F63" i="15"/>
  <c r="F67" i="15"/>
  <c r="J60" i="44"/>
  <c r="J54" i="44"/>
  <c r="I55" i="44"/>
  <c r="J58" i="44"/>
  <c r="J56" i="44"/>
  <c r="J59" i="44"/>
  <c r="Q52" i="44"/>
  <c r="L57" i="44"/>
  <c r="J61" i="44"/>
  <c r="Q50" i="44"/>
  <c r="J22" i="44"/>
  <c r="Q72" i="15"/>
  <c r="Q73" i="44"/>
  <c r="F64" i="15"/>
  <c r="L60" i="44"/>
  <c r="L59" i="44"/>
  <c r="F62" i="15"/>
  <c r="C61" i="15"/>
  <c r="L44" i="9"/>
  <c r="J20" i="15"/>
  <c r="F68" i="15"/>
  <c r="F65" i="15"/>
  <c r="F50" i="15"/>
  <c r="L59" i="15"/>
  <c r="L58" i="15"/>
  <c r="F49" i="15"/>
  <c r="J18" i="15"/>
  <c r="C29" i="44"/>
  <c r="F70" i="15"/>
  <c r="M9" i="44"/>
  <c r="J8" i="44"/>
  <c r="J20" i="44"/>
  <c r="I54" i="15"/>
  <c r="J57" i="15"/>
  <c r="J55" i="15"/>
  <c r="J58" i="15"/>
  <c r="Q51" i="15"/>
  <c r="L56" i="15"/>
  <c r="E17" i="52"/>
  <c r="E11" i="52"/>
  <c r="E15" i="52"/>
  <c r="E13"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S24" i="6"/>
  <c r="S22" i="6"/>
  <c r="E30" i="6"/>
  <c r="E31"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25" i="6"/>
  <c r="D10" i="6"/>
  <c r="D13" i="6"/>
  <c r="D6" i="6"/>
  <c r="D14" i="6"/>
  <c r="D28" i="6"/>
  <c r="D8" i="6"/>
  <c r="E45" i="9"/>
  <c r="F45" i="9"/>
  <c r="E68" i="39"/>
  <c r="D26" i="6"/>
  <c r="H26" i="6"/>
  <c r="R26" i="6"/>
  <c r="D11" i="6"/>
  <c r="D12" i="6"/>
  <c r="H25" i="6"/>
  <c r="D9" i="6"/>
  <c r="D5" i="6"/>
  <c r="D29"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F21" i="43"/>
  <c r="C23" i="43"/>
  <c r="D21" i="43"/>
  <c r="F7" i="36"/>
  <c r="S7" i="36"/>
  <c r="C20" i="46"/>
  <c r="M20" i="46"/>
  <c r="C19" i="46"/>
  <c r="F26" i="44"/>
  <c r="C26" i="44"/>
  <c r="D16" i="6"/>
  <c r="D30" i="6"/>
  <c r="R25" i="6"/>
  <c r="D27" i="6"/>
  <c r="M27" i="6"/>
  <c r="D7" i="66"/>
  <c r="D8" i="66"/>
  <c r="A6" i="51"/>
  <c r="B7" i="63"/>
  <c r="A6" i="64"/>
  <c r="A20" i="64"/>
  <c r="A20" i="51"/>
  <c r="B15" i="63"/>
  <c r="N5" i="54"/>
  <c r="B43" i="63"/>
  <c r="T13" i="1"/>
  <c r="M16" i="1"/>
  <c r="T11" i="1"/>
  <c r="T12" i="1"/>
  <c r="O16"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B5" i="11"/>
  <c r="B3" i="11"/>
  <c r="B4" i="11"/>
  <c r="C59" i="15"/>
  <c r="C65" i="15"/>
  <c r="Q49" i="44"/>
  <c r="Q55" i="44"/>
  <c r="Q67" i="44"/>
  <c r="Q58" i="44"/>
  <c r="C16" i="44"/>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5" i="43"/>
  <c r="C24" i="43"/>
  <c r="C28" i="44"/>
  <c r="C31" i="44"/>
  <c r="J19" i="15"/>
  <c r="K48" i="35"/>
  <c r="L48" i="35"/>
  <c r="M48" i="35"/>
  <c r="N48" i="35"/>
  <c r="O48" i="35"/>
  <c r="J7" i="35"/>
  <c r="K52" i="37"/>
  <c r="B3" i="46"/>
  <c r="B7" i="67"/>
  <c r="C35" i="44"/>
  <c r="C33" i="44"/>
  <c r="J21" i="44"/>
  <c r="J19" i="44"/>
  <c r="K65" i="40"/>
  <c r="J67" i="40"/>
  <c r="B4" i="46"/>
  <c r="B2" i="67"/>
  <c r="B4" i="67"/>
  <c r="J59"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39"/>
  <c r="C49" i="39"/>
  <c r="E49" i="39"/>
  <c r="G49" i="39"/>
  <c r="E54" i="39"/>
  <c r="F54" i="39"/>
  <c r="E53" i="39"/>
  <c r="F53" i="39"/>
  <c r="I49" i="39"/>
  <c r="I54" i="39"/>
  <c r="J54" i="39"/>
  <c r="I53" i="39"/>
  <c r="J53" i="39"/>
  <c r="G53" i="39"/>
  <c r="H53" i="39"/>
  <c r="G54" i="39"/>
  <c r="H54" i="39"/>
  <c r="C44" i="9"/>
  <c r="N69" i="9"/>
  <c r="D71" i="9"/>
  <c r="D66" i="9"/>
  <c r="N72" i="9"/>
  <c r="D76" i="9"/>
  <c r="D74" i="9"/>
  <c r="N74" i="9"/>
  <c r="D77" i="9"/>
  <c r="N75" i="9"/>
  <c r="O77" i="9"/>
  <c r="O79" i="9"/>
  <c r="O80" i="9"/>
  <c r="O81" i="9"/>
  <c r="C90" i="9"/>
  <c r="C96" i="9"/>
  <c r="C91" i="9"/>
  <c r="C97" i="9"/>
  <c r="C98" i="9"/>
  <c r="E98" i="9"/>
  <c r="E99" i="9"/>
  <c r="C99" i="9"/>
  <c r="Q77" i="9"/>
  <c r="O78" i="9"/>
  <c r="E114" i="9"/>
  <c r="E115" i="9"/>
  <c r="D14" i="66"/>
  <c r="E14" i="66"/>
  <c r="F14" i="66"/>
  <c r="D70" i="9"/>
  <c r="C82" i="9"/>
  <c r="C81" i="9"/>
  <c r="C85" i="9"/>
  <c r="C86" i="9"/>
  <c r="D72" i="9"/>
  <c r="R5" i="54"/>
  <c r="B48" i="63"/>
  <c r="N68" i="9"/>
  <c r="O38" i="9"/>
  <c r="K26" i="9"/>
  <c r="K25" i="9"/>
  <c r="C33" i="9"/>
  <c r="D42" i="9"/>
  <c r="Q5" i="54"/>
  <c r="B47" i="63"/>
  <c r="N38" i="9"/>
  <c r="K28" i="9"/>
  <c r="C34" i="9"/>
  <c r="E42" i="9"/>
  <c r="P5" i="54"/>
  <c r="B46" i="63"/>
  <c r="M38" i="9"/>
  <c r="K27" i="9"/>
  <c r="O43" i="9"/>
  <c r="C35" i="9"/>
  <c r="F42" i="9"/>
  <c r="U12" i="39"/>
  <c r="H12" i="40"/>
  <c r="U12" i="40"/>
  <c r="AB12" i="40"/>
  <c r="W12" i="39"/>
  <c r="J12" i="40"/>
  <c r="AC12" i="40"/>
  <c r="W12" i="40"/>
  <c r="S12" i="39"/>
  <c r="F12" i="40"/>
  <c r="S12" i="40"/>
  <c r="AA12" i="40"/>
  <c r="E44" i="9"/>
  <c r="F44" i="9"/>
  <c r="N43" i="9"/>
  <c r="G22" i="9"/>
  <c r="L43" i="9"/>
  <c r="D22" i="9"/>
  <c r="M83" i="9"/>
  <c r="N83" i="9"/>
  <c r="M84" i="9"/>
  <c r="N84" i="9"/>
  <c r="M85" i="9"/>
  <c r="N85" i="9"/>
  <c r="M86" i="9"/>
  <c r="N86" i="9"/>
  <c r="M87" i="9"/>
  <c r="N87" i="9"/>
  <c r="M88" i="9"/>
  <c r="N88" i="9"/>
  <c r="N89" i="9"/>
  <c r="O89" i="9"/>
  <c r="O39" i="9"/>
  <c r="R6" i="54"/>
  <c r="B50" i="63"/>
  <c r="K29" i="9"/>
  <c r="K30" i="9"/>
  <c r="D44" i="9"/>
  <c r="A27" i="9"/>
  <c r="G14" i="66"/>
  <c r="B4" i="39"/>
  <c r="C21" i="9"/>
  <c r="G21" i="9"/>
  <c r="F16" i="75"/>
  <c r="B3" i="39"/>
  <c r="C20" i="9"/>
  <c r="G20" i="9"/>
  <c r="G16" i="75"/>
  <c r="D15" i="66"/>
  <c r="G15" i="66"/>
  <c r="E15" i="66"/>
  <c r="F15" i="66"/>
  <c r="D16" i="66"/>
  <c r="G16" i="66"/>
  <c r="E16" i="66"/>
  <c r="F16" i="66"/>
  <c r="D17" i="66"/>
  <c r="B5" i="66"/>
  <c r="D5" i="66"/>
  <c r="C5" i="66"/>
  <c r="G17" i="66"/>
  <c r="B6" i="66"/>
  <c r="D6" i="66"/>
  <c r="C6" i="66"/>
  <c r="H16" i="75"/>
  <c r="H20" i="75"/>
  <c r="J16" i="75"/>
  <c r="J20" i="75"/>
  <c r="E17" i="66"/>
  <c r="F17"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<sst xmlns="http://schemas.openxmlformats.org/spreadsheetml/2006/main" count="8290" uniqueCount="3340">
  <si>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</si>
  <si>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</si>
  <si>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</si>
  <si>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</si>
  <si>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</si>
  <si>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</si>
  <si>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</si>
  <si>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</si>
  <si>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</si>
  <si>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</si>
  <si>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</si>
  <si>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</si>
  <si>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</si>
  <si>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</si>
  <si>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</si>
  <si>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</si>
  <si>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</si>
  <si>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</si>
  <si>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</si>
  <si>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</si>
  <si>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</si>
  <si>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</si>
  <si>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</si>
  <si>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</si>
  <si>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</si>
  <si>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</si>
  <si>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</si>
  <si>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</si>
  <si>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</si>
  <si>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</si>
  <si>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</si>
  <si>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</si>
  <si>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</si>
  <si>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</si>
  <si>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</si>
  <si>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</si>
  <si>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</si>
  <si>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</si>
  <si>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</si>
  <si>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</si>
  <si>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</si>
  <si>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</si>
  <si>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</si>
  <si>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</si>
  <si>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</si>
  <si>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</si>
  <si>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</si>
  <si>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</si>
  <si>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</si>
  <si>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</si>
  <si>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</si>
  <si>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</si>
  <si>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</si>
  <si>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</si>
  <si>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</si>
  <si>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</si>
  <si>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</si>
  <si>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</si>
  <si>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</si>
  <si>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</si>
  <si>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</si>
  <si>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</si>
  <si>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</si>
  <si>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</si>
  <si>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</si>
  <si>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</si>
  <si>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</si>
  <si>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</si>
  <si>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</si>
  <si>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</si>
  <si>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</si>
  <si>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</si>
  <si>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</si>
  <si>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</si>
  <si>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</si>
  <si>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</si>
  <si>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</si>
  <si>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</si>
  <si>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</si>
  <si>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</si>
  <si>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</si>
  <si>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</si>
  <si>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</si>
  <si>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</si>
  <si>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</si>
  <si>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</si>
  <si>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</si>
  <si>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</si>
  <si>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</si>
  <si>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</si>
  <si>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</si>
  <si>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</si>
  <si>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</si>
  <si>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</si>
  <si>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</si>
  <si>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</si>
  <si>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</si>
  <si>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</si>
  <si>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</si>
  <si>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</si>
  <si>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</si>
  <si>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</si>
  <si>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</si>
  <si>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</si>
  <si>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</si>
  <si>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</si>
  <si>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</si>
  <si>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</si>
  <si>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</si>
  <si>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</si>
  <si>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</si>
  <si>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</si>
  <si>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</si>
  <si>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</si>
  <si>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</si>
  <si>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</si>
  <si>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</si>
  <si>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</si>
  <si>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</si>
  <si>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</si>
  <si>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</si>
  <si>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</si>
  <si>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</si>
  <si>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</si>
  <si>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</si>
  <si>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</si>
  <si>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</si>
  <si>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</si>
  <si>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</si>
  <si>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</si>
  <si>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</si>
  <si>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</si>
  <si>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</si>
  <si>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</si>
  <si>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</si>
  <si>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</si>
  <si>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</si>
  <si>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</si>
  <si>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</si>
  <si>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</si>
  <si>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</si>
  <si>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</si>
  <si>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</si>
  <si>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</si>
  <si>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</si>
  <si>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</si>
  <si>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</si>
  <si>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</si>
  <si>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</si>
  <si>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</si>
  <si>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</si>
  <si>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</si>
  <si>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</si>
  <si>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</si>
  <si>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</si>
  <si>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</si>
  <si>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</si>
  <si>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</si>
  <si>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</si>
  <si>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</si>
  <si>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</si>
  <si>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</si>
  <si>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</si>
  <si>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</si>
  <si>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</si>
  <si>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</si>
  <si>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</si>
  <si>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</si>
  <si>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</si>
  <si>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</si>
  <si>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</si>
  <si>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</si>
  <si>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</si>
  <si>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</si>
  <si>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</si>
  <si>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</si>
  <si>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</si>
  <si>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</si>
  <si>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</si>
  <si>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</si>
  <si>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</si>
  <si>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</si>
  <si>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</si>
  <si>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</si>
  <si>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</si>
  <si>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</si>
  <si>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</si>
  <si>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</si>
  <si>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</si>
  <si>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</si>
  <si>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</si>
  <si>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</si>
  <si>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</si>
  <si>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</si>
  <si>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</si>
  <si>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</si>
  <si>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</si>
  <si>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</si>
  <si>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</si>
  <si>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</si>
  <si>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</si>
  <si>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</si>
  <si>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</si>
  <si>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</si>
  <si>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</si>
  <si>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</si>
  <si>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</si>
  <si>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</si>
  <si>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</si>
  <si>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</si>
  <si>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</si>
  <si>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</si>
  <si>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</si>
  <si>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</si>
  <si>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</si>
  <si>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</si>
  <si>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</si>
  <si>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</si>
  <si>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</si>
  <si>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</si>
  <si>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</si>
  <si>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</si>
  <si>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</si>
  <si>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</si>
  <si>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</si>
  <si>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</si>
  <si>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</si>
  <si>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</si>
  <si>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</si>
  <si>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</si>
  <si>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</si>
  <si>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</si>
  <si>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</si>
  <si>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</si>
  <si>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</si>
  <si>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</si>
  <si>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</si>
  <si>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</si>
  <si>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</si>
  <si>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</si>
  <si>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</si>
  <si>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</si>
  <si>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</si>
  <si>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</si>
  <si>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</si>
  <si>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</si>
  <si>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</si>
  <si>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</si>
  <si>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</si>
  <si>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</si>
  <si>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</si>
  <si>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</si>
  <si>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</si>
  <si>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</si>
  <si>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</si>
  <si>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</si>
  <si>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</si>
  <si>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</si>
  <si>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</si>
  <si>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</si>
  <si>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</si>
  <si>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</si>
  <si>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</si>
  <si>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</si>
  <si>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</si>
  <si>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</si>
  <si>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</si>
  <si>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</si>
  <si>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</si>
  <si>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</si>
  <si>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</si>
  <si>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</si>
  <si>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</si>
  <si>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</si>
  <si>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</si>
  <si>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</si>
  <si>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</si>
  <si>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</si>
  <si>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</si>
  <si>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</si>
  <si>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</si>
  <si>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</si>
  <si>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</si>
  <si>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</si>
  <si>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</si>
  <si>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</si>
  <si>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</si>
  <si>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</si>
  <si>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</si>
  <si>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</si>
  <si>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</si>
  <si>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</si>
  <si>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</si>
  <si>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</si>
  <si>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</si>
  <si>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</si>
  <si>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</si>
  <si>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</si>
  <si>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</si>
  <si>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</si>
  <si>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</si>
  <si>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</si>
  <si>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</si>
  <si>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</si>
  <si>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</si>
  <si>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</si>
  <si>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</si>
  <si>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</si>
  <si>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</si>
  <si>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</si>
  <si>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</si>
  <si>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</si>
  <si>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</si>
  <si>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</si>
  <si>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</si>
  <si>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</si>
  <si>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</si>
  <si>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</si>
  <si>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</si>
  <si>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</si>
  <si>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</si>
  <si>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</si>
  <si>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</si>
  <si>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</si>
  <si>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</si>
  <si>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</si>
  <si>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</si>
  <si>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</si>
  <si>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</si>
  <si>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</si>
  <si>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</si>
  <si>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</si>
  <si>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</si>
  <si>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</si>
  <si>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</si>
  <si>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</si>
  <si>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</si>
  <si>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</si>
  <si>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</si>
  <si>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</si>
  <si>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</si>
  <si>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</si>
  <si>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</si>
  <si>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</si>
  <si>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</si>
  <si>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</si>
  <si>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</si>
  <si>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</si>
  <si>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</si>
  <si>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</si>
  <si>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</si>
  <si>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</si>
  <si>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</si>
  <si>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</si>
  <si>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</si>
  <si>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</si>
  <si>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</si>
  <si>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</si>
  <si>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</si>
  <si>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</si>
  <si>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</si>
  <si>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</si>
  <si>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</si>
  <si>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</si>
  <si>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</si>
  <si>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</si>
  <si>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</si>
  <si>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</si>
  <si>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</si>
  <si>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</si>
  <si>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</si>
  <si>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</si>
  <si>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</si>
  <si>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</si>
  <si>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</si>
  <si>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</si>
  <si>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</si>
  <si>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</si>
  <si>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</si>
  <si>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</si>
  <si>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</si>
  <si>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</si>
  <si>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</si>
  <si>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</si>
  <si>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</si>
  <si>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</si>
  <si>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</si>
  <si>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</si>
  <si>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</si>
  <si>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</si>
  <si>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</si>
  <si>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</si>
  <si>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</si>
  <si>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</si>
  <si>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</si>
  <si>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</si>
  <si>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</si>
  <si>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</si>
  <si>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</si>
  <si>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</si>
  <si>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</si>
  <si>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</si>
  <si>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</si>
  <si>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</si>
  <si>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</si>
  <si>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</si>
  <si>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</si>
  <si>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</si>
  <si>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</si>
  <si>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</si>
  <si>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</si>
  <si>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</si>
  <si>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</si>
  <si>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</si>
  <si>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</si>
  <si>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</si>
  <si>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</si>
  <si>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</si>
  <si>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</si>
  <si>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</si>
  <si>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</si>
  <si>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</si>
  <si>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</si>
  <si>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</si>
  <si>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</si>
  <si>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</si>
  <si>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</si>
  <si>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</si>
  <si>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</si>
  <si>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</si>
  <si>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</si>
  <si>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</si>
  <si>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</si>
  <si>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</si>
  <si>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</si>
  <si>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</si>
  <si>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</si>
  <si>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</si>
  <si>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</si>
  <si>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</si>
  <si>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</si>
  <si>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</si>
  <si>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</si>
  <si>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</si>
  <si>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</si>
  <si>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</si>
  <si>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</si>
  <si>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</si>
  <si>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</si>
  <si>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</si>
  <si>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</si>
  <si>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</si>
  <si>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</si>
  <si>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</si>
  <si>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</si>
  <si>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</si>
  <si>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</si>
  <si>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</si>
  <si>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</si>
  <si>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</si>
  <si>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</si>
  <si>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</si>
  <si>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</si>
  <si>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</si>
  <si>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</si>
  <si>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</si>
  <si>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</si>
  <si>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</si>
  <si>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</si>
  <si>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</si>
  <si>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</si>
  <si>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</si>
  <si>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</si>
  <si>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</si>
  <si>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</si>
  <si>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</si>
  <si>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</si>
  <si>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</si>
  <si>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</si>
  <si>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</si>
  <si>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</si>
  <si>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</si>
  <si>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</si>
  <si>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</si>
  <si>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</si>
  <si>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</si>
  <si>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</si>
  <si>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</si>
  <si>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</si>
  <si>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</si>
  <si>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</si>
  <si>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</si>
  <si>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</si>
  <si>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</si>
  <si>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</si>
  <si>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</si>
  <si>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</si>
  <si>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</si>
  <si>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</si>
  <si>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</si>
  <si>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</si>
  <si>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</si>
  <si>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</si>
  <si>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</si>
  <si>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</si>
  <si>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</si>
  <si>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</si>
  <si>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</si>
  <si>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</si>
  <si>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</si>
  <si>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</si>
  <si>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</si>
  <si>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</si>
  <si>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</si>
  <si>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</si>
  <si>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</si>
  <si>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</si>
  <si>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</si>
  <si>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</si>
  <si>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</si>
  <si>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</si>
  <si>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</si>
  <si>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</si>
  <si>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</si>
  <si>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</si>
  <si>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</si>
  <si>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</si>
  <si>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</si>
  <si>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</si>
  <si>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</si>
  <si>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</si>
  <si>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</si>
  <si>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</si>
  <si>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</si>
  <si>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</si>
  <si>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</si>
  <si>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</si>
  <si>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</si>
  <si>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</si>
  <si>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</si>
  <si>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</si>
  <si>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</si>
  <si>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</si>
  <si>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</si>
  <si>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</si>
  <si>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</si>
  <si>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</si>
  <si>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</si>
  <si>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</si>
  <si>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</si>
  <si>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</si>
  <si>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</si>
  <si>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</si>
  <si>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</si>
  <si>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</si>
  <si>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</si>
  <si>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</si>
  <si>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</si>
  <si>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</si>
  <si>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</si>
  <si>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</si>
  <si>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</si>
  <si>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</si>
  <si>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</si>
  <si>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</si>
  <si>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</si>
  <si>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</si>
  <si>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</si>
  <si>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</si>
  <si>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</si>
  <si>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</si>
  <si>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</si>
  <si>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</si>
  <si>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</si>
  <si>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</si>
  <si>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</si>
  <si>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</si>
  <si>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</si>
  <si>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</si>
  <si>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</si>
  <si>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</si>
  <si>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</si>
  <si>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</si>
  <si>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</si>
  <si>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</si>
  <si>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</si>
  <si>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</si>
  <si>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</si>
  <si>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</si>
  <si>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</si>
  <si>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</si>
  <si>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</si>
  <si>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</si>
  <si>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</si>
  <si>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</si>
  <si>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</si>
  <si>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</si>
  <si>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</si>
  <si>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</si>
  <si>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</si>
  <si>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</si>
  <si>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</si>
  <si>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</si>
  <si>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</si>
  <si>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</si>
  <si>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</si>
  <si>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</si>
  <si>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</si>
  <si>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</si>
  <si>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</si>
  <si>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</si>
  <si>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</si>
  <si>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</si>
  <si>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</si>
  <si>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</si>
  <si>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</si>
  <si>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</si>
  <si>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</si>
  <si>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</si>
  <si>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</si>
  <si>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</si>
  <si>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</si>
  <si>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</si>
  <si>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</si>
  <si>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</si>
  <si>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</si>
  <si>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</si>
  <si>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</si>
  <si>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</si>
  <si>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</si>
  <si>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</si>
  <si>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</si>
  <si>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</si>
  <si>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</si>
  <si>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</si>
  <si>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</si>
  <si>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</si>
  <si>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</si>
  <si>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</si>
  <si>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</si>
  <si>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</si>
  <si>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</si>
  <si>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</si>
  <si>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</si>
  <si>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</si>
  <si>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</si>
  <si>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</si>
  <si>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</si>
  <si>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</si>
  <si>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</si>
  <si>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</si>
  <si>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</si>
  <si>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</si>
  <si>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</si>
  <si>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</si>
  <si>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</si>
  <si>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</si>
  <si>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</si>
  <si>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</si>
  <si>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</si>
  <si>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</si>
  <si>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</si>
  <si>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</si>
  <si>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</si>
  <si>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</si>
  <si>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</si>
  <si>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</si>
  <si>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</si>
  <si>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</si>
  <si>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</si>
  <si>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</si>
  <si>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</si>
  <si>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</si>
  <si>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</si>
  <si>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</si>
  <si>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</si>
  <si>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</si>
  <si>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</si>
  <si>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</si>
  <si>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</si>
  <si>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</si>
  <si>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</si>
  <si>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</si>
  <si>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</si>
  <si>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</si>
  <si>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</si>
  <si>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</si>
  <si>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</si>
  <si>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</si>
  <si>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</si>
  <si>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</si>
  <si>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</si>
  <si>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</si>
  <si>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</si>
  <si>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</si>
  <si>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</si>
  <si>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</si>
  <si>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</si>
  <si>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</si>
  <si>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</si>
  <si>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</si>
  <si>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</si>
  <si>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</si>
  <si>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</si>
  <si>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</si>
  <si>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</si>
  <si>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</si>
  <si>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</si>
  <si>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</si>
  <si>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</si>
  <si>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</si>
  <si>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</si>
  <si>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</si>
  <si>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</si>
  <si>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</si>
  <si>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</si>
  <si>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</si>
  <si>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</si>
  <si>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</si>
  <si>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</si>
  <si>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</si>
  <si>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</si>
  <si>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</si>
  <si>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</si>
  <si>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</si>
  <si>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</si>
  <si>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</si>
  <si>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</si>
  <si>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</si>
  <si>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</si>
  <si>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</si>
  <si>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</si>
  <si>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</si>
  <si>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</si>
  <si>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</si>
  <si>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</si>
  <si>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</si>
  <si>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</si>
  <si>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</si>
  <si>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</si>
  <si>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</si>
  <si>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</si>
  <si>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</si>
  <si>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</si>
  <si>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</si>
  <si>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</si>
  <si>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</si>
  <si>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</si>
  <si>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</si>
  <si>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</si>
  <si>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</si>
  <si>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</si>
  <si>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</si>
  <si>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</si>
  <si>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</si>
  <si>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</si>
  <si>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</si>
  <si>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</si>
  <si>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</si>
  <si>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</si>
  <si>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</si>
  <si>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</si>
  <si>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</si>
  <si>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</si>
  <si>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</si>
  <si>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</si>
  <si>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</si>
  <si>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</si>
  <si>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</si>
  <si>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</si>
  <si>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</si>
  <si>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</si>
  <si>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</si>
  <si>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</si>
  <si>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</si>
  <si>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</si>
  <si>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</si>
  <si>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</si>
  <si>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</si>
  <si>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</si>
  <si>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</si>
  <si>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</si>
  <si>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</si>
  <si>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</si>
  <si>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</si>
  <si>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</si>
  <si>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</si>
  <si>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</si>
  <si>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</si>
  <si>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</si>
  <si>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</si>
  <si>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</si>
  <si>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</si>
  <si>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</si>
  <si>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</si>
  <si>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</si>
  <si>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</si>
  <si>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</si>
  <si>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</si>
  <si>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</si>
  <si>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</si>
  <si>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</si>
  <si>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</si>
  <si>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</si>
  <si>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</si>
  <si>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</si>
  <si>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</si>
  <si>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</si>
  <si>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</si>
  <si>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</si>
  <si>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</si>
  <si>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</si>
  <si>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</si>
  <si>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</si>
  <si>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</si>
  <si>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</si>
  <si>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</si>
  <si>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</si>
  <si>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</si>
  <si>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</si>
  <si>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</si>
  <si>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</si>
  <si>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</si>
  <si>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</si>
  <si>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</si>
  <si>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</si>
  <si>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</si>
  <si>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</si>
  <si>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</si>
  <si>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</si>
  <si>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</si>
  <si>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</si>
  <si>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</si>
  <si>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</si>
  <si>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</si>
  <si>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</si>
  <si>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</si>
  <si>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</si>
  <si>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</si>
  <si>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</si>
  <si>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</si>
  <si>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</si>
  <si>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</si>
  <si>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</si>
  <si>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</si>
  <si>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</si>
  <si>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</si>
  <si>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</si>
  <si>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</si>
  <si>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</si>
  <si>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</si>
  <si>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</si>
  <si>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</si>
  <si>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</si>
  <si>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</si>
  <si>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</si>
  <si>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</si>
  <si>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</si>
  <si>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</si>
  <si>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</si>
  <si>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</si>
  <si>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</si>
  <si>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</si>
  <si>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</si>
  <si>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</si>
  <si>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</si>
  <si>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</si>
  <si>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</si>
  <si>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</si>
  <si>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</si>
  <si>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</si>
  <si>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</si>
  <si>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</si>
  <si>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</si>
  <si>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</si>
  <si>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</si>
  <si>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</si>
  <si>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</si>
  <si>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</si>
  <si>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</si>
  <si>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</si>
  <si>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</si>
  <si>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</si>
  <si>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</si>
  <si>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</si>
  <si>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</si>
  <si>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</si>
  <si>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</si>
  <si>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</si>
  <si>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</si>
  <si>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</si>
  <si>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</si>
  <si>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</si>
  <si>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</si>
  <si>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</si>
  <si>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</si>
  <si>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</si>
  <si>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</si>
  <si>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</si>
  <si>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</si>
  <si>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</si>
  <si>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</si>
  <si>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</si>
  <si>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</si>
  <si>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</si>
  <si>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</si>
  <si>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</si>
  <si>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</si>
  <si>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</si>
  <si>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</si>
  <si>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</si>
  <si>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</si>
  <si>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</si>
  <si>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</si>
  <si>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</si>
  <si>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</si>
  <si>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</si>
  <si>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</si>
  <si>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</si>
  <si>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</si>
  <si>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</si>
  <si>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</si>
  <si>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</si>
  <si>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</si>
  <si>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</si>
  <si>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</si>
  <si>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</si>
  <si>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</si>
  <si>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</si>
  <si>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</si>
  <si>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</si>
  <si>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</si>
  <si>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</si>
  <si>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</si>
  <si>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</si>
  <si>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</si>
  <si>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</si>
  <si>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</si>
  <si>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</si>
  <si>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</si>
  <si>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</si>
  <si>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</si>
  <si>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</si>
  <si>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</si>
  <si>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</si>
  <si>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</si>
  <si>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</si>
  <si>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</si>
  <si>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</si>
  <si>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</si>
  <si>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</si>
  <si>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</si>
  <si>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</si>
  <si>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</si>
  <si>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</si>
  <si>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</si>
  <si>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</si>
  <si>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</si>
  <si>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</si>
  <si>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</si>
  <si>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</si>
  <si>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</si>
  <si>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</si>
  <si>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</si>
  <si>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</si>
  <si>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</si>
  <si>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</si>
  <si>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</si>
  <si>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</si>
  <si>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</si>
  <si>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</si>
  <si>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</si>
  <si>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</si>
  <si>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</si>
  <si>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</si>
  <si>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</si>
  <si>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</si>
  <si>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</si>
  <si>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</si>
  <si>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</si>
  <si>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</si>
  <si>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</si>
  <si>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</si>
  <si>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</si>
  <si>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</si>
  <si>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</si>
  <si>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</si>
  <si>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</si>
  <si>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</si>
  <si>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</si>
  <si>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</si>
  <si>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</si>
  <si>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</si>
  <si>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</si>
  <si>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</si>
  <si>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</si>
  <si>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</si>
  <si>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</si>
  <si>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</si>
  <si>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</si>
  <si>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</si>
  <si>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</si>
  <si>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</si>
  <si>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</si>
  <si>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</si>
  <si>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</si>
  <si>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</si>
  <si>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</si>
  <si>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</si>
  <si>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</si>
  <si>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</si>
  <si>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</si>
  <si>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</si>
  <si>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</si>
  <si>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</si>
  <si>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</si>
  <si>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</si>
  <si>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</si>
  <si>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</si>
  <si>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</si>
  <si>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</si>
  <si>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</si>
  <si>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</si>
  <si>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</si>
  <si>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</si>
  <si>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</si>
  <si>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</si>
  <si>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</si>
  <si>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</si>
  <si>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</si>
  <si>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</si>
  <si>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</si>
  <si>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</si>
  <si>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</si>
  <si>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</si>
  <si>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</si>
  <si>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</si>
  <si>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</si>
  <si>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</si>
  <si>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</si>
  <si>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</si>
  <si>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</si>
  <si>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</si>
  <si>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</si>
  <si>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</si>
  <si>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</si>
  <si>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</si>
  <si>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</si>
  <si>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</si>
  <si>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</si>
  <si>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</si>
  <si>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</si>
  <si>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</si>
  <si>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</si>
  <si>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</si>
  <si>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</si>
  <si>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</si>
  <si>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</si>
  <si>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</si>
  <si>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</si>
  <si>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</si>
  <si>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</si>
  <si>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</si>
  <si>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</si>
  <si>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</si>
  <si>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</si>
  <si>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</si>
  <si>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</si>
  <si>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</si>
  <si>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</si>
  <si>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</si>
  <si>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</si>
  <si>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</si>
  <si>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</si>
  <si>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</si>
  <si>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</si>
  <si>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</si>
  <si>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</si>
  <si>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</si>
  <si>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</si>
  <si>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</si>
  <si>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</si>
  <si>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</si>
  <si>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</si>
  <si>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</si>
  <si>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</si>
  <si>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</si>
  <si>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</si>
  <si>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</si>
  <si>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</si>
  <si>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</si>
  <si>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</si>
  <si>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</si>
  <si>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</si>
  <si>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</si>
  <si>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</si>
  <si>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</si>
  <si>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</si>
  <si>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</si>
  <si>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</si>
  <si>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</si>
  <si>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</si>
  <si>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</si>
  <si>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</si>
  <si>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</si>
  <si>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</si>
  <si>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</si>
  <si>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</si>
  <si>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</si>
  <si>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</si>
  <si>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</si>
  <si>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</si>
  <si>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</si>
  <si>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</si>
  <si>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</si>
  <si>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</si>
  <si>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</si>
  <si>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</si>
  <si>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</si>
  <si>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</si>
  <si>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</si>
  <si>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</si>
  <si>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</si>
  <si>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</si>
  <si>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</si>
  <si>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</si>
  <si>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</si>
  <si>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</si>
  <si>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</si>
  <si>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</si>
  <si>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</si>
  <si>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</si>
  <si>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</si>
  <si>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</si>
  <si>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</si>
  <si>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</si>
  <si>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</si>
  <si>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</si>
  <si>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</si>
  <si>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</si>
  <si>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</si>
  <si>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</si>
  <si>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</si>
  <si>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</si>
  <si>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</si>
  <si>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</si>
  <si>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</si>
  <si>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</si>
  <si>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</si>
  <si>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</si>
  <si>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</si>
  <si>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</si>
  <si>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</si>
  <si>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</si>
  <si>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</si>
  <si>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</si>
  <si>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</si>
  <si>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</si>
  <si>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</si>
  <si>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</si>
  <si>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</si>
  <si>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</si>
  <si>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</si>
  <si>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</si>
  <si>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</si>
  <si>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</si>
  <si>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</si>
  <si>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</si>
  <si>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</si>
  <si>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</si>
  <si>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</si>
  <si>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</si>
  <si>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</si>
  <si>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</si>
  <si>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</si>
  <si>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</si>
  <si>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</si>
  <si>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</si>
  <si>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</si>
  <si>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</si>
  <si>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</si>
  <si>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</si>
  <si>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</si>
  <si>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</si>
  <si>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</si>
  <si>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</si>
  <si>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</si>
  <si>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</si>
  <si>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</si>
  <si>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</si>
  <si>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</si>
  <si>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</si>
  <si>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</si>
  <si>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</si>
  <si>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</si>
  <si>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</si>
  <si>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</si>
  <si>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</si>
  <si>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</si>
  <si>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</si>
  <si>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</si>
  <si>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</si>
  <si>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</si>
  <si>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</si>
  <si>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</si>
  <si>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</si>
  <si>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</si>
  <si>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</si>
  <si>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</si>
  <si>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</si>
  <si>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</si>
  <si>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</si>
  <si>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</si>
  <si>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</si>
  <si>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</si>
  <si>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</si>
  <si>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</si>
  <si>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</si>
  <si>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</si>
  <si>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</si>
  <si>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</si>
  <si>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</si>
  <si>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</si>
  <si>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</si>
  <si>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</si>
  <si>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</si>
  <si>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</si>
  <si>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</si>
  <si>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</si>
  <si>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</si>
  <si>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</si>
  <si>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</si>
  <si>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</si>
  <si>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</si>
  <si>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</si>
  <si>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</si>
  <si>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</si>
  <si>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</si>
  <si>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</si>
  <si>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</si>
  <si>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</si>
  <si>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</si>
  <si>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</si>
  <si>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</si>
  <si>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</si>
  <si>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</si>
  <si>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</si>
  <si>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</si>
  <si>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</si>
  <si>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</si>
  <si>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</si>
  <si>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</si>
  <si>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</si>
  <si>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</si>
  <si>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</si>
  <si>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</si>
  <si>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</si>
  <si>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</si>
  <si>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</si>
  <si>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</si>
  <si>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</si>
  <si>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</si>
  <si>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</si>
  <si>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</si>
  <si>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</si>
  <si>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</si>
  <si>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</si>
  <si>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</si>
  <si>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</si>
  <si>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</si>
  <si>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</si>
  <si>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</si>
  <si>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</si>
  <si>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</si>
  <si>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</si>
  <si>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</si>
  <si>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</si>
  <si>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</si>
  <si>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</si>
  <si>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</si>
  <si>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</si>
  <si>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</si>
  <si>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</si>
  <si>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</si>
  <si>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</si>
  <si>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</si>
  <si>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</si>
  <si>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</si>
  <si>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</si>
  <si>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</si>
  <si>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</si>
  <si>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</si>
  <si>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</si>
  <si>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</si>
  <si>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</si>
  <si>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</si>
  <si>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</si>
  <si>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</si>
  <si>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</si>
  <si>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</si>
  <si>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</si>
  <si>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</si>
  <si>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</si>
  <si>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</si>
  <si>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</si>
  <si>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</si>
  <si>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</si>
  <si>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</si>
  <si>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</si>
  <si>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</si>
  <si>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</si>
  <si>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</si>
  <si>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</si>
  <si>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</si>
  <si>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</si>
  <si>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</si>
  <si>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</si>
  <si>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</si>
  <si>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</si>
  <si>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</si>
  <si>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</si>
  <si>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</si>
  <si>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</si>
  <si>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</si>
  <si>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</si>
  <si>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</si>
  <si>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</si>
  <si>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</si>
  <si>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</si>
  <si>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</si>
  <si>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</si>
  <si>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</si>
  <si>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</si>
  <si>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</si>
  <si>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</si>
  <si>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</si>
  <si>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</si>
  <si>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</si>
  <si>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</si>
  <si>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</si>
  <si>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</si>
  <si>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</si>
  <si>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</si>
  <si>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</si>
  <si>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</si>
  <si>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</si>
  <si>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</si>
  <si>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</si>
  <si>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</si>
  <si>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</si>
  <si>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</si>
  <si>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</si>
  <si>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</si>
  <si>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</si>
  <si>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</si>
  <si>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</si>
  <si>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</si>
  <si>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</si>
  <si>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</si>
  <si>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</si>
  <si>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</si>
  <si>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</si>
  <si>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</si>
  <si>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</si>
  <si>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</si>
  <si>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</si>
  <si>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</si>
  <si>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</si>
  <si>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</si>
  <si>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</si>
  <si>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</si>
  <si>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</si>
  <si>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</si>
  <si>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</si>
  <si>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</si>
  <si>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</si>
  <si>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</si>
  <si>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</si>
  <si>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</si>
  <si>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</si>
  <si>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</si>
  <si>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</si>
  <si>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</si>
  <si>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</si>
  <si>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</si>
  <si>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</si>
  <si>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</si>
  <si>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</si>
  <si>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</si>
  <si>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</si>
  <si>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</si>
  <si>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</si>
  <si>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</si>
  <si>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</si>
  <si>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</si>
  <si>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</si>
  <si>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</si>
  <si>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</si>
  <si>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</si>
  <si>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</si>
  <si>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</si>
  <si>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</si>
  <si>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</si>
  <si>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</si>
  <si>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</si>
  <si>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</si>
  <si>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</si>
  <si>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</si>
  <si>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</si>
  <si>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</si>
  <si>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</si>
  <si>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</si>
  <si>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</si>
  <si>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</si>
  <si>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</si>
  <si>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</si>
  <si>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</si>
  <si>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</si>
  <si>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</si>
  <si>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</si>
  <si>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</si>
  <si>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</si>
  <si>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</si>
  <si>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</si>
  <si>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</si>
  <si>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</si>
  <si>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</si>
  <si>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</si>
  <si>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</si>
  <si>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</si>
  <si>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</si>
  <si>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</si>
  <si>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</si>
  <si>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</si>
  <si>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</si>
  <si>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</si>
  <si>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</si>
  <si>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</si>
  <si>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</si>
  <si>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</si>
  <si>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</si>
  <si>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</si>
  <si>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</si>
  <si>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</si>
  <si>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</si>
  <si>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</si>
  <si>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</si>
  <si>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</si>
  <si>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</si>
  <si>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</si>
  <si>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</si>
  <si>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</si>
  <si>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</si>
  <si>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</si>
  <si>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</si>
  <si>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</si>
  <si>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</si>
  <si>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</si>
  <si>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</si>
  <si>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</si>
  <si>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</si>
  <si>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</si>
  <si>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</si>
  <si>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</si>
  <si>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</si>
  <si>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</si>
  <si>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</si>
  <si>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</si>
  <si>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</si>
  <si>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</si>
  <si>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</si>
  <si>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</si>
  <si>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</si>
  <si>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</si>
  <si>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</si>
  <si>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</si>
  <si>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</si>
  <si>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</si>
  <si>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</si>
  <si>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</si>
  <si>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</si>
  <si>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</si>
  <si>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</si>
  <si>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</si>
  <si>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</si>
  <si>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</si>
  <si>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</si>
  <si>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</si>
  <si>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</si>
  <si>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</si>
  <si>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</si>
  <si>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</si>
  <si>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</si>
  <si>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</si>
  <si>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</si>
  <si>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</si>
  <si>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</si>
  <si>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</si>
  <si>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</si>
  <si>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</si>
  <si>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</si>
  <si>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</si>
  <si>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</si>
  <si>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</si>
  <si>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</si>
  <si>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</si>
  <si>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</si>
  <si>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</si>
  <si>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</si>
  <si>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</si>
  <si>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</si>
  <si>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</si>
  <si>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</si>
  <si>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</si>
  <si>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</si>
  <si>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</si>
  <si>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</si>
  <si>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</si>
  <si>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</si>
  <si>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</si>
  <si>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</si>
  <si>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</si>
  <si>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</si>
  <si>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</si>
  <si>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</si>
  <si>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</si>
  <si>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</si>
  <si>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</si>
  <si>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</si>
  <si>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</si>
  <si>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</si>
  <si>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</si>
  <si>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</si>
  <si>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</si>
  <si>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</si>
  <si>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</si>
  <si>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</si>
  <si>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</si>
  <si>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</si>
  <si>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</si>
  <si>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</si>
  <si>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</si>
  <si>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</si>
  <si>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</si>
  <si>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</si>
  <si>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</si>
  <si>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</si>
  <si>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</si>
  <si>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</si>
  <si>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</si>
  <si>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</si>
  <si>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</si>
  <si>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</si>
  <si>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</si>
  <si>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</si>
  <si>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</si>
  <si>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</si>
  <si>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</si>
  <si>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</si>
  <si>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</si>
  <si>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</si>
  <si>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</si>
  <si>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</si>
  <si>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</si>
  <si>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</si>
  <si>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</si>
  <si>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</si>
  <si>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</si>
  <si>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</si>
  <si>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</si>
  <si>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</si>
  <si>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</si>
  <si>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</si>
  <si>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</si>
  <si>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</si>
  <si>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</si>
  <si>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</si>
  <si>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</si>
  <si>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</si>
  <si>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</si>
  <si>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</si>
  <si>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</si>
  <si>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</si>
  <si>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</si>
  <si>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</si>
  <si>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</si>
  <si>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</si>
  <si>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</si>
  <si>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</si>
  <si>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</si>
  <si>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</si>
  <si>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</si>
  <si>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</si>
  <si>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</si>
  <si>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</si>
  <si>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</si>
  <si>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</si>
  <si>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</si>
  <si>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</si>
  <si>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</si>
  <si>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</si>
  <si>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</si>
  <si>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</si>
  <si>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</si>
  <si>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</si>
  <si>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</si>
  <si>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</si>
  <si>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</si>
  <si>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</si>
  <si>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</si>
  <si>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</si>
  <si>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</si>
  <si>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</si>
  <si>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</si>
  <si>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</si>
  <si>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</si>
  <si>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</si>
  <si>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</si>
  <si>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</si>
  <si>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</si>
  <si>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</si>
  <si>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</si>
  <si>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</si>
  <si>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</si>
  <si>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</si>
  <si>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</si>
  <si>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</si>
  <si>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</si>
  <si>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</si>
  <si>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</si>
  <si>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</si>
  <si>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</si>
  <si>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</si>
  <si>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</si>
  <si>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</si>
  <si>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</si>
  <si>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</si>
  <si>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</si>
  <si>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</si>
  <si>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</si>
  <si>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</si>
  <si>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</si>
  <si>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</si>
  <si>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</si>
  <si>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</si>
  <si>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</si>
  <si>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</si>
  <si>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</si>
  <si>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</si>
  <si>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</si>
  <si>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</si>
  <si>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</si>
  <si>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</si>
  <si>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</si>
  <si>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</si>
  <si>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</si>
  <si>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</si>
  <si>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</si>
  <si>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</si>
  <si>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</si>
  <si>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</si>
  <si>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</si>
  <si>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</si>
  <si>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</si>
  <si>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</si>
  <si>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</si>
  <si>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</si>
  <si>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</si>
  <si>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</si>
  <si>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</si>
  <si>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</si>
  <si>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</si>
  <si>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</si>
  <si>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</si>
  <si>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</si>
  <si>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</si>
  <si>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</si>
  <si>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</si>
  <si>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</si>
  <si>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</si>
  <si>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</si>
  <si>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</si>
  <si>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</si>
  <si>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</si>
  <si>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</si>
  <si>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</si>
  <si>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</si>
  <si>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</si>
  <si>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</si>
  <si>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</si>
  <si>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</si>
  <si>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</si>
  <si>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</si>
  <si>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</si>
  <si>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</si>
  <si>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</si>
  <si>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</si>
  <si>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</si>
  <si>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</si>
  <si>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</si>
  <si>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</si>
  <si>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</si>
  <si>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</si>
  <si>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</si>
  <si>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</si>
  <si>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</si>
  <si>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</si>
  <si>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</si>
  <si>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</si>
  <si>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</si>
  <si>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</si>
  <si>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</si>
  <si>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</si>
  <si>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</si>
  <si>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</si>
  <si>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</si>
  <si>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</si>
  <si>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</si>
  <si>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</si>
  <si>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</si>
  <si>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</si>
  <si>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</si>
  <si>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</si>
  <si>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</si>
  <si>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</si>
  <si>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</si>
  <si>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</si>
  <si>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</si>
  <si>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</si>
  <si>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</si>
  <si>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</si>
  <si>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</si>
  <si>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</si>
  <si>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</si>
  <si>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</si>
  <si>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</si>
  <si>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</si>
  <si>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</si>
  <si>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</si>
  <si>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</si>
  <si>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</si>
  <si>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</si>
  <si>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</si>
  <si>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</si>
  <si>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</si>
  <si>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</si>
  <si>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</si>
  <si>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</si>
  <si>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</si>
  <si>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</si>
  <si>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</si>
  <si>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</si>
  <si>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</si>
  <si>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</si>
  <si>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</si>
  <si>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</si>
  <si>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</si>
  <si>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</si>
  <si>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</si>
  <si>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</si>
  <si>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</si>
  <si>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</si>
  <si>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</si>
  <si>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</si>
  <si>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</si>
  <si>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</si>
  <si>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</si>
  <si>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</si>
  <si>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</si>
  <si>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</si>
  <si>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</si>
  <si>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</si>
  <si>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</si>
  <si>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</si>
  <si>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</si>
  <si>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</si>
  <si>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</si>
  <si>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</si>
  <si>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</si>
  <si>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</si>
  <si>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</si>
  <si>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</si>
  <si>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</si>
  <si>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</si>
  <si>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</si>
  <si>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</si>
  <si>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</si>
  <si>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</si>
  <si>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</si>
  <si>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</si>
  <si>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</si>
  <si>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</si>
  <si>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</si>
  <si>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</si>
  <si>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</si>
  <si>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</si>
  <si>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</si>
  <si>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</si>
  <si>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</si>
  <si>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</si>
  <si>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</si>
  <si>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</si>
  <si>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</si>
  <si>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</si>
  <si>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</si>
  <si>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</si>
  <si>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</si>
  <si>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</si>
  <si>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</si>
  <si>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</si>
  <si>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</si>
  <si>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</si>
  <si>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</si>
  <si>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</si>
  <si>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</si>
  <si>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</si>
  <si>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</si>
  <si>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</si>
  <si>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</si>
  <si>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</si>
  <si>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</si>
  <si>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</si>
  <si>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</si>
  <si>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</si>
  <si>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</si>
  <si>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</si>
  <si>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</si>
  <si>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</si>
  <si>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</si>
  <si>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</si>
  <si>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</si>
  <si>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</si>
  <si>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</si>
  <si>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</si>
  <si>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</si>
  <si>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</si>
  <si>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</si>
  <si>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</si>
  <si>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</si>
  <si>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</si>
  <si>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</si>
  <si>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</si>
  <si>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</si>
  <si>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</si>
  <si>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</si>
  <si>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</si>
  <si>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</si>
  <si>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</si>
  <si>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</si>
  <si>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</si>
  <si>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</si>
  <si>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</si>
  <si>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</si>
  <si>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</si>
  <si>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</si>
  <si>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</si>
  <si>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</si>
  <si>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</si>
  <si>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</si>
  <si>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</si>
  <si>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</si>
  <si>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</si>
  <si>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</si>
  <si>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</si>
  <si>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</si>
  <si>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</si>
  <si>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</si>
  <si>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</si>
  <si>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</si>
  <si>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</si>
  <si>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</si>
  <si>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</si>
  <si>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</si>
  <si>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</si>
  <si>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</si>
  <si>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</si>
  <si>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</si>
  <si>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</si>
  <si>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</si>
  <si>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</si>
  <si>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</si>
  <si>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</si>
  <si>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</si>
  <si>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</si>
  <si>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</si>
  <si>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</si>
  <si>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</si>
  <si>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</si>
  <si>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</si>
  <si>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</si>
  <si>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</si>
  <si>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</si>
  <si>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</si>
  <si>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</si>
  <si>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</si>
  <si>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</si>
  <si>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</si>
  <si>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</si>
  <si>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</si>
  <si>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</si>
  <si>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</si>
  <si>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</si>
  <si>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</si>
  <si>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</si>
  <si>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</si>
  <si>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</si>
  <si>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</si>
  <si>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</si>
  <si>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</si>
  <si>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</si>
  <si>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</si>
  <si>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</si>
  <si>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</si>
  <si>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</si>
  <si>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</si>
  <si>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</si>
  <si>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</si>
  <si>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</si>
  <si>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</si>
  <si>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</si>
  <si>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</si>
  <si>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</si>
  <si>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</si>
  <si>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</si>
  <si>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</si>
  <si>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</si>
  <si>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</si>
  <si>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</si>
  <si>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</si>
  <si>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</si>
  <si>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</si>
  <si>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</si>
  <si>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</si>
  <si>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</si>
  <si>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</si>
  <si>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</si>
  <si>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</si>
  <si>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</si>
  <si>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</si>
  <si>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</si>
  <si>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</si>
  <si>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</si>
  <si>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</si>
  <si>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</si>
  <si>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</si>
  <si>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</si>
  <si>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</si>
  <si>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</si>
  <si>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</si>
  <si>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</si>
  <si>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</si>
  <si>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</si>
  <si>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</si>
  <si>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</si>
  <si>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</si>
  <si>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</si>
  <si>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</si>
  <si>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</si>
  <si>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</si>
  <si>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</si>
  <si>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</si>
  <si>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</si>
  <si>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</si>
  <si>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</si>
  <si>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</si>
  <si>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</si>
  <si>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</si>
  <si>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</si>
  <si>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</si>
  <si>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</si>
  <si>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</si>
  <si>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</si>
  <si>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</si>
  <si>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</si>
  <si>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</si>
  <si>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</si>
  <si>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</si>
  <si>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</si>
  <si>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</si>
  <si>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</si>
  <si>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</si>
  <si>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</si>
  <si>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</si>
  <si>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</si>
  <si>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</si>
  <si>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</si>
  <si>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</si>
  <si>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</si>
  <si>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</si>
  <si>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</si>
  <si>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</si>
  <si>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</si>
  <si>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</si>
  <si>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</si>
  <si>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</si>
  <si>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</si>
  <si>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</si>
  <si>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</si>
  <si>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</si>
  <si>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</si>
  <si>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</si>
  <si>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</si>
  <si>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</si>
  <si>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</si>
  <si>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</si>
  <si>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</si>
  <si>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</si>
  <si>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</si>
  <si>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</si>
  <si>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</si>
  <si>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</si>
  <si>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</si>
  <si>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</si>
  <si>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</si>
  <si>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</si>
  <si>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</si>
  <si>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</si>
  <si>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</si>
  <si>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</si>
  <si>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</si>
  <si>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</si>
  <si>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</si>
  <si>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</si>
  <si>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</si>
  <si>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</si>
  <si>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</si>
  <si>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</si>
  <si>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</si>
  <si>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</si>
  <si>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</si>
  <si>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</si>
  <si>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</si>
  <si>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</si>
  <si>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</si>
  <si>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</si>
  <si>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</si>
  <si>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</si>
  <si>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</si>
  <si>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</si>
  <si>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</si>
  <si>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</si>
  <si>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</si>
  <si>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</si>
  <si>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</si>
  <si>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</si>
  <si>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</si>
  <si>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</si>
  <si>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</si>
  <si>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</si>
  <si>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</si>
  <si>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</si>
  <si>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</si>
  <si>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</si>
  <si>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</si>
  <si>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</si>
  <si>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</si>
  <si>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</si>
  <si>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</si>
  <si>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</si>
  <si>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</si>
  <si>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</si>
  <si>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</si>
  <si>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</si>
  <si>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</si>
  <si>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</si>
  <si>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</si>
  <si>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</si>
  <si>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</si>
  <si>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</si>
  <si>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</si>
  <si>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</si>
  <si>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</si>
  <si>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</si>
  <si>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</si>
  <si>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</si>
  <si>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</si>
  <si>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</si>
  <si>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</si>
  <si>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</si>
  <si>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</si>
  <si>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</si>
  <si>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</si>
  <si>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</si>
  <si>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</si>
  <si>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</si>
  <si>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</si>
  <si>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</si>
  <si>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</si>
  <si>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</si>
  <si>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</si>
  <si>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</si>
  <si>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</si>
  <si>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</si>
  <si>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</si>
  <si>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</si>
  <si>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</si>
  <si>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</si>
  <si>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</si>
  <si>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</si>
  <si>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</si>
  <si>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</si>
  <si>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</si>
  <si>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</si>
  <si>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</si>
  <si>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</si>
  <si>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</si>
  <si>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</si>
  <si>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</si>
  <si>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</si>
  <si>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</si>
  <si>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</si>
  <si>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</si>
  <si>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</si>
  <si>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</si>
  <si>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</si>
  <si>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</si>
  <si>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</si>
  <si>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</si>
  <si>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</si>
  <si>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</si>
  <si>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</si>
  <si>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</si>
  <si>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</si>
  <si>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</si>
  <si>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</si>
  <si>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</si>
  <si>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</si>
  <si>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</si>
  <si>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</si>
  <si>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</si>
  <si>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</si>
  <si>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</si>
  <si>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</si>
  <si>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</si>
  <si>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</si>
  <si>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</si>
  <si>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</si>
  <si>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</si>
  <si>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</si>
  <si>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</si>
  <si>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</si>
  <si>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</si>
  <si>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</si>
  <si>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</si>
  <si>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</si>
  <si>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</si>
  <si>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</si>
  <si>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</si>
  <si>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</si>
  <si>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</si>
  <si>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</si>
  <si>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</si>
  <si>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</si>
  <si>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</si>
  <si>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</si>
  <si>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</si>
  <si>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</si>
  <si>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</si>
  <si>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</si>
  <si>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</si>
  <si>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</si>
  <si>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</si>
  <si>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</si>
  <si>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</si>
  <si>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</si>
  <si>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</si>
  <si>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</si>
  <si>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</si>
  <si>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</si>
  <si>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</si>
  <si>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</si>
  <si>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</si>
  <si>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</si>
  <si>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</si>
  <si>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</si>
  <si>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</si>
  <si>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</si>
  <si>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</si>
  <si>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</si>
  <si>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</si>
  <si>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</si>
  <si>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</si>
  <si>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</si>
  <si>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</si>
  <si>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</si>
  <si>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</si>
  <si>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</si>
  <si>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</si>
  <si>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</si>
  <si>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</si>
  <si>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</si>
  <si>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</si>
  <si>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</si>
  <si>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</si>
  <si>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</si>
  <si>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</si>
  <si>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</si>
  <si>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</si>
  <si>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</si>
  <si>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</si>
  <si>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</si>
  <si>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</si>
  <si>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</si>
  <si>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</si>
  <si>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</si>
  <si>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</si>
  <si>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</si>
  <si>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</si>
  <si>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</si>
  <si>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</si>
  <si>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</si>
  <si>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</si>
  <si>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</si>
  <si>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</si>
  <si>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</si>
  <si>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</si>
  <si>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</si>
  <si>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</si>
  <si>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</si>
  <si>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</si>
  <si>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</si>
  <si>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</si>
  <si>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</si>
  <si>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</si>
  <si>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</si>
  <si>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</si>
  <si>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</si>
  <si>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</si>
  <si>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</si>
  <si>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</si>
  <si>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</si>
  <si>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</si>
  <si>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</si>
  <si>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</si>
  <si>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</si>
  <si>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</si>
  <si>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</si>
  <si>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</si>
  <si>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</si>
  <si>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</si>
  <si>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</si>
  <si>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</si>
  <si>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</si>
  <si>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</si>
  <si>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</si>
  <si>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</si>
  <si>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</si>
  <si>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</si>
  <si>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</si>
  <si>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</si>
  <si>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</si>
  <si>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</si>
  <si>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</si>
  <si>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</si>
  <si>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</si>
  <si>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</si>
  <si>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</si>
  <si>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</si>
  <si>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</si>
  <si>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</si>
  <si>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</si>
  <si>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</si>
  <si>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</si>
  <si>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</si>
  <si>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</si>
  <si>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</si>
  <si>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</si>
  <si>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</si>
  <si>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</si>
  <si>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</si>
  <si>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</si>
  <si>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</si>
  <si>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</si>
  <si>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</si>
  <si>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</si>
  <si>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</si>
  <si>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</si>
  <si>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</si>
  <si>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</si>
  <si>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</si>
  <si>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</si>
  <si>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</si>
  <si>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</si>
  <si>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</si>
  <si>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</si>
  <si>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</si>
  <si>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</si>
  <si>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</si>
  <si>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</si>
  <si>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</si>
  <si>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</si>
  <si>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</si>
  <si>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</si>
  <si>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</si>
  <si>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</si>
  <si>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</si>
  <si>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</si>
  <si>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</si>
  <si>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</si>
  <si>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</si>
  <si>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</si>
  <si>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</si>
  <si>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</si>
  <si>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</si>
  <si>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</si>
  <si>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</si>
  <si>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</si>
  <si>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</si>
  <si>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</si>
  <si>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</si>
  <si>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</si>
  <si>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</si>
  <si>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</si>
  <si>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</si>
  <si>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</si>
  <si>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</si>
  <si>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</si>
  <si>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</si>
  <si>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</si>
  <si>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</si>
  <si>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</si>
  <si>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</si>
  <si>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</si>
  <si>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</si>
  <si>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</si>
  <si>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</si>
  <si>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</si>
  <si>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</si>
  <si>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</si>
  <si>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</si>
  <si>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</si>
  <si>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</si>
  <si>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</si>
  <si>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</si>
  <si>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</si>
  <si>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</si>
  <si>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</si>
  <si>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</si>
  <si>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</si>
  <si>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</si>
  <si>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</si>
  <si>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</si>
  <si>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</si>
  <si>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</si>
  <si>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</si>
  <si>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</si>
  <si>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</si>
  <si>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</si>
  <si>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</si>
  <si>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</si>
  <si>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</si>
  <si>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</si>
  <si>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</si>
  <si>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</si>
  <si>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</si>
  <si>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</si>
  <si>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</si>
  <si>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</si>
  <si>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</si>
  <si>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</si>
  <si>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</si>
  <si>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</si>
  <si>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</si>
  <si>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</si>
  <si>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</si>
  <si>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</si>
  <si>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</si>
  <si>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</si>
  <si>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</si>
  <si>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</si>
  <si>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</si>
  <si>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</si>
  <si>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</si>
  <si>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</si>
  <si>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</si>
  <si>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</si>
  <si>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</si>
  <si>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</si>
  <si>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</si>
  <si>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</si>
  <si>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</si>
  <si>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</si>
  <si>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</si>
  <si>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</si>
  <si>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</si>
  <si>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</si>
  <si>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</si>
  <si>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</si>
  <si>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</si>
  <si>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</si>
  <si>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</si>
  <si>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</si>
  <si>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</si>
  <si>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</si>
  <si>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</si>
  <si>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</si>
  <si>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</si>
  <si>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</si>
  <si>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</si>
  <si>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</si>
  <si>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</si>
  <si>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</si>
  <si>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</si>
  <si>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</si>
  <si>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</si>
  <si>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</si>
  <si>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</si>
  <si>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</si>
  <si>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</si>
  <si>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</si>
  <si>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</si>
  <si>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</si>
  <si>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</si>
  <si>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</si>
  <si>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</si>
  <si>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</si>
  <si>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</si>
  <si>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</si>
  <si>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</si>
  <si>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</si>
  <si>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</si>
  <si>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</si>
  <si>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</si>
  <si>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</si>
  <si>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</si>
  <si>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</si>
  <si>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</si>
  <si>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</si>
  <si>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</si>
  <si>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</si>
  <si>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</si>
  <si>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</si>
  <si>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</si>
  <si>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</si>
  <si>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</si>
  <si>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</si>
  <si>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</si>
  <si>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</si>
  <si>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</si>
  <si>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</si>
  <si>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</si>
  <si>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</si>
  <si>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</si>
  <si>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</si>
  <si>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</si>
  <si>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</si>
  <si>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</si>
  <si>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</si>
  <si>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</si>
  <si>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</si>
  <si>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</si>
  <si>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</si>
  <si>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</si>
  <si>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</si>
  <si>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</si>
  <si>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</si>
  <si>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</si>
  <si>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</si>
  <si>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</si>
  <si>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</si>
  <si>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</si>
  <si>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</si>
  <si>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</si>
  <si>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</si>
  <si>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</si>
  <si>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</si>
  <si>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</si>
  <si>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</si>
  <si>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</si>
  <si>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</si>
  <si>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</si>
  <si>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</si>
  <si>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</si>
  <si>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</si>
  <si>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</si>
  <si>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</si>
  <si>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</si>
  <si>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</si>
  <si>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</si>
  <si>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</si>
  <si>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</si>
  <si>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</si>
  <si>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</si>
  <si>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</si>
  <si>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</si>
  <si>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</si>
  <si>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</si>
  <si>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</si>
  <si>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</si>
  <si>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</si>
  <si>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</si>
  <si>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</si>
  <si>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</si>
  <si>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</si>
  <si>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</si>
  <si>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</si>
  <si>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</si>
  <si>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</si>
  <si>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</si>
  <si>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</si>
  <si>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</si>
  <si>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</si>
  <si>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</si>
  <si>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</si>
  <si>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</si>
  <si>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</si>
  <si>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</si>
  <si>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</si>
  <si>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</si>
  <si>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</si>
  <si>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</si>
  <si>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</si>
  <si>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</si>
  <si>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</si>
  <si>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</si>
  <si>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</si>
  <si>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</si>
  <si>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</si>
  <si>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</si>
  <si>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</si>
  <si>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</si>
  <si>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</si>
  <si>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</si>
  <si>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</si>
  <si>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</si>
  <si>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</si>
  <si>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</si>
  <si>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</si>
  <si>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</si>
  <si>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</si>
  <si>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</si>
  <si>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</si>
  <si>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</si>
  <si>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</si>
  <si>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</si>
  <si>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</si>
  <si>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</si>
  <si>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</si>
  <si>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</si>
  <si>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</si>
  <si>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</si>
  <si>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</si>
  <si>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</si>
  <si>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</si>
  <si>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</si>
  <si>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</si>
  <si>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</si>
  <si>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</si>
  <si>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</si>
  <si>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</si>
  <si>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</si>
  <si>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</si>
  <si>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</si>
  <si>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</si>
  <si>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</si>
  <si>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</si>
  <si>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</si>
  <si>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</si>
  <si>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</si>
  <si>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</si>
  <si>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</si>
  <si>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</si>
  <si>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</si>
  <si>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</si>
  <si>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</si>
  <si>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</si>
  <si>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</si>
  <si>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</si>
  <si>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</si>
  <si>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</si>
  <si>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</si>
  <si>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</si>
  <si>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</si>
  <si>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</si>
  <si>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</si>
  <si>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</si>
  <si>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</si>
  <si>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</si>
  <si>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</si>
  <si>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</si>
  <si>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</si>
  <si>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</si>
  <si>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</si>
  <si>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</si>
  <si>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</si>
  <si>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</si>
  <si>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</si>
  <si>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</si>
  <si>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</si>
  <si>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</si>
  <si>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</si>
  <si>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</si>
  <si>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</si>
  <si>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</si>
  <si>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</si>
  <si>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</si>
  <si>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</si>
  <si>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</si>
  <si>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</si>
  <si>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</si>
  <si>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</si>
  <si>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</si>
  <si>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</si>
  <si>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</si>
  <si>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</si>
  <si>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</si>
  <si>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</si>
  <si>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</si>
  <si>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</si>
  <si>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</si>
  <si>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</si>
  <si>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</si>
  <si>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</si>
  <si>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</si>
  <si>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</si>
  <si>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</si>
  <si>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</si>
  <si>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</si>
  <si>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</si>
  <si>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</si>
  <si>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</si>
  <si>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</si>
  <si>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</si>
  <si>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</si>
  <si>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</si>
  <si>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</si>
  <si>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</si>
  <si>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</si>
  <si>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</si>
  <si>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</si>
  <si>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</si>
  <si>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</si>
  <si>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</si>
  <si>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</si>
  <si>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</si>
  <si>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</si>
  <si>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</si>
  <si>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</si>
  <si>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</si>
  <si>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</si>
  <si>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</si>
  <si>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</si>
  <si>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</si>
  <si>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</si>
  <si>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</si>
  <si>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</si>
  <si>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</si>
  <si>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</si>
  <si>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</si>
  <si>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</si>
  <si>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</si>
  <si>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</si>
  <si>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</si>
  <si>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</si>
  <si>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</si>
  <si>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</si>
  <si>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</si>
  <si>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</si>
  <si>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</si>
  <si>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</si>
  <si>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</si>
  <si>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</si>
  <si>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</si>
  <si>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</si>
  <si>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</si>
  <si>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</si>
  <si>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</si>
  <si>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</si>
  <si>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</si>
  <si>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</si>
  <si>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</si>
  <si>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</si>
  <si>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</si>
  <si>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</si>
  <si>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</si>
  <si>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</si>
  <si>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</si>
  <si>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</si>
  <si>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</si>
  <si>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</si>
  <si>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</si>
  <si>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</si>
  <si>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</si>
  <si>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</si>
  <si>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</si>
  <si>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</si>
  <si>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</si>
  <si>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</si>
  <si>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</si>
  <si>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</si>
  <si>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</si>
  <si>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</si>
  <si>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</si>
  <si>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</si>
  <si>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</si>
  <si>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</si>
  <si>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</si>
  <si>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</si>
  <si>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</si>
  <si>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</si>
  <si>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</si>
  <si>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</si>
  <si>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</si>
  <si>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</si>
  <si>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</si>
  <si>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</si>
  <si>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</si>
  <si>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</si>
  <si>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</si>
  <si>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</si>
  <si>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</si>
  <si>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</si>
  <si>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</si>
  <si>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</si>
  <si>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</si>
  <si>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</si>
  <si>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</si>
  <si>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</si>
  <si>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</si>
  <si>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</si>
  <si>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</si>
  <si>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</si>
  <si>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</si>
  <si>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</si>
  <si>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</si>
  <si>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</si>
  <si>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</si>
  <si>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</si>
  <si>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</si>
  <si>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</si>
  <si>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</si>
  <si>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</si>
  <si>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</si>
  <si>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</si>
  <si>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</si>
  <si>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</si>
  <si>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</si>
  <si>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</si>
  <si>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</si>
  <si>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</si>
  <si>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</si>
  <si>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</si>
  <si>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</si>
  <si>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</si>
  <si>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</si>
  <si>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</si>
  <si>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</si>
  <si>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</si>
  <si>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</si>
  <si>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</si>
  <si>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</si>
  <si>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</si>
  <si>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</si>
  <si>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</si>
  <si>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</si>
  <si>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</si>
  <si>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</si>
  <si>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</si>
  <si>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</si>
  <si>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</si>
  <si>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</si>
  <si>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</si>
  <si>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</si>
  <si>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</si>
  <si>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</si>
  <si>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</si>
  <si>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</si>
  <si>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</si>
  <si>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</si>
  <si>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</si>
  <si>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</si>
  <si>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</si>
  <si>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</si>
  <si>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</si>
  <si>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</si>
  <si>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</si>
  <si>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</si>
  <si>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</si>
  <si>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</si>
  <si>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</si>
  <si>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</si>
  <si>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</si>
  <si>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</si>
  <si>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</si>
  <si>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</si>
  <si>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</si>
  <si>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</si>
  <si>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</si>
  <si>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</si>
  <si>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</si>
  <si>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</si>
  <si>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</si>
  <si>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</si>
  <si>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</si>
  <si>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</si>
  <si>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</si>
  <si>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</si>
  <si>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</si>
  <si>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</si>
  <si>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</si>
  <si>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</si>
  <si>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</si>
  <si>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</si>
  <si>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</si>
  <si>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</si>
  <si>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</si>
  <si>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</si>
  <si>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</si>
  <si>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</si>
  <si>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</si>
  <si>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</si>
  <si>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</si>
  <si>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</si>
  <si>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</si>
  <si>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</si>
  <si>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</si>
  <si>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</si>
  <si>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</si>
  <si>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</si>
  <si>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</si>
  <si>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</si>
  <si>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</si>
  <si>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</si>
  <si>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</si>
  <si>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</si>
  <si>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</si>
  <si>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</si>
  <si>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</si>
  <si>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</si>
  <si>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</si>
  <si>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</si>
  <si>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</si>
  <si>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</si>
  <si>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</si>
  <si>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</si>
  <si>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</si>
  <si>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</si>
  <si>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</si>
  <si>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</si>
  <si>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</si>
  <si>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</si>
  <si>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</si>
  <si>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</si>
  <si>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</si>
  <si>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</si>
  <si>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</si>
  <si>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</si>
  <si>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</si>
  <si>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</si>
  <si>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</si>
  <si>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</si>
  <si>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</si>
  <si>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</si>
  <si>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</si>
  <si>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</si>
  <si>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</si>
  <si>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</si>
  <si>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</si>
  <si>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</si>
  <si>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</si>
  <si>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</si>
  <si>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</si>
  <si>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</si>
  <si>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</si>
  <si>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</si>
  <si>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</si>
  <si>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</si>
  <si>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</si>
  <si>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</si>
  <si>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</si>
  <si>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</si>
  <si>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</si>
  <si>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</si>
  <si>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</si>
  <si>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</si>
  <si>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</si>
  <si>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</si>
  <si>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</si>
  <si>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</si>
  <si>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</si>
  <si>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</si>
  <si>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</si>
  <si>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</si>
  <si>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</si>
  <si>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</si>
  <si>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</si>
  <si>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</si>
  <si>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</si>
  <si>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</si>
  <si>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</si>
  <si>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</si>
  <si>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</si>
  <si>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</si>
  <si>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</si>
  <si>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</si>
  <si>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</si>
  <si>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</si>
  <si>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</si>
  <si>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</si>
  <si>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</si>
  <si>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</si>
  <si>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</si>
  <si>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</si>
  <si>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</si>
  <si>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</si>
  <si>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</si>
  <si>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</si>
  <si>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</si>
  <si>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</si>
  <si>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</si>
  <si>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</si>
  <si>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</si>
  <si>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</si>
  <si>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</si>
  <si>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</si>
  <si>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</si>
  <si>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</si>
  <si>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</si>
  <si>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</si>
  <si>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</si>
  <si>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</si>
  <si>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</si>
  <si>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</si>
  <si>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</si>
  <si>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</si>
  <si>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</si>
  <si>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</si>
  <si>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</si>
  <si>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</si>
  <si>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</si>
  <si>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</si>
  <si>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</si>
  <si>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</si>
  <si>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</si>
  <si>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</si>
  <si>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</si>
  <si>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</si>
  <si>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</si>
  <si>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</si>
  <si>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</si>
  <si>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</si>
  <si>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</si>
  <si>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</si>
  <si>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</si>
  <si>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</si>
  <si>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</si>
  <si>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</si>
  <si>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</si>
  <si>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</si>
  <si>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</si>
  <si>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</si>
  <si>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</si>
  <si>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</si>
  <si>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</si>
  <si>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</si>
  <si>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</si>
  <si>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</si>
  <si>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</si>
  <si>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</si>
  <si>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</si>
  <si>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</si>
  <si>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</si>
  <si>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</si>
  <si>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</si>
  <si>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</si>
  <si>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</si>
  <si>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</si>
  <si>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</si>
  <si>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</si>
  <si>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</si>
  <si>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</si>
  <si>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</si>
  <si>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</si>
  <si>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</si>
  <si>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</si>
  <si>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</si>
  <si>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</si>
  <si>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</si>
  <si>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</si>
  <si>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</si>
  <si>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</si>
  <si>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</si>
  <si>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</si>
  <si>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</si>
  <si>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</si>
  <si>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</si>
  <si>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</si>
  <si>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</si>
  <si>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</si>
  <si>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</si>
  <si>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</si>
  <si>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</si>
  <si>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企业</t>
  </si>
  <si>
    <t>商住用地</t>
    <phoneticPr fontId="6" type="noConversion"/>
  </si>
  <si>
    <t>商住用地</t>
    <phoneticPr fontId="6" type="noConversion"/>
  </si>
  <si>
    <t>一致</t>
  </si>
  <si>
    <t>商业</t>
  </si>
  <si>
    <t>居住项目</t>
  </si>
  <si>
    <t>无</t>
  </si>
  <si>
    <t>否</t>
  </si>
  <si>
    <t>规划建设指标（单位：平方米）</t>
  </si>
  <si>
    <t>指标</t>
  </si>
  <si>
    <t>L-10-2</t>
    <phoneticPr fontId="3" type="noConversion"/>
  </si>
  <si>
    <t>L-11-1</t>
    <phoneticPr fontId="3" type="noConversion"/>
  </si>
  <si>
    <t>L-12-1</t>
  </si>
  <si>
    <t>L-12-2</t>
    <phoneticPr fontId="3" type="noConversion"/>
  </si>
  <si>
    <t>合计</t>
    <phoneticPr fontId="3" type="noConversion"/>
  </si>
  <si>
    <t>建筑形态</t>
  </si>
  <si>
    <t>住宅、商业</t>
    <phoneticPr fontId="3" type="noConversion"/>
  </si>
  <si>
    <t>规划用地面积</t>
  </si>
  <si>
    <t>总建筑面积</t>
  </si>
  <si>
    <t>高层</t>
  </si>
  <si>
    <t>（地上建筑面积）</t>
  </si>
  <si>
    <t>小高层</t>
  </si>
  <si>
    <t>洋房</t>
  </si>
  <si>
    <t>公建配套</t>
  </si>
  <si>
    <t>不计容</t>
    <phoneticPr fontId="3" type="noConversion"/>
  </si>
  <si>
    <t>不计容建筑面积（地下建筑面积）</t>
  </si>
  <si>
    <t>机动车库</t>
  </si>
  <si>
    <t>可售面积</t>
  </si>
  <si>
    <t>住宅</t>
    <phoneticPr fontId="3" type="noConversion"/>
  </si>
  <si>
    <t>商业</t>
    <phoneticPr fontId="3" type="noConversion"/>
  </si>
  <si>
    <t>地上</t>
  </si>
  <si>
    <t>普通住宅</t>
  </si>
  <si>
    <t>底商</t>
  </si>
  <si>
    <t>住宅</t>
    <phoneticPr fontId="7" type="noConversion"/>
  </si>
  <si>
    <t>商业</t>
    <phoneticPr fontId="7" type="noConversion"/>
  </si>
  <si>
    <t>不动产收益法</t>
  </si>
  <si>
    <t>一般</t>
  </si>
  <si>
    <t>一般</t>
    <phoneticPr fontId="3" type="noConversion"/>
  </si>
  <si>
    <t>一般</t>
    <phoneticPr fontId="3" type="noConversion"/>
  </si>
  <si>
    <t>较好</t>
  </si>
  <si>
    <t>六通</t>
    <phoneticPr fontId="3" type="noConversion"/>
  </si>
  <si>
    <t>土地</t>
  </si>
  <si>
    <t>比较法-住宅、综合</t>
  </si>
  <si>
    <t>剩余法-待开发</t>
  </si>
  <si>
    <t>钢混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</si>
  <si>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</si>
  <si>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</si>
  <si>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</si>
  <si>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</si>
  <si>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</si>
  <si>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</si>
  <si>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</si>
  <si>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</si>
  <si>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</si>
  <si>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</si>
  <si>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</si>
  <si>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</si>
  <si>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</si>
  <si>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柳州市</t>
  </si>
  <si>
    <t>住宅用地</t>
  </si>
  <si>
    <t>挂牌</t>
  </si>
  <si>
    <t>4星</t>
  </si>
  <si>
    <t>柳东新区九子岭西侧A18地块</t>
  </si>
  <si>
    <t>≥1,≤1.3</t>
  </si>
  <si>
    <t>2019-05-29</t>
  </si>
  <si>
    <t>南宁招商汇天房地产有限公司</t>
  </si>
  <si>
    <t>1星</t>
  </si>
  <si>
    <t>柳东新区曙光大道西段南片区B-1-3、B-5-1地块</t>
  </si>
  <si>
    <t>综合用地(含住宅)</t>
  </si>
  <si>
    <t>≥1.5,≤2.32</t>
  </si>
  <si>
    <t>大唐</t>
  </si>
  <si>
    <t>2星</t>
  </si>
  <si>
    <t>柳东新区职教园东侧A-2-2、A-4-2地块</t>
  </si>
  <si>
    <t>≥1.5,≤2.5</t>
  </si>
  <si>
    <t>广西盛享碧桂园地产有限公司</t>
  </si>
  <si>
    <t>柳东新区商务中心区北片B-20、B-31地块</t>
  </si>
  <si>
    <t>≥1.5,≤2.47</t>
  </si>
  <si>
    <t>2019-03-13</t>
  </si>
  <si>
    <t>南宁都翰置业有限公司</t>
  </si>
  <si>
    <t>柳东新区商务中心区Z-75-01-02地块</t>
  </si>
  <si>
    <t>≥1.5,≤2.8</t>
  </si>
  <si>
    <t>柳州东城安居置业开发有限公司</t>
  </si>
  <si>
    <t>柳东新区商务中心区Z-68-02-02地块</t>
  </si>
  <si>
    <t>≥2,≤2.8</t>
  </si>
  <si>
    <t>柳东新区职教园东侧C-1-2、C-3-2-A、C-3-2-B地块</t>
  </si>
  <si>
    <t>2018-12-28</t>
  </si>
  <si>
    <t>益菱汽车投资公司</t>
  </si>
  <si>
    <t>柳东新区九子岭西侧A17、A16、A15、A20地块</t>
  </si>
  <si>
    <t>≥1.63,≤2.67</t>
  </si>
  <si>
    <t>2018-12-18</t>
  </si>
  <si>
    <t>深圳市润投咨询有限公司</t>
  </si>
  <si>
    <t>柳东新区九子岭西侧A11、A12、A13、A09地块</t>
  </si>
  <si>
    <t>≥1.74,≤2.89</t>
  </si>
  <si>
    <t>≥1,≤2</t>
  </si>
  <si>
    <t>≥1,≤2.2</t>
  </si>
  <si>
    <t>3星</t>
  </si>
  <si>
    <t>柳州市龙建投资发展有限责任公司</t>
  </si>
  <si>
    <t>2018-08-17</t>
  </si>
  <si>
    <t>柳东新区商务中心区Z-69-01、Z-71-01、Z-72-03地块</t>
  </si>
  <si>
    <t>≥1.5,≤2.6</t>
  </si>
  <si>
    <t>柳州市兴佳房地产开发有限责任公司</t>
  </si>
  <si>
    <t>柳东新区商务中心区Z-77-04地块</t>
  </si>
  <si>
    <t>柳东新区职教园区A-3-8、A-3-11地块</t>
  </si>
  <si>
    <t>≥1.5且≤2</t>
  </si>
  <si>
    <t>2018-03-14</t>
  </si>
  <si>
    <t>柳州益菱汽车投资发展有限公司</t>
  </si>
  <si>
    <t>柳东新区职教园区A-3-1、3、12、16、17地块</t>
  </si>
  <si>
    <t>≥1.5且≤2.8</t>
  </si>
  <si>
    <t>≥1.5且≤2.5</t>
  </si>
  <si>
    <t>2017-12-28</t>
  </si>
  <si>
    <t>柳州联发置业有限公司</t>
  </si>
  <si>
    <t>柳东新区安和路东面L-16-06、L-16-10地块</t>
  </si>
  <si>
    <t>≥2且≤2.5</t>
  </si>
  <si>
    <t>广西荣和企业集团有限公司</t>
  </si>
  <si>
    <t>≥1.5且≤3.2</t>
  </si>
  <si>
    <t>2017-12-14</t>
  </si>
  <si>
    <t>柳东新区商务中心区Z-61-02、Z-58-03、Z-59-03地块</t>
  </si>
  <si>
    <t>≥1.2且≤2</t>
  </si>
  <si>
    <t>合景泰富</t>
  </si>
  <si>
    <t>柳东新区职教园东侧片区A-1-5、A-3-1地块</t>
  </si>
  <si>
    <t>2017-11-29</t>
  </si>
  <si>
    <t>≥1.5且≤3</t>
  </si>
  <si>
    <t>柳州市温馨房地产开发有限责任公司</t>
  </si>
  <si>
    <t>柳东新区官塘大道西面L-16-09地块</t>
  </si>
  <si>
    <t>2017-06-21</t>
  </si>
  <si>
    <t>柳东新区三门江片区会展南路与南寨路交叉口西北角S-05-29地块</t>
  </si>
  <si>
    <t>2017-03-29</t>
  </si>
  <si>
    <t>碧桂园(广西盛享碧桂园有限公司)</t>
  </si>
  <si>
    <t>柳州市炮团路北侧东环路东侧(西地块)</t>
  </si>
  <si>
    <t>a地块:≥2.2且≤2.9,b地块:≥2.2且≤3.9</t>
  </si>
  <si>
    <t>2016-09-06</t>
  </si>
  <si>
    <t>柳州市阳和工业新区甲-D-2-1-2号地块</t>
  </si>
  <si>
    <t>≥1.8且≤2.9</t>
  </si>
  <si>
    <t>2016-02-26</t>
  </si>
  <si>
    <t>柳州市天山路南侧地块</t>
  </si>
  <si>
    <t>a地块:≥1.5且≤3.3,b地块:≥1.5且≤3.8</t>
  </si>
  <si>
    <t>广西柳州市建设投资开发有限公司</t>
  </si>
  <si>
    <t>柳州市柳石路南段东侧地块</t>
  </si>
  <si>
    <t>2016-02-19</t>
  </si>
  <si>
    <t>柳州市投资控股有限公司</t>
  </si>
  <si>
    <t>柳州市荣军路原特种变压器厂地块</t>
  </si>
  <si>
    <t>联发集团有限公司</t>
  </si>
  <si>
    <t>柳州市桂柳路南侧柳盛路北侧地块</t>
  </si>
  <si>
    <t>≥2且≤3.3</t>
  </si>
  <si>
    <t>2016-01-22</t>
  </si>
  <si>
    <t>恒大地产</t>
  </si>
  <si>
    <t>柳州市阳和工业新区甲-E-2-1-1地块</t>
  </si>
  <si>
    <t>≥1.5,≤2</t>
  </si>
  <si>
    <t>2015-12-29</t>
  </si>
  <si>
    <t>福建冠亚集团有限公司</t>
  </si>
  <si>
    <t>柳州市东环路延长线西侧桂中大道延长线东侧</t>
  </si>
  <si>
    <t>2015-08-20</t>
  </si>
  <si>
    <t>佛山市顺德区碧桂园物业发展有限公司</t>
  </si>
  <si>
    <t>柳州市屏山大道286号</t>
  </si>
  <si>
    <t>≥2、≤3.5</t>
  </si>
  <si>
    <t>2015-06-03</t>
  </si>
  <si>
    <t>广西荣和企业集团有限责任公司</t>
  </si>
  <si>
    <t>柳州市阳和工业新区古亭片区甲-A-7地块</t>
  </si>
  <si>
    <t>大于或等于2并且小于或等于2.7</t>
  </si>
  <si>
    <t>2014-08-19</t>
  </si>
  <si>
    <t>柳州市东环路东侧、炮团路北侧</t>
  </si>
  <si>
    <t>大于或等于2并且小于或等于2.8</t>
  </si>
  <si>
    <t>2014-07-30</t>
  </si>
  <si>
    <t>柳州市阳和工业新区古亭片区甲-D-6-1地块</t>
  </si>
  <si>
    <t>大于或等于2并且小于或等于2.5</t>
  </si>
  <si>
    <t>2014-06-20</t>
  </si>
  <si>
    <t>柳州市龙泉路3号</t>
  </si>
  <si>
    <t>大于或等于2并且小于或等于2.9</t>
  </si>
  <si>
    <t>2014-04-29</t>
  </si>
  <si>
    <t>柳州市天翼房地产开发有限责任公司</t>
  </si>
  <si>
    <t>柳州市静兰路西侧、文昌路南侧</t>
  </si>
  <si>
    <t>≥2.4、≤4</t>
  </si>
  <si>
    <t>2014-01-24</t>
  </si>
  <si>
    <t>荣威企业有限公司</t>
  </si>
  <si>
    <t>柳州市东环路东侧</t>
  </si>
  <si>
    <t>≥2、≤2.9</t>
  </si>
  <si>
    <t>2013-12-30</t>
  </si>
  <si>
    <t>恒大地产集团有限公司</t>
  </si>
  <si>
    <t>柳州正和桦桂房地产开发有限公司</t>
  </si>
  <si>
    <t>2011-04-22</t>
  </si>
  <si>
    <t>不大于1.5且不小于1.0</t>
  </si>
  <si>
    <t>市柳东大道与纵六路交叉口西北面B-2地块</t>
  </si>
  <si>
    <t>市柳东大道与纵六路交叉口西北面A地块</t>
  </si>
  <si>
    <t>不大于2.0且不小于1.5</t>
  </si>
  <si>
    <t>市柳东大道与纵六路交叉口西北面B-1地块</t>
  </si>
  <si>
    <t>2011-10-18</t>
  </si>
  <si>
    <t>2-3</t>
  </si>
  <si>
    <t>市柳东大道与纵六路交叉口西北面C地块</t>
  </si>
  <si>
    <t>柳州东城投资开发有限公司</t>
  </si>
  <si>
    <t>2012-11-16</t>
  </si>
  <si>
    <t>1.2-2</t>
  </si>
  <si>
    <t>市柳东新区大学西路西面L-12-03地块</t>
  </si>
  <si>
    <t>正常</t>
  </si>
  <si>
    <t>楼面地价</t>
  </si>
  <si>
    <t>阳和工业新区L-10-2、L-11-1、L-12-1、L-12-2号地块</t>
  </si>
  <si>
    <t>2019-05-15</t>
  </si>
  <si>
    <t>柳州市瀚丰房地产开发有限公司</t>
  </si>
  <si>
    <t>阳和工业新区古亭大道东侧G-8-2、G-10-1地块</t>
  </si>
  <si>
    <t>阳和工业新区甲-E-8-4</t>
  </si>
  <si>
    <t>a地块:＞1.5且≤2.8,b地块无</t>
  </si>
  <si>
    <t>2016-01-08</t>
  </si>
  <si>
    <t>恒大地产集团南宁有限公司</t>
  </si>
  <si>
    <t>柳州市阳和工业新区和源路与阳鑫路交叉口东北面</t>
  </si>
  <si>
    <t>≥2、≤2.7</t>
  </si>
  <si>
    <t>2013-10-30</t>
  </si>
  <si>
    <t>柳州(山水柳州)国际游艇俱乐部有限公司、广西协和房地产开发有限责任公司</t>
  </si>
  <si>
    <t>市阳和工业新区古亭片区A-29地块</t>
  </si>
  <si>
    <t>2-3.6</t>
  </si>
  <si>
    <t>市阳和工业新区古亭片区A-18-2地块</t>
  </si>
  <si>
    <t>2-3.2</t>
  </si>
  <si>
    <t>柳州市星宇房地产开发有限责任公司</t>
  </si>
  <si>
    <t>市阳和工业新区古亭片区A-1-1地块</t>
  </si>
  <si>
    <t>不大于3.2且不小于2.0</t>
  </si>
  <si>
    <t>2011-06-02</t>
  </si>
  <si>
    <t>柳州市大富置业发展有限公司</t>
  </si>
  <si>
    <t>一般</t>
    <phoneticPr fontId="3" type="noConversion"/>
  </si>
  <si>
    <t>押一</t>
  </si>
  <si>
    <t>按租金收入计税</t>
  </si>
  <si>
    <t>地下</t>
  </si>
  <si>
    <t>车库</t>
  </si>
  <si>
    <t>类别</t>
  </si>
  <si>
    <t>项目名称</t>
  </si>
  <si>
    <t>地块编号</t>
  </si>
  <si>
    <t>用地面积</t>
  </si>
  <si>
    <t>（㎡）</t>
  </si>
  <si>
    <t>净用地面积（亩）</t>
  </si>
  <si>
    <t>计容面积</t>
  </si>
  <si>
    <t>还建面积（㎡）</t>
  </si>
  <si>
    <t>可售计容面积（㎡）</t>
  </si>
  <si>
    <t>商业占比</t>
  </si>
  <si>
    <t>招拍挂</t>
  </si>
  <si>
    <t>阳和项目</t>
  </si>
  <si>
    <t>A地块</t>
  </si>
  <si>
    <t>≤10%</t>
  </si>
  <si>
    <t>B地块</t>
  </si>
  <si>
    <t>C地块</t>
  </si>
  <si>
    <t>450㎡/千人</t>
  </si>
  <si>
    <t>D地块</t>
  </si>
  <si>
    <t> ——</t>
  </si>
  <si>
    <t>规划用地面积</t>
    <phoneticPr fontId="228" type="noConversion"/>
  </si>
  <si>
    <t>总建筑面积</t>
    <phoneticPr fontId="228" type="noConversion"/>
  </si>
  <si>
    <t>总建筑面积</t>
    <phoneticPr fontId="228" type="noConversion"/>
  </si>
  <si>
    <t>计容建筑面积</t>
    <phoneticPr fontId="228" type="noConversion"/>
  </si>
  <si>
    <t>计容建筑面积</t>
    <phoneticPr fontId="228" type="noConversion"/>
  </si>
  <si>
    <t>（地上建筑面积）</t>
    <phoneticPr fontId="228" type="noConversion"/>
  </si>
  <si>
    <t>设备用房</t>
    <phoneticPr fontId="228" type="noConversion"/>
  </si>
  <si>
    <t>总计容面积</t>
    <phoneticPr fontId="228" type="noConversion"/>
  </si>
  <si>
    <t>设备用房</t>
    <phoneticPr fontId="228" type="noConversion"/>
  </si>
  <si>
    <t>设备用房</t>
    <phoneticPr fontId="228" type="noConversion"/>
  </si>
  <si>
    <t>还建面积（㎡）</t>
    <phoneticPr fontId="228" type="noConversion"/>
  </si>
  <si>
    <t>还建面积</t>
    <phoneticPr fontId="228" type="noConversion"/>
  </si>
  <si>
    <t>可售计容面积（㎡）</t>
    <phoneticPr fontId="228" type="noConversion"/>
  </si>
  <si>
    <t>可售计容面积</t>
    <phoneticPr fontId="228" type="noConversion"/>
  </si>
  <si>
    <t>住宅地计容</t>
    <phoneticPr fontId="228" type="noConversion"/>
  </si>
  <si>
    <t>土地（套用方法）</t>
  </si>
  <si>
    <r>
      <rPr>
        <sz val="11"/>
        <color theme="1"/>
        <rFont val="宋体"/>
        <family val="3"/>
        <charset val="134"/>
      </rPr>
      <t>不动产收益法</t>
    </r>
    <r>
      <rPr>
        <sz val="11"/>
        <color theme="1"/>
        <rFont val="Arial"/>
        <family val="2"/>
      </rPr>
      <t xml:space="preserve"> (2)</t>
    </r>
    <phoneticPr fontId="14" type="noConversion"/>
  </si>
  <si>
    <t>不动产收益法 (2)</t>
  </si>
  <si>
    <t>有</t>
    <phoneticPr fontId="26" type="noConversion"/>
  </si>
  <si>
    <t>无</t>
    <phoneticPr fontId="26" type="noConversion"/>
  </si>
  <si>
    <t>柳州市瀚丰房地产开发有限公司</t>
    <phoneticPr fontId="6" type="noConversion"/>
  </si>
  <si>
    <t>广西省柳州市</t>
    <phoneticPr fontId="6" type="noConversion"/>
  </si>
  <si>
    <t>阳和工业新区</t>
    <phoneticPr fontId="6" type="noConversion"/>
  </si>
  <si>
    <t>估价对象</t>
    <phoneticPr fontId="228" type="noConversion"/>
  </si>
  <si>
    <t>土地用途</t>
    <phoneticPr fontId="228" type="noConversion"/>
  </si>
  <si>
    <t>土地面积
（㎡）</t>
    <phoneticPr fontId="228" type="noConversion"/>
  </si>
  <si>
    <t>计容建筑面积
（㎡）</t>
    <phoneticPr fontId="228" type="noConversion"/>
  </si>
  <si>
    <t>地面地价
（元/㎡）</t>
    <phoneticPr fontId="228" type="noConversion"/>
  </si>
  <si>
    <t>楼面地价
（元/㎡）</t>
    <phoneticPr fontId="228" type="noConversion"/>
  </si>
  <si>
    <t>预评总值
（元）</t>
    <phoneticPr fontId="228" type="noConversion"/>
  </si>
  <si>
    <t>评估净值
（元）</t>
    <phoneticPr fontId="228" type="noConversion"/>
  </si>
  <si>
    <t>转让额转让税费
（元）</t>
    <phoneticPr fontId="228" type="noConversion"/>
  </si>
  <si>
    <t>城镇住宅用地、零售商业用地</t>
    <phoneticPr fontId="228" type="noConversion"/>
  </si>
  <si>
    <t>城镇住宅用地</t>
    <phoneticPr fontId="228" type="noConversion"/>
  </si>
  <si>
    <t>商务金融业用地、零售商业用地</t>
    <phoneticPr fontId="228" type="noConversion"/>
  </si>
  <si>
    <t>中诚信托</t>
    <phoneticPr fontId="6" type="noConversion"/>
  </si>
  <si>
    <t>公建配套</t>
    <phoneticPr fontId="228" type="noConversion"/>
  </si>
  <si>
    <t>项目全部</t>
  </si>
  <si>
    <t>售价</t>
  </si>
  <si>
    <t>恒大御景湾</t>
    <phoneticPr fontId="3" type="noConversion"/>
  </si>
  <si>
    <t>精装</t>
  </si>
  <si>
    <t>精装</t>
    <phoneticPr fontId="21" type="noConversion"/>
  </si>
  <si>
    <t>普装</t>
    <phoneticPr fontId="21" type="noConversion"/>
  </si>
  <si>
    <t>简装</t>
    <phoneticPr fontId="21" type="noConversion"/>
  </si>
  <si>
    <t>毛坯</t>
  </si>
  <si>
    <t>毛坯</t>
    <phoneticPr fontId="21" type="noConversion"/>
  </si>
  <si>
    <t>六通</t>
  </si>
  <si>
    <t>城镇住宅用地、零售商业用地</t>
    <phoneticPr fontId="228" type="noConversion"/>
  </si>
  <si>
    <t>合计</t>
    <phoneticPr fontId="228" type="noConversion"/>
  </si>
  <si>
    <t>——</t>
    <phoneticPr fontId="228" type="noConversion"/>
  </si>
  <si>
    <t>——</t>
    <phoneticPr fontId="228" type="noConversion"/>
  </si>
  <si>
    <t>计容建筑面积</t>
    <phoneticPr fontId="228" type="noConversion"/>
  </si>
  <si>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</si>
  <si>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</si>
  <si>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</si>
  <si>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</si>
  <si>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</si>
  <si>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</si>
  <si>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</si>
  <si>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</si>
  <si>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</si>
  <si>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</si>
  <si>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</si>
  <si>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住宅</t>
    <phoneticPr fontId="26" type="noConversion"/>
  </si>
  <si>
    <t>较适宜</t>
  </si>
  <si>
    <t>较适宜</t>
    <phoneticPr fontId="26" type="noConversion"/>
  </si>
  <si>
    <t>较好</t>
    <phoneticPr fontId="26" type="noConversion"/>
  </si>
  <si>
    <t>70</t>
    <phoneticPr fontId="26" type="noConversion"/>
  </si>
  <si>
    <t>住宅</t>
    <phoneticPr fontId="21" type="noConversion"/>
  </si>
  <si>
    <t>60-70（含）</t>
  </si>
  <si>
    <t>天翼·九龙尚城</t>
    <phoneticPr fontId="3" type="noConversion"/>
  </si>
  <si>
    <t>碧桂园·城市之光</t>
    <phoneticPr fontId="3" type="noConversion"/>
  </si>
  <si>
    <t>钢混</t>
    <phoneticPr fontId="21" type="noConversion"/>
  </si>
  <si>
    <t>高档</t>
  </si>
  <si>
    <t>高档</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</si>
  <si>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</si>
  <si>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</si>
  <si>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</si>
  <si>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</si>
  <si>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</si>
  <si>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</si>
  <si>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</si>
  <si>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普装</t>
  </si>
  <si>
    <t>高层</t>
    <phoneticPr fontId="21" type="noConversion"/>
  </si>
  <si>
    <t>L-10-2地块</t>
    <phoneticPr fontId="228" type="noConversion"/>
  </si>
  <si>
    <t>L-11-1地块</t>
    <phoneticPr fontId="228" type="noConversion"/>
  </si>
  <si>
    <t>L-12-1地块</t>
    <phoneticPr fontId="228" type="noConversion"/>
  </si>
  <si>
    <t>L-12-2地块</t>
    <phoneticPr fontId="228" type="noConversion"/>
  </si>
  <si>
    <t>自定义</t>
  </si>
  <si>
    <t>无</t>
    <phoneticPr fontId="26" type="noConversion"/>
  </si>
  <si>
    <t>项目类型</t>
  </si>
  <si>
    <t>土地面积</t>
  </si>
  <si>
    <t>经营性</t>
  </si>
  <si>
    <t>总计</t>
  </si>
  <si>
    <t>商业（公寓）</t>
  </si>
  <si>
    <t>回迁还建</t>
  </si>
  <si>
    <t>估价对象1</t>
    <phoneticPr fontId="228" type="noConversion"/>
  </si>
  <si>
    <t>类别</t>
    <phoneticPr fontId="228" type="noConversion"/>
  </si>
  <si>
    <t>类别</t>
    <phoneticPr fontId="228" type="noConversion"/>
  </si>
  <si>
    <t>总计</t>
    <phoneticPr fontId="228" type="noConversion"/>
  </si>
  <si>
    <t>估价对象3</t>
    <phoneticPr fontId="228" type="noConversion"/>
  </si>
  <si>
    <t>估价对象4</t>
    <phoneticPr fontId="228" type="noConversion"/>
  </si>
  <si>
    <t>估价对象2</t>
    <phoneticPr fontId="228" type="noConversion"/>
  </si>
  <si>
    <t>2016年5月1日后购买</t>
  </si>
  <si>
    <t>土地面积</t>
    <phoneticPr fontId="228" type="noConversion"/>
  </si>
  <si>
    <t>合计</t>
    <phoneticPr fontId="228" type="noConversion"/>
  </si>
  <si>
    <t>出让金</t>
    <phoneticPr fontId="228" type="noConversion"/>
  </si>
  <si>
    <t>占比</t>
    <phoneticPr fontId="228" type="noConversion"/>
  </si>
  <si>
    <t>土增税</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</si>
</sst>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_);[Red]\(#,##0\)"/>
    <numFmt numFmtId="196" formatCode="#,##0.00_);[Red]\(#,##0.00\)"/>
    <numFmt numFmtId="197" formatCode="_(* #,##0.00_);_(* \(#,##0.00\);_(* &quot;-&quot;??_);_(@_)"/>
    <numFmt numFmtId="198" formatCode="#,##0.000_);[Red]\(#,##0.000\)"/>
    <numFmt numFmtId="199" formatCode="0.0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微软雅黑"/>
      <family val="2"/>
      <charset val="134"/>
    </font>
    <font>
      <b/>
      <sz val="11"/>
      <color theme="1"/>
      <name val="微软雅黑"/>
      <family val="2"/>
      <charset val="134"/>
    </font>
    <font>
      <sz val="11"/>
      <color rgb="FF000000"/>
      <name val="微软雅黑"/>
      <family val="2"/>
      <charset val="134"/>
    </font>
    <font>
      <sz val="10.5"/>
      <color rgb="FF000000"/>
      <name val="微软雅黑"/>
      <family val="2"/>
      <charset val="134"/>
    </font>
    <font>
      <b/>
      <sz val="11"/>
      <color rgb="FF000000"/>
      <name val="微软雅黑"/>
      <family val="2"/>
      <charset val="134"/>
    </font>
    <font>
      <b/>
      <sz val="11"/>
      <color rgb="FFC00000"/>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rgb="FF7030A0"/>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2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2" fillId="0" borderId="0">
      <alignment vertical="center"/>
    </xf>
    <xf numFmtId="0" fontId="32" fillId="0" borderId="0"/>
    <xf numFmtId="176" fontId="81" fillId="0" borderId="0" applyFont="0" applyFill="0" applyBorder="0" applyAlignment="0" applyProtection="0">
      <alignment vertical="center"/>
    </xf>
    <xf numFmtId="197" fontId="145" fillId="0" borderId="0" applyFont="0" applyFill="0" applyBorder="0" applyAlignment="0" applyProtection="0">
      <alignment vertical="center"/>
    </xf>
    <xf numFmtId="0" fontId="86" fillId="0" borderId="0"/>
  </cellStyleXfs>
  <cellXfs count="364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274" fillId="0" borderId="0" xfId="16" applyFont="1" applyBorder="1">
      <alignment vertical="center"/>
    </xf>
    <xf numFmtId="0" fontId="32" fillId="0" borderId="0" xfId="16">
      <alignment vertical="center"/>
    </xf>
    <xf numFmtId="0" fontId="275" fillId="0" borderId="2" xfId="16" applyFont="1" applyBorder="1" applyAlignment="1">
      <alignment horizontal="center" vertical="center"/>
    </xf>
    <xf numFmtId="0" fontId="274" fillId="0" borderId="2" xfId="16" applyFont="1" applyBorder="1" applyAlignment="1">
      <alignment vertical="center"/>
    </xf>
    <xf numFmtId="0" fontId="274" fillId="0" borderId="2" xfId="16" applyFont="1" applyBorder="1" applyAlignment="1">
      <alignment horizontal="center" vertical="center"/>
    </xf>
    <xf numFmtId="195" fontId="274" fillId="0" borderId="2" xfId="16" applyNumberFormat="1" applyFont="1" applyBorder="1" applyAlignment="1">
      <alignment vertical="center"/>
    </xf>
    <xf numFmtId="0" fontId="275" fillId="0" borderId="2" xfId="16" applyFont="1" applyBorder="1" applyAlignment="1">
      <alignment horizontal="center" vertical="center" wrapText="1"/>
    </xf>
    <xf numFmtId="3" fontId="274" fillId="0" borderId="2" xfId="16" applyNumberFormat="1" applyFont="1" applyBorder="1" applyAlignment="1">
      <alignment vertical="center" wrapText="1"/>
    </xf>
    <xf numFmtId="195" fontId="274" fillId="0" borderId="2" xfId="16" applyNumberFormat="1" applyFont="1" applyBorder="1" applyAlignment="1">
      <alignment vertical="center" wrapText="1"/>
    </xf>
    <xf numFmtId="0" fontId="274" fillId="0" borderId="2" xfId="16" applyFont="1" applyBorder="1" applyAlignment="1">
      <alignment vertical="center" wrapText="1"/>
    </xf>
    <xf numFmtId="196" fontId="274" fillId="0" borderId="2" xfId="16" applyNumberFormat="1" applyFont="1" applyBorder="1" applyAlignment="1">
      <alignment vertical="center" wrapText="1"/>
    </xf>
    <xf numFmtId="196" fontId="274" fillId="0" borderId="2" xfId="16" applyNumberFormat="1" applyFont="1" applyFill="1" applyBorder="1" applyAlignment="1">
      <alignment horizontal="right" vertical="center" wrapText="1"/>
    </xf>
    <xf numFmtId="0" fontId="277" fillId="0" borderId="2" xfId="16" applyFont="1" applyBorder="1" applyAlignment="1">
      <alignment horizontal="center" vertical="center"/>
    </xf>
    <xf numFmtId="195" fontId="277" fillId="0" borderId="2" xfId="16" applyNumberFormat="1" applyFont="1" applyBorder="1" applyAlignment="1">
      <alignment horizontal="center" vertical="center"/>
    </xf>
    <xf numFmtId="195" fontId="276" fillId="13" borderId="2" xfId="16" applyNumberFormat="1" applyFont="1" applyFill="1" applyBorder="1" applyAlignment="1">
      <alignment horizontal="right" vertical="center"/>
    </xf>
    <xf numFmtId="0" fontId="277" fillId="6" borderId="2" xfId="16" applyFont="1" applyFill="1" applyBorder="1" applyAlignment="1">
      <alignment horizontal="center" vertical="center"/>
    </xf>
    <xf numFmtId="195" fontId="277" fillId="6" borderId="2" xfId="16" applyNumberFormat="1" applyFont="1" applyFill="1" applyBorder="1" applyAlignment="1">
      <alignment horizontal="center" vertical="center"/>
    </xf>
    <xf numFmtId="195" fontId="276" fillId="6" borderId="2" xfId="16" applyNumberFormat="1" applyFont="1" applyFill="1" applyBorder="1" applyAlignment="1">
      <alignment horizontal="right" vertical="center"/>
    </xf>
    <xf numFmtId="0" fontId="32" fillId="6" borderId="0" xfId="16" applyFont="1" applyFill="1">
      <alignment vertical="center"/>
    </xf>
    <xf numFmtId="195" fontId="275" fillId="0" borderId="2" xfId="16" applyNumberFormat="1" applyFont="1" applyBorder="1" applyAlignment="1">
      <alignment horizontal="center" vertical="center" wrapText="1"/>
    </xf>
    <xf numFmtId="195" fontId="278" fillId="13" borderId="2" xfId="16" applyNumberFormat="1" applyFont="1" applyFill="1" applyBorder="1" applyAlignment="1">
      <alignment horizontal="right" vertical="center"/>
    </xf>
    <xf numFmtId="195" fontId="32" fillId="0" borderId="0" xfId="16" applyNumberFormat="1">
      <alignment vertical="center"/>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6" fillId="0" borderId="0" xfId="20"/>
    <xf numFmtId="0" fontId="86" fillId="6" borderId="0" xfId="20" applyFill="1"/>
    <xf numFmtId="0" fontId="86" fillId="0" borderId="0" xfId="20" applyFill="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74" fillId="0" borderId="2" xfId="16" applyFont="1" applyBorder="1" applyAlignment="1">
      <alignment horizontal="center" vertical="center"/>
    </xf>
    <xf numFmtId="0" fontId="275" fillId="0" borderId="2" xfId="16" applyFont="1" applyBorder="1" applyAlignment="1">
      <alignment horizontal="center" vertical="center" wrapText="1"/>
    </xf>
    <xf numFmtId="0" fontId="275" fillId="0" borderId="2" xfId="16" applyFont="1" applyBorder="1" applyAlignment="1">
      <alignment horizontal="center" vertical="center"/>
    </xf>
    <xf numFmtId="0" fontId="86" fillId="8" borderId="0" xfId="20" applyFill="1"/>
    <xf numFmtId="0" fontId="145" fillId="0" borderId="0" xfId="0" applyFont="1">
      <alignment vertical="center"/>
    </xf>
    <xf numFmtId="0" fontId="276" fillId="0" borderId="154" xfId="0" applyFont="1" applyBorder="1" applyAlignment="1">
      <alignment horizontal="center" vertical="center" wrapText="1" readingOrder="1"/>
    </xf>
    <xf numFmtId="9" fontId="276" fillId="0" borderId="154" xfId="0" applyNumberFormat="1" applyFont="1" applyBorder="1" applyAlignment="1">
      <alignment horizontal="center" vertical="center" wrapText="1" readingOrder="1"/>
    </xf>
    <xf numFmtId="0" fontId="279" fillId="0" borderId="154" xfId="0" applyFont="1" applyBorder="1" applyAlignment="1">
      <alignment horizontal="center" vertical="center" wrapText="1" readingOrder="1"/>
    </xf>
    <xf numFmtId="0" fontId="275" fillId="0" borderId="155" xfId="0" applyFont="1" applyFill="1" applyBorder="1" applyAlignment="1">
      <alignment horizontal="center" vertical="center" wrapText="1" readingOrder="1"/>
    </xf>
    <xf numFmtId="0" fontId="275" fillId="0" borderId="156" xfId="0" applyFont="1" applyFill="1" applyBorder="1" applyAlignment="1">
      <alignment horizontal="center" vertical="center" wrapText="1" readingOrder="1"/>
    </xf>
    <xf numFmtId="195" fontId="279" fillId="0" borderId="154" xfId="0" applyNumberFormat="1" applyFont="1" applyBorder="1" applyAlignment="1">
      <alignment horizontal="center" vertical="center" wrapText="1" readingOrder="1"/>
    </xf>
    <xf numFmtId="195" fontId="276" fillId="9" borderId="2" xfId="16" applyNumberFormat="1" applyFont="1" applyFill="1" applyBorder="1" applyAlignment="1">
      <alignment horizontal="right" vertical="center"/>
    </xf>
    <xf numFmtId="195" fontId="145" fillId="0" borderId="0" xfId="0" applyNumberFormat="1" applyFont="1">
      <alignment vertical="center"/>
    </xf>
    <xf numFmtId="177" fontId="163" fillId="0" borderId="2" xfId="1"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159" fillId="0" borderId="2" xfId="1" applyNumberFormat="1" applyFont="1" applyBorder="1" applyAlignment="1" applyProtection="1">
      <alignment horizontal="center" vertical="center" wrapText="1"/>
      <protection locked="0"/>
    </xf>
    <xf numFmtId="0" fontId="164" fillId="0" borderId="0" xfId="0" applyFont="1">
      <alignment vertical="center"/>
    </xf>
    <xf numFmtId="0" fontId="164" fillId="0" borderId="2" xfId="0" applyFont="1" applyBorder="1" applyAlignment="1">
      <alignment horizontal="center" vertical="center"/>
    </xf>
    <xf numFmtId="0" fontId="164" fillId="0" borderId="2" xfId="0" applyFont="1" applyBorder="1" applyAlignment="1">
      <alignment horizontal="center" vertical="center" wrapText="1"/>
    </xf>
    <xf numFmtId="0" fontId="169" fillId="0" borderId="2" xfId="0" applyFont="1" applyBorder="1" applyAlignment="1">
      <alignment horizontal="center" vertical="center"/>
    </xf>
    <xf numFmtId="0" fontId="169" fillId="0" borderId="2" xfId="0" applyFont="1" applyBorder="1" applyAlignment="1">
      <alignment horizontal="center" vertical="center" wrapText="1"/>
    </xf>
    <xf numFmtId="0" fontId="32" fillId="6" borderId="0" xfId="16" applyFill="1">
      <alignment vertical="center"/>
    </xf>
    <xf numFmtId="0" fontId="144" fillId="0" borderId="74" xfId="0" applyNumberFormat="1" applyFont="1" applyFill="1" applyBorder="1" applyAlignment="1" applyProtection="1">
      <alignment horizontal="center" vertical="center" wrapText="1"/>
      <protection locked="0"/>
    </xf>
    <xf numFmtId="0" fontId="275" fillId="0" borderId="2" xfId="16" applyFont="1" applyBorder="1" applyAlignment="1">
      <alignment horizontal="center" vertical="center" wrapText="1"/>
    </xf>
    <xf numFmtId="198" fontId="32" fillId="0" borderId="0" xfId="16" applyNumberFormat="1">
      <alignment vertical="center"/>
    </xf>
    <xf numFmtId="0" fontId="71" fillId="0" borderId="2" xfId="0" applyFont="1" applyFill="1" applyBorder="1" applyAlignment="1" applyProtection="1">
      <alignment horizontal="center" vertical="center"/>
    </xf>
    <xf numFmtId="178" fontId="76" fillId="18" borderId="2" xfId="2" applyNumberFormat="1" applyFont="1" applyFill="1" applyBorder="1" applyAlignment="1" applyProtection="1">
      <alignment horizontal="center" vertical="center"/>
      <protection locked="0"/>
    </xf>
    <xf numFmtId="178" fontId="71" fillId="18" borderId="2" xfId="2" applyNumberFormat="1" applyFont="1" applyFill="1" applyBorder="1" applyAlignment="1" applyProtection="1">
      <alignment horizontal="center" vertical="center"/>
      <protection locked="0"/>
    </xf>
    <xf numFmtId="9" fontId="76" fillId="18" borderId="5" xfId="0" applyNumberFormat="1" applyFont="1" applyFill="1" applyBorder="1" applyAlignment="1" applyProtection="1">
      <alignment horizontal="center" vertical="center"/>
      <protection locked="0"/>
    </xf>
    <xf numFmtId="0" fontId="86" fillId="18" borderId="25" xfId="2" applyNumberFormat="1" applyFont="1" applyFill="1" applyBorder="1" applyAlignment="1" applyProtection="1">
      <alignment horizontal="center" vertical="center"/>
      <protection locked="0"/>
    </xf>
    <xf numFmtId="0" fontId="71" fillId="18" borderId="9" xfId="0" applyNumberFormat="1" applyFont="1" applyFill="1" applyBorder="1" applyAlignment="1" applyProtection="1">
      <alignment horizontal="center" vertical="center" wrapText="1"/>
      <protection locked="0"/>
    </xf>
    <xf numFmtId="0" fontId="71" fillId="18" borderId="5" xfId="0" applyFont="1" applyFill="1" applyBorder="1" applyAlignment="1" applyProtection="1">
      <alignment horizontal="center" vertical="center" wrapText="1"/>
    </xf>
    <xf numFmtId="0" fontId="52" fillId="18" borderId="5" xfId="0" applyFont="1" applyFill="1" applyBorder="1" applyAlignment="1" applyProtection="1">
      <alignment horizontal="center" vertical="center" wrapText="1"/>
    </xf>
    <xf numFmtId="185" fontId="152" fillId="18" borderId="10" xfId="0" applyNumberFormat="1" applyFont="1" applyFill="1" applyBorder="1" applyAlignment="1" applyProtection="1">
      <alignment horizontal="center" vertical="center"/>
      <protection locked="0"/>
    </xf>
    <xf numFmtId="0" fontId="98" fillId="18" borderId="0" xfId="0" applyFont="1" applyFill="1" applyAlignment="1" applyProtection="1">
      <alignment vertical="center"/>
      <protection locked="0"/>
    </xf>
    <xf numFmtId="178" fontId="78" fillId="18" borderId="2" xfId="2" applyNumberFormat="1" applyFont="1" applyFill="1" applyBorder="1" applyAlignment="1" applyProtection="1">
      <alignment horizontal="center" vertical="center"/>
      <protection locked="0"/>
    </xf>
    <xf numFmtId="180" fontId="78" fillId="18" borderId="2" xfId="0" applyNumberFormat="1" applyFont="1" applyFill="1" applyBorder="1" applyAlignment="1" applyProtection="1">
      <alignment horizontal="center" vertical="center" wrapText="1"/>
    </xf>
    <xf numFmtId="0" fontId="71" fillId="18" borderId="29" xfId="0" applyFont="1" applyFill="1" applyBorder="1" applyAlignment="1" applyProtection="1">
      <alignment horizontal="center" vertical="center" wrapText="1"/>
    </xf>
    <xf numFmtId="0" fontId="71" fillId="18" borderId="11" xfId="0" applyNumberFormat="1" applyFont="1" applyFill="1" applyBorder="1" applyAlignment="1" applyProtection="1">
      <alignment horizontal="center" vertical="center" wrapText="1"/>
      <protection locked="0"/>
    </xf>
    <xf numFmtId="0" fontId="75" fillId="18" borderId="63" xfId="0" applyFont="1" applyFill="1" applyBorder="1" applyAlignment="1" applyProtection="1">
      <alignment horizontal="left" vertical="center" wrapText="1"/>
    </xf>
    <xf numFmtId="0" fontId="75" fillId="18" borderId="16" xfId="0" applyFont="1" applyFill="1" applyBorder="1" applyAlignment="1" applyProtection="1">
      <alignment horizontal="left" vertical="center" wrapText="1"/>
    </xf>
    <xf numFmtId="0" fontId="71" fillId="0" borderId="2" xfId="0" applyFont="1" applyFill="1" applyBorder="1" applyAlignment="1" applyProtection="1">
      <alignment vertical="center"/>
    </xf>
    <xf numFmtId="0" fontId="71" fillId="0" borderId="9" xfId="0" applyFont="1" applyFill="1" applyBorder="1" applyProtection="1">
      <alignment vertical="center"/>
    </xf>
    <xf numFmtId="0" fontId="108" fillId="18" borderId="30" xfId="0" applyFont="1" applyFill="1" applyBorder="1" applyAlignment="1" applyProtection="1">
      <alignment vertical="center" wrapText="1"/>
      <protection locked="0"/>
    </xf>
    <xf numFmtId="0" fontId="71" fillId="18" borderId="17" xfId="0" applyFont="1" applyFill="1" applyBorder="1" applyAlignment="1" applyProtection="1">
      <alignment horizontal="center" vertical="center" wrapText="1"/>
    </xf>
    <xf numFmtId="0" fontId="76" fillId="0" borderId="2" xfId="0" applyFont="1" applyFill="1" applyBorder="1" applyAlignment="1" applyProtection="1">
      <alignment horizontal="center" vertical="center"/>
    </xf>
    <xf numFmtId="0" fontId="76" fillId="0" borderId="10"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57" fillId="0" borderId="2" xfId="14" applyFont="1" applyBorder="1" applyAlignment="1" applyProtection="1">
      <alignment horizontal="center" vertical="center" wrapText="1"/>
      <protection locked="0"/>
    </xf>
    <xf numFmtId="0" fontId="52" fillId="19" borderId="20" xfId="0" applyNumberFormat="1" applyFont="1" applyFill="1" applyBorder="1" applyAlignment="1" applyProtection="1">
      <alignment horizontal="center" vertical="center" wrapText="1"/>
      <protection locked="0"/>
    </xf>
    <xf numFmtId="0" fontId="75" fillId="19" borderId="57" xfId="0" applyFont="1" applyFill="1" applyBorder="1" applyAlignment="1" applyProtection="1">
      <alignment horizontal="left" vertical="center" wrapText="1"/>
    </xf>
    <xf numFmtId="9" fontId="76" fillId="19" borderId="5" xfId="0" applyNumberFormat="1" applyFont="1" applyFill="1" applyBorder="1" applyAlignment="1" applyProtection="1">
      <alignment horizontal="center" vertical="center"/>
      <protection locked="0"/>
    </xf>
    <xf numFmtId="187" fontId="11" fillId="0" borderId="2" xfId="0" applyNumberFormat="1" applyFont="1" applyBorder="1" applyAlignment="1" applyProtection="1">
      <alignment vertical="center" wrapText="1"/>
      <protection locked="0"/>
    </xf>
    <xf numFmtId="2" fontId="257" fillId="0" borderId="2" xfId="14" applyNumberFormat="1" applyFont="1" applyBorder="1" applyAlignment="1" applyProtection="1">
      <alignment horizontal="center" vertical="center" wrapText="1"/>
      <protection locked="0"/>
    </xf>
    <xf numFmtId="199" fontId="257" fillId="0" borderId="2" xfId="14" applyNumberFormat="1" applyFont="1" applyBorder="1" applyAlignment="1" applyProtection="1">
      <alignment horizontal="center" vertical="center" wrapText="1"/>
      <protection locked="0"/>
    </xf>
    <xf numFmtId="0" fontId="71" fillId="19" borderId="12" xfId="0" applyNumberFormat="1" applyFont="1" applyFill="1" applyBorder="1" applyAlignment="1" applyProtection="1">
      <alignment horizontal="center" vertical="center" wrapText="1"/>
    </xf>
    <xf numFmtId="0" fontId="71" fillId="19" borderId="5" xfId="0" applyFont="1" applyFill="1" applyBorder="1" applyAlignment="1" applyProtection="1">
      <alignment horizontal="center" vertical="center" wrapText="1"/>
    </xf>
    <xf numFmtId="0" fontId="52" fillId="19" borderId="5" xfId="0" applyFont="1" applyFill="1" applyBorder="1" applyAlignment="1" applyProtection="1">
      <alignment horizontal="center" vertical="center" wrapText="1"/>
    </xf>
    <xf numFmtId="182" fontId="85" fillId="19" borderId="25" xfId="0" applyNumberFormat="1" applyFont="1" applyFill="1" applyBorder="1" applyAlignment="1" applyProtection="1">
      <alignment horizontal="center" vertical="center"/>
      <protection locked="0"/>
    </xf>
    <xf numFmtId="182" fontId="71" fillId="19" borderId="2" xfId="0" applyNumberFormat="1" applyFont="1" applyFill="1" applyBorder="1" applyAlignment="1" applyProtection="1">
      <alignment vertical="center"/>
      <protection locked="0"/>
    </xf>
    <xf numFmtId="0" fontId="274" fillId="0" borderId="2" xfId="16" applyNumberFormat="1" applyFont="1" applyBorder="1" applyAlignment="1">
      <alignment vertical="center"/>
    </xf>
    <xf numFmtId="0" fontId="276" fillId="0" borderId="2" xfId="16" applyNumberFormat="1" applyFont="1" applyBorder="1" applyAlignment="1">
      <alignment horizontal="right" vertical="center"/>
    </xf>
    <xf numFmtId="0" fontId="274" fillId="0" borderId="2" xfId="16" applyNumberFormat="1" applyFont="1" applyBorder="1" applyAlignment="1">
      <alignment vertical="center" wrapText="1"/>
    </xf>
    <xf numFmtId="0" fontId="274" fillId="0" borderId="2" xfId="16" applyNumberFormat="1" applyFont="1" applyFill="1" applyBorder="1" applyAlignment="1">
      <alignment horizontal="right" vertical="center" wrapText="1"/>
    </xf>
    <xf numFmtId="0" fontId="277" fillId="0" borderId="2" xfId="16" applyNumberFormat="1" applyFont="1" applyBorder="1" applyAlignment="1">
      <alignment horizontal="center" vertical="center"/>
    </xf>
    <xf numFmtId="0" fontId="276" fillId="13" borderId="2" xfId="16" applyNumberFormat="1" applyFont="1" applyFill="1" applyBorder="1" applyAlignment="1">
      <alignment horizontal="right" vertical="center"/>
    </xf>
    <xf numFmtId="0" fontId="277" fillId="6" borderId="2" xfId="16" applyNumberFormat="1" applyFont="1" applyFill="1" applyBorder="1" applyAlignment="1">
      <alignment horizontal="center" vertical="center"/>
    </xf>
    <xf numFmtId="0" fontId="276" fillId="6" borderId="2" xfId="16" applyNumberFormat="1" applyFont="1" applyFill="1" applyBorder="1" applyAlignment="1">
      <alignment horizontal="right" vertical="center"/>
    </xf>
    <xf numFmtId="0" fontId="275" fillId="0" borderId="2" xfId="16" applyNumberFormat="1" applyFont="1" applyBorder="1" applyAlignment="1">
      <alignment horizontal="center" vertical="center" wrapText="1"/>
    </xf>
    <xf numFmtId="0" fontId="278" fillId="13" borderId="2" xfId="16" applyNumberFormat="1" applyFont="1" applyFill="1" applyBorder="1" applyAlignment="1">
      <alignment horizontal="right" vertical="center"/>
    </xf>
    <xf numFmtId="0" fontId="274" fillId="0" borderId="2" xfId="16" applyNumberFormat="1" applyFont="1" applyBorder="1" applyAlignment="1">
      <alignment horizontal="center" vertical="center" wrapText="1"/>
    </xf>
    <xf numFmtId="199" fontId="76" fillId="3" borderId="9" xfId="0" applyNumberFormat="1" applyFont="1" applyFill="1" applyBorder="1" applyProtection="1">
      <alignment vertical="center"/>
      <protection locked="0"/>
    </xf>
    <xf numFmtId="199" fontId="76" fillId="3" borderId="12" xfId="0" applyNumberFormat="1" applyFont="1" applyFill="1" applyBorder="1" applyProtection="1">
      <alignment vertical="center"/>
      <protection locked="0"/>
    </xf>
    <xf numFmtId="187" fontId="11" fillId="18" borderId="2" xfId="0" applyNumberFormat="1" applyFont="1" applyFill="1" applyBorder="1" applyAlignment="1" applyProtection="1">
      <alignment horizontal="center" vertical="center" wrapText="1"/>
      <protection locked="0"/>
    </xf>
    <xf numFmtId="199" fontId="257" fillId="5" borderId="10" xfId="14" applyNumberFormat="1" applyFont="1" applyFill="1" applyBorder="1" applyAlignment="1">
      <alignment horizontal="center"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4" fillId="0" borderId="2" xfId="16" applyFont="1" applyBorder="1" applyAlignment="1">
      <alignment horizontal="center" vertical="center"/>
    </xf>
    <xf numFmtId="0" fontId="275" fillId="0" borderId="2" xfId="16" applyFont="1" applyBorder="1" applyAlignment="1">
      <alignment horizontal="center" vertical="center" wrapText="1"/>
    </xf>
    <xf numFmtId="0" fontId="275" fillId="0" borderId="2" xfId="16" applyFont="1" applyBorder="1" applyAlignment="1">
      <alignment horizontal="center" vertical="center"/>
    </xf>
    <xf numFmtId="0" fontId="275" fillId="0" borderId="155" xfId="0" applyFont="1" applyFill="1" applyBorder="1" applyAlignment="1">
      <alignment horizontal="center" vertical="center" wrapText="1" readingOrder="1"/>
    </xf>
    <xf numFmtId="0" fontId="275" fillId="0" borderId="156" xfId="0" applyFont="1" applyFill="1" applyBorder="1" applyAlignment="1">
      <alignment horizontal="center" vertical="center" wrapText="1" readingOrder="1"/>
    </xf>
    <xf numFmtId="0" fontId="276" fillId="0" borderId="155" xfId="0" applyFont="1" applyBorder="1" applyAlignment="1">
      <alignment horizontal="center" vertical="center" wrapText="1" readingOrder="1"/>
    </xf>
    <xf numFmtId="0" fontId="276" fillId="0" borderId="157" xfId="0" applyFont="1" applyBorder="1" applyAlignment="1">
      <alignment horizontal="center" vertical="center" wrapText="1" readingOrder="1"/>
    </xf>
    <xf numFmtId="0" fontId="276" fillId="0" borderId="156" xfId="0" applyFont="1" applyBorder="1" applyAlignment="1">
      <alignment horizontal="center" vertical="center" wrapText="1" readingOrder="1"/>
    </xf>
    <xf numFmtId="0" fontId="276" fillId="0" borderId="158" xfId="0" applyFont="1" applyBorder="1" applyAlignment="1">
      <alignment horizontal="center" vertical="center" wrapText="1" readingOrder="1"/>
    </xf>
    <xf numFmtId="0" fontId="276" fillId="0" borderId="159" xfId="0" applyFont="1" applyBorder="1" applyAlignment="1">
      <alignment horizontal="center" vertical="center" wrapText="1" readingOrder="1"/>
    </xf>
    <xf numFmtId="0" fontId="276" fillId="0" borderId="160" xfId="0" applyFont="1" applyBorder="1" applyAlignment="1">
      <alignment horizontal="center" vertical="center" wrapText="1" readingOrder="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8" borderId="2" xfId="0" applyFont="1" applyFill="1" applyBorder="1" applyAlignment="1" applyProtection="1">
      <alignment horizontal="left" vertical="center"/>
    </xf>
    <xf numFmtId="0" fontId="71" fillId="8" borderId="9" xfId="0" applyFont="1" applyFill="1" applyBorder="1" applyAlignment="1" applyProtection="1">
      <alignment horizontal="left" vertical="center"/>
    </xf>
    <xf numFmtId="0" fontId="71" fillId="8" borderId="10" xfId="0" applyFont="1" applyFill="1" applyBorder="1" applyAlignment="1" applyProtection="1">
      <alignment horizontal="left" vertical="center"/>
    </xf>
    <xf numFmtId="0" fontId="52" fillId="8" borderId="10" xfId="0" applyFont="1" applyFill="1" applyBorder="1" applyAlignment="1" applyProtection="1">
      <alignment horizontal="left" vertical="center"/>
    </xf>
    <xf numFmtId="0" fontId="71" fillId="8" borderId="21" xfId="0" applyFont="1" applyFill="1" applyBorder="1" applyAlignment="1" applyProtection="1">
      <alignment horizontal="left" vertical="center"/>
    </xf>
    <xf numFmtId="0" fontId="52" fillId="8" borderId="21" xfId="0" applyFont="1" applyFill="1" applyBorder="1" applyAlignment="1" applyProtection="1">
      <alignment horizontal="left" vertical="center"/>
    </xf>
    <xf numFmtId="0" fontId="71" fillId="8" borderId="10" xfId="0" applyFont="1" applyFill="1" applyBorder="1" applyAlignment="1" applyProtection="1">
      <alignment horizontal="left" vertical="center"/>
    </xf>
    <xf numFmtId="177" fontId="84" fillId="8" borderId="5" xfId="2" applyNumberFormat="1" applyFont="1" applyFill="1" applyBorder="1" applyAlignment="1" applyProtection="1">
      <alignment horizontal="left" vertical="center"/>
    </xf>
    <xf numFmtId="177" fontId="84" fillId="8" borderId="8" xfId="2" applyNumberFormat="1" applyFont="1" applyFill="1" applyBorder="1" applyAlignment="1" applyProtection="1">
      <alignment horizontal="left" vertical="center"/>
    </xf>
    <xf numFmtId="177" fontId="84" fillId="8" borderId="9" xfId="2" applyNumberFormat="1" applyFont="1" applyFill="1" applyBorder="1" applyAlignment="1" applyProtection="1">
      <alignment horizontal="left" vertical="center"/>
    </xf>
    <xf numFmtId="0" fontId="71" fillId="8" borderId="5" xfId="0" applyFont="1" applyFill="1" applyBorder="1" applyAlignment="1" applyProtection="1">
      <alignment horizontal="left" vertical="center"/>
    </xf>
    <xf numFmtId="0" fontId="71" fillId="8" borderId="9" xfId="0" applyFont="1" applyFill="1" applyBorder="1" applyAlignment="1" applyProtection="1">
      <alignment horizontal="left" vertical="center"/>
    </xf>
    <xf numFmtId="0" fontId="75" fillId="8" borderId="5" xfId="0" applyFont="1" applyFill="1" applyBorder="1" applyAlignment="1" applyProtection="1">
      <alignment horizontal="left" vertical="center"/>
    </xf>
    <xf numFmtId="0" fontId="75" fillId="8" borderId="9" xfId="0" applyFont="1" applyFill="1" applyBorder="1" applyAlignment="1" applyProtection="1">
      <alignment horizontal="left" vertical="center"/>
    </xf>
    <xf numFmtId="177" fontId="84" fillId="8" borderId="2" xfId="2" applyNumberFormat="1" applyFont="1" applyFill="1" applyBorder="1" applyAlignment="1" applyProtection="1">
      <alignment horizontal="left" vertical="center"/>
    </xf>
    <xf numFmtId="178" fontId="11" fillId="8" borderId="2" xfId="2" applyNumberFormat="1" applyFont="1" applyFill="1" applyBorder="1" applyAlignment="1" applyProtection="1">
      <alignment horizontal="left" vertical="center"/>
      <protection locked="0" hidden="1"/>
    </xf>
    <xf numFmtId="177" fontId="71" fillId="8" borderId="2" xfId="0" applyNumberFormat="1" applyFont="1" applyFill="1" applyBorder="1" applyAlignment="1" applyProtection="1">
      <alignment horizontal="left" vertical="center"/>
    </xf>
    <xf numFmtId="199" fontId="76" fillId="8" borderId="2" xfId="0" applyNumberFormat="1" applyFont="1" applyFill="1" applyBorder="1" applyAlignment="1" applyProtection="1">
      <alignment horizontal="left" vertical="center"/>
      <protection locked="0"/>
    </xf>
    <xf numFmtId="0" fontId="76" fillId="8" borderId="2" xfId="0" applyFont="1" applyFill="1" applyBorder="1" applyAlignment="1" applyProtection="1">
      <alignment horizontal="left" vertical="center"/>
      <protection locked="0"/>
    </xf>
    <xf numFmtId="0" fontId="75" fillId="8" borderId="2" xfId="0" applyFont="1" applyFill="1" applyBorder="1" applyAlignment="1" applyProtection="1">
      <alignment horizontal="left" vertical="center"/>
    </xf>
    <xf numFmtId="0" fontId="133" fillId="8" borderId="2" xfId="0" applyFont="1" applyFill="1" applyBorder="1" applyAlignment="1" applyProtection="1">
      <alignment horizontal="left" vertical="center"/>
    </xf>
    <xf numFmtId="180" fontId="75" fillId="8" borderId="2" xfId="0" applyNumberFormat="1" applyFont="1" applyFill="1" applyBorder="1" applyAlignment="1" applyProtection="1">
      <alignment horizontal="left" vertical="center"/>
    </xf>
    <xf numFmtId="0" fontId="0" fillId="8" borderId="0" xfId="0" applyFill="1" applyAlignment="1">
      <alignment horizontal="left" vertical="center"/>
    </xf>
    <xf numFmtId="0" fontId="71" fillId="8" borderId="20" xfId="0" applyFont="1" applyFill="1" applyBorder="1" applyAlignment="1" applyProtection="1">
      <alignment horizontal="left" vertical="center"/>
    </xf>
    <xf numFmtId="0" fontId="71" fillId="8" borderId="51" xfId="0" applyFont="1" applyFill="1" applyBorder="1" applyAlignment="1" applyProtection="1">
      <alignment horizontal="left" vertical="center"/>
    </xf>
    <xf numFmtId="2" fontId="76" fillId="8" borderId="9" xfId="0" applyNumberFormat="1" applyFont="1" applyFill="1" applyBorder="1" applyAlignment="1" applyProtection="1">
      <alignment horizontal="left" vertical="center"/>
      <protection locked="0"/>
    </xf>
    <xf numFmtId="178" fontId="81" fillId="8" borderId="2" xfId="2" applyNumberFormat="1" applyFont="1" applyFill="1" applyBorder="1" applyAlignment="1" applyProtection="1">
      <alignment horizontal="left" vertical="center"/>
      <protection locked="0"/>
    </xf>
    <xf numFmtId="0" fontId="71" fillId="8" borderId="25" xfId="0" applyFont="1" applyFill="1" applyBorder="1" applyAlignment="1" applyProtection="1">
      <alignment horizontal="left" vertical="center"/>
      <protection locked="0"/>
    </xf>
    <xf numFmtId="177" fontId="71" fillId="8" borderId="12" xfId="0" applyNumberFormat="1" applyFont="1" applyFill="1" applyBorder="1" applyAlignment="1" applyProtection="1">
      <alignment horizontal="left" vertical="center"/>
    </xf>
    <xf numFmtId="180" fontId="75" fillId="8" borderId="47" xfId="0" applyNumberFormat="1" applyFont="1" applyFill="1" applyBorder="1" applyAlignment="1" applyProtection="1">
      <alignment horizontal="left" vertical="center"/>
    </xf>
    <xf numFmtId="180" fontId="75" fillId="8" borderId="44" xfId="0" applyNumberFormat="1" applyFont="1" applyFill="1" applyBorder="1" applyAlignment="1" applyProtection="1">
      <alignment horizontal="left" vertical="center"/>
    </xf>
    <xf numFmtId="180" fontId="75" fillId="8" borderId="46" xfId="0" applyNumberFormat="1" applyFont="1" applyFill="1" applyBorder="1" applyAlignment="1" applyProtection="1">
      <alignment horizontal="left" vertical="center"/>
    </xf>
    <xf numFmtId="0" fontId="71" fillId="8" borderId="2" xfId="0" applyFont="1" applyFill="1" applyBorder="1" applyAlignment="1" applyProtection="1">
      <alignment horizontal="left" vertical="center"/>
      <protection locked="0"/>
    </xf>
    <xf numFmtId="0" fontId="81" fillId="8" borderId="10" xfId="0" applyFont="1" applyFill="1" applyBorder="1" applyAlignment="1" applyProtection="1">
      <alignment horizontal="left" vertical="center"/>
    </xf>
    <xf numFmtId="0" fontId="71" fillId="8" borderId="21" xfId="0" applyFont="1" applyFill="1" applyBorder="1" applyAlignment="1" applyProtection="1">
      <alignment horizontal="left" vertical="center"/>
    </xf>
    <xf numFmtId="0" fontId="145" fillId="0" borderId="4" xfId="0" applyFont="1" applyBorder="1" applyAlignment="1">
      <alignment horizontal="left" vertical="center"/>
    </xf>
    <xf numFmtId="0" fontId="145" fillId="0" borderId="32" xfId="0" applyFont="1" applyBorder="1" applyAlignment="1">
      <alignment horizontal="left" vertical="center"/>
    </xf>
    <xf numFmtId="0" fontId="145" fillId="0" borderId="17" xfId="0" applyFont="1" applyBorder="1" applyAlignment="1">
      <alignment horizontal="left" vertical="center"/>
    </xf>
    <xf numFmtId="0" fontId="145" fillId="0" borderId="20" xfId="0" applyFont="1" applyBorder="1" applyAlignment="1">
      <alignment horizontal="left" vertical="center"/>
    </xf>
    <xf numFmtId="0" fontId="133" fillId="8" borderId="5" xfId="0" applyFont="1" applyFill="1" applyBorder="1" applyAlignment="1" applyProtection="1">
      <alignment horizontal="left" vertical="center"/>
    </xf>
    <xf numFmtId="0" fontId="75" fillId="8" borderId="8" xfId="0" applyFont="1" applyFill="1" applyBorder="1" applyAlignment="1" applyProtection="1">
      <alignment horizontal="left" vertical="center"/>
    </xf>
    <xf numFmtId="0" fontId="145" fillId="0" borderId="2" xfId="0" applyFont="1" applyBorder="1" applyAlignment="1">
      <alignment horizontal="left" vertical="center" wrapText="1"/>
    </xf>
    <xf numFmtId="0" fontId="0" fillId="0" borderId="2" xfId="0" applyBorder="1" applyAlignment="1">
      <alignment horizontal="left" vertical="center" wrapText="1"/>
    </xf>
    <xf numFmtId="0" fontId="32" fillId="0" borderId="2" xfId="16" applyBorder="1" applyAlignment="1">
      <alignment horizontal="left" vertical="center"/>
    </xf>
  </cellXfs>
  <cellStyles count="21">
    <cellStyle name="百分比 2" xfId="11"/>
    <cellStyle name="常规" xfId="0" builtinId="0"/>
    <cellStyle name="常规 10" xfId="16"/>
    <cellStyle name="常规 11" xfId="20"/>
    <cellStyle name="常规 16" xfId="1"/>
    <cellStyle name="常规 2" xfId="2"/>
    <cellStyle name="常规 2 2" xfId="3"/>
    <cellStyle name="常规 2 2 2" xfId="17"/>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3" xfId="18"/>
    <cellStyle name="千位分隔 5" xfId="19"/>
  </cellStyles>
  <dxfs count="2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142875</xdr:rowOff>
    </xdr:from>
    <xdr:to>
      <xdr:col>7</xdr:col>
      <xdr:colOff>436946</xdr:colOff>
      <xdr:row>69</xdr:row>
      <xdr:rowOff>37223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91000"/>
          <a:ext cx="9638096" cy="7019048"/>
        </a:xfrm>
        <a:prstGeom prst="rect">
          <a:avLst/>
        </a:prstGeom>
      </xdr:spPr>
    </xdr:pic>
    <xdr:clientData/>
  </xdr:twoCellAnchor>
  <xdr:twoCellAnchor editAs="oneCell">
    <xdr:from>
      <xdr:col>7</xdr:col>
      <xdr:colOff>571500</xdr:colOff>
      <xdr:row>26</xdr:row>
      <xdr:rowOff>47625</xdr:rowOff>
    </xdr:from>
    <xdr:to>
      <xdr:col>15</xdr:col>
      <xdr:colOff>627800</xdr:colOff>
      <xdr:row>52</xdr:row>
      <xdr:rowOff>142337</xdr:rowOff>
    </xdr:to>
    <xdr:pic>
      <xdr:nvPicPr>
        <xdr:cNvPr id="3" name="图片 2"/>
        <xdr:cNvPicPr>
          <a:picLocks noChangeAspect="1"/>
        </xdr:cNvPicPr>
      </xdr:nvPicPr>
      <xdr:blipFill>
        <a:blip xmlns:r="http://schemas.openxmlformats.org/officeDocument/2006/relationships" r:embed="rId2"/>
        <a:stretch>
          <a:fillRect/>
        </a:stretch>
      </xdr:blipFill>
      <xdr:spPr>
        <a:xfrm>
          <a:off x="9772650" y="4257675"/>
          <a:ext cx="7333400" cy="4304762"/>
        </a:xfrm>
        <a:prstGeom prst="rect">
          <a:avLst/>
        </a:prstGeom>
      </xdr:spPr>
    </xdr:pic>
    <xdr:clientData/>
  </xdr:twoCellAnchor>
  <xdr:twoCellAnchor editAs="oneCell">
    <xdr:from>
      <xdr:col>0</xdr:col>
      <xdr:colOff>371475</xdr:colOff>
      <xdr:row>68</xdr:row>
      <xdr:rowOff>47625</xdr:rowOff>
    </xdr:from>
    <xdr:to>
      <xdr:col>7</xdr:col>
      <xdr:colOff>408421</xdr:colOff>
      <xdr:row>111</xdr:row>
      <xdr:rowOff>75327</xdr:rowOff>
    </xdr:to>
    <xdr:pic>
      <xdr:nvPicPr>
        <xdr:cNvPr id="4" name="图片 3"/>
        <xdr:cNvPicPr>
          <a:picLocks noChangeAspect="1"/>
        </xdr:cNvPicPr>
      </xdr:nvPicPr>
      <xdr:blipFill>
        <a:blip xmlns:r="http://schemas.openxmlformats.org/officeDocument/2006/relationships" r:embed="rId3"/>
        <a:stretch>
          <a:fillRect/>
        </a:stretch>
      </xdr:blipFill>
      <xdr:spPr>
        <a:xfrm>
          <a:off x="371475" y="11058525"/>
          <a:ext cx="9238096" cy="6990477"/>
        </a:xfrm>
        <a:prstGeom prst="rect">
          <a:avLst/>
        </a:prstGeom>
      </xdr:spPr>
    </xdr:pic>
    <xdr:clientData/>
  </xdr:twoCellAnchor>
  <xdr:twoCellAnchor editAs="oneCell">
    <xdr:from>
      <xdr:col>7</xdr:col>
      <xdr:colOff>419100</xdr:colOff>
      <xdr:row>68</xdr:row>
      <xdr:rowOff>95250</xdr:rowOff>
    </xdr:from>
    <xdr:to>
      <xdr:col>16</xdr:col>
      <xdr:colOff>627705</xdr:colOff>
      <xdr:row>95</xdr:row>
      <xdr:rowOff>56609</xdr:rowOff>
    </xdr:to>
    <xdr:pic>
      <xdr:nvPicPr>
        <xdr:cNvPr id="5" name="图片 4"/>
        <xdr:cNvPicPr>
          <a:picLocks noChangeAspect="1"/>
        </xdr:cNvPicPr>
      </xdr:nvPicPr>
      <xdr:blipFill>
        <a:blip xmlns:r="http://schemas.openxmlformats.org/officeDocument/2006/relationships" r:embed="rId4"/>
        <a:stretch>
          <a:fillRect/>
        </a:stretch>
      </xdr:blipFill>
      <xdr:spPr>
        <a:xfrm>
          <a:off x="9620250" y="11106150"/>
          <a:ext cx="8171505" cy="4333334"/>
        </a:xfrm>
        <a:prstGeom prst="rect">
          <a:avLst/>
        </a:prstGeom>
      </xdr:spPr>
    </xdr:pic>
    <xdr:clientData/>
  </xdr:twoCellAnchor>
  <xdr:twoCellAnchor editAs="oneCell">
    <xdr:from>
      <xdr:col>8</xdr:col>
      <xdr:colOff>104775</xdr:colOff>
      <xdr:row>113</xdr:row>
      <xdr:rowOff>19050</xdr:rowOff>
    </xdr:from>
    <xdr:to>
      <xdr:col>16</xdr:col>
      <xdr:colOff>170609</xdr:colOff>
      <xdr:row>139</xdr:row>
      <xdr:rowOff>132810</xdr:rowOff>
    </xdr:to>
    <xdr:pic>
      <xdr:nvPicPr>
        <xdr:cNvPr id="6" name="图片 5"/>
        <xdr:cNvPicPr>
          <a:picLocks noChangeAspect="1"/>
        </xdr:cNvPicPr>
      </xdr:nvPicPr>
      <xdr:blipFill>
        <a:blip xmlns:r="http://schemas.openxmlformats.org/officeDocument/2006/relationships" r:embed="rId5"/>
        <a:stretch>
          <a:fillRect/>
        </a:stretch>
      </xdr:blipFill>
      <xdr:spPr>
        <a:xfrm>
          <a:off x="9991725" y="18316575"/>
          <a:ext cx="7342934" cy="4323810"/>
        </a:xfrm>
        <a:prstGeom prst="rect">
          <a:avLst/>
        </a:prstGeom>
      </xdr:spPr>
    </xdr:pic>
    <xdr:clientData/>
  </xdr:twoCellAnchor>
  <xdr:twoCellAnchor editAs="oneCell">
    <xdr:from>
      <xdr:col>0</xdr:col>
      <xdr:colOff>0</xdr:colOff>
      <xdr:row>113</xdr:row>
      <xdr:rowOff>38100</xdr:rowOff>
    </xdr:from>
    <xdr:to>
      <xdr:col>8</xdr:col>
      <xdr:colOff>65432</xdr:colOff>
      <xdr:row>156</xdr:row>
      <xdr:rowOff>151516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335625"/>
          <a:ext cx="9952382" cy="7076191"/>
        </a:xfrm>
        <a:prstGeom prst="rect">
          <a:avLst/>
        </a:prstGeom>
      </xdr:spPr>
    </xdr:pic>
    <xdr:clientData/>
  </xdr:twoCellAnchor>
  <xdr:twoCellAnchor editAs="oneCell">
    <xdr:from>
      <xdr:col>0</xdr:col>
      <xdr:colOff>133350</xdr:colOff>
      <xdr:row>201</xdr:row>
      <xdr:rowOff>104775</xdr:rowOff>
    </xdr:from>
    <xdr:to>
      <xdr:col>5</xdr:col>
      <xdr:colOff>437256</xdr:colOff>
      <xdr:row>239</xdr:row>
      <xdr:rowOff>123054</xdr:rowOff>
    </xdr:to>
    <xdr:pic>
      <xdr:nvPicPr>
        <xdr:cNvPr id="8" name="图片 7"/>
        <xdr:cNvPicPr>
          <a:picLocks noChangeAspect="1"/>
        </xdr:cNvPicPr>
      </xdr:nvPicPr>
      <xdr:blipFill>
        <a:blip xmlns:r="http://schemas.openxmlformats.org/officeDocument/2006/relationships" r:embed="rId7"/>
        <a:stretch>
          <a:fillRect/>
        </a:stretch>
      </xdr:blipFill>
      <xdr:spPr>
        <a:xfrm>
          <a:off x="133350" y="32651700"/>
          <a:ext cx="7152381" cy="6171429"/>
        </a:xfrm>
        <a:prstGeom prst="rect">
          <a:avLst/>
        </a:prstGeom>
      </xdr:spPr>
    </xdr:pic>
    <xdr:clientData/>
  </xdr:twoCellAnchor>
  <xdr:twoCellAnchor editAs="oneCell">
    <xdr:from>
      <xdr:col>0</xdr:col>
      <xdr:colOff>0</xdr:colOff>
      <xdr:row>158</xdr:row>
      <xdr:rowOff>0</xdr:rowOff>
    </xdr:from>
    <xdr:to>
      <xdr:col>7</xdr:col>
      <xdr:colOff>684565</xdr:colOff>
      <xdr:row>200</xdr:row>
      <xdr:rowOff>161055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5584150"/>
          <a:ext cx="9885715" cy="6961905"/>
        </a:xfrm>
        <a:prstGeom prst="rect">
          <a:avLst/>
        </a:prstGeom>
      </xdr:spPr>
    </xdr:pic>
    <xdr:clientData/>
  </xdr:twoCellAnchor>
  <xdr:twoCellAnchor editAs="oneCell">
    <xdr:from>
      <xdr:col>8</xdr:col>
      <xdr:colOff>57150</xdr:colOff>
      <xdr:row>158</xdr:row>
      <xdr:rowOff>9525</xdr:rowOff>
    </xdr:from>
    <xdr:to>
      <xdr:col>14</xdr:col>
      <xdr:colOff>523079</xdr:colOff>
      <xdr:row>184</xdr:row>
      <xdr:rowOff>104237</xdr:rowOff>
    </xdr:to>
    <xdr:pic>
      <xdr:nvPicPr>
        <xdr:cNvPr id="10" name="图片 9"/>
        <xdr:cNvPicPr>
          <a:picLocks noChangeAspect="1"/>
        </xdr:cNvPicPr>
      </xdr:nvPicPr>
      <xdr:blipFill>
        <a:blip xmlns:r="http://schemas.openxmlformats.org/officeDocument/2006/relationships" r:embed="rId9"/>
        <a:stretch>
          <a:fillRect/>
        </a:stretch>
      </xdr:blipFill>
      <xdr:spPr>
        <a:xfrm>
          <a:off x="9944100" y="25593675"/>
          <a:ext cx="6371429" cy="4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8</xdr:col>
      <xdr:colOff>1551192</xdr:colOff>
      <xdr:row>82</xdr:row>
      <xdr:rowOff>37246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52725"/>
          <a:ext cx="11066667" cy="6838096"/>
        </a:xfrm>
        <a:prstGeom prst="rect">
          <a:avLst/>
        </a:prstGeom>
      </xdr:spPr>
    </xdr:pic>
    <xdr:clientData/>
  </xdr:twoCellAnchor>
  <xdr:twoCellAnchor editAs="oneCell">
    <xdr:from>
      <xdr:col>8</xdr:col>
      <xdr:colOff>1295400</xdr:colOff>
      <xdr:row>40</xdr:row>
      <xdr:rowOff>0</xdr:rowOff>
    </xdr:from>
    <xdr:to>
      <xdr:col>16</xdr:col>
      <xdr:colOff>199237</xdr:colOff>
      <xdr:row>63</xdr:row>
      <xdr:rowOff>85249</xdr:rowOff>
    </xdr:to>
    <xdr:pic>
      <xdr:nvPicPr>
        <xdr:cNvPr id="3" name="图片 2"/>
        <xdr:cNvPicPr>
          <a:picLocks noChangeAspect="1"/>
        </xdr:cNvPicPr>
      </xdr:nvPicPr>
      <xdr:blipFill>
        <a:blip xmlns:r="http://schemas.openxmlformats.org/officeDocument/2006/relationships" r:embed="rId2"/>
        <a:stretch>
          <a:fillRect/>
        </a:stretch>
      </xdr:blipFill>
      <xdr:spPr>
        <a:xfrm>
          <a:off x="10810875" y="2752725"/>
          <a:ext cx="6304762" cy="3809524"/>
        </a:xfrm>
        <a:prstGeom prst="rect">
          <a:avLst/>
        </a:prstGeom>
      </xdr:spPr>
    </xdr:pic>
    <xdr:clientData/>
  </xdr:twoCellAnchor>
  <xdr:twoCellAnchor editAs="oneCell">
    <xdr:from>
      <xdr:col>0</xdr:col>
      <xdr:colOff>28575</xdr:colOff>
      <xdr:row>82</xdr:row>
      <xdr:rowOff>95250</xdr:rowOff>
    </xdr:from>
    <xdr:to>
      <xdr:col>8</xdr:col>
      <xdr:colOff>370244</xdr:colOff>
      <xdr:row>125</xdr:row>
      <xdr:rowOff>141999</xdr:rowOff>
    </xdr:to>
    <xdr:pic>
      <xdr:nvPicPr>
        <xdr:cNvPr id="6" name="图片 5"/>
        <xdr:cNvPicPr>
          <a:picLocks noChangeAspect="1"/>
        </xdr:cNvPicPr>
      </xdr:nvPicPr>
      <xdr:blipFill>
        <a:blip xmlns:r="http://schemas.openxmlformats.org/officeDocument/2006/relationships" r:embed="rId3"/>
        <a:stretch>
          <a:fillRect/>
        </a:stretch>
      </xdr:blipFill>
      <xdr:spPr>
        <a:xfrm>
          <a:off x="28575" y="9648825"/>
          <a:ext cx="9857144" cy="7009524"/>
        </a:xfrm>
        <a:prstGeom prst="rect">
          <a:avLst/>
        </a:prstGeom>
      </xdr:spPr>
    </xdr:pic>
    <xdr:clientData/>
  </xdr:twoCellAnchor>
  <xdr:twoCellAnchor editAs="oneCell">
    <xdr:from>
      <xdr:col>8</xdr:col>
      <xdr:colOff>0</xdr:colOff>
      <xdr:row>83</xdr:row>
      <xdr:rowOff>0</xdr:rowOff>
    </xdr:from>
    <xdr:to>
      <xdr:col>14</xdr:col>
      <xdr:colOff>627818</xdr:colOff>
      <xdr:row>109</xdr:row>
      <xdr:rowOff>142331</xdr:rowOff>
    </xdr:to>
    <xdr:pic>
      <xdr:nvPicPr>
        <xdr:cNvPr id="7" name="图片 6"/>
        <xdr:cNvPicPr>
          <a:picLocks noChangeAspect="1"/>
        </xdr:cNvPicPr>
      </xdr:nvPicPr>
      <xdr:blipFill>
        <a:blip xmlns:r="http://schemas.openxmlformats.org/officeDocument/2006/relationships" r:embed="rId4"/>
        <a:stretch>
          <a:fillRect/>
        </a:stretch>
      </xdr:blipFill>
      <xdr:spPr>
        <a:xfrm>
          <a:off x="9515475" y="9715500"/>
          <a:ext cx="6657143" cy="4352381"/>
        </a:xfrm>
        <a:prstGeom prst="rect">
          <a:avLst/>
        </a:prstGeom>
      </xdr:spPr>
    </xdr:pic>
    <xdr:clientData/>
  </xdr:twoCellAnchor>
  <xdr:twoCellAnchor editAs="oneCell">
    <xdr:from>
      <xdr:col>0</xdr:col>
      <xdr:colOff>0</xdr:colOff>
      <xdr:row>128</xdr:row>
      <xdr:rowOff>0</xdr:rowOff>
    </xdr:from>
    <xdr:to>
      <xdr:col>8</xdr:col>
      <xdr:colOff>875002</xdr:colOff>
      <xdr:row>170</xdr:row>
      <xdr:rowOff>142008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7002125"/>
          <a:ext cx="10390477" cy="6942858"/>
        </a:xfrm>
        <a:prstGeom prst="rect">
          <a:avLst/>
        </a:prstGeom>
      </xdr:spPr>
    </xdr:pic>
    <xdr:clientData/>
  </xdr:twoCellAnchor>
  <xdr:twoCellAnchor editAs="oneCell">
    <xdr:from>
      <xdr:col>8</xdr:col>
      <xdr:colOff>0</xdr:colOff>
      <xdr:row>129</xdr:row>
      <xdr:rowOff>0</xdr:rowOff>
    </xdr:from>
    <xdr:to>
      <xdr:col>15</xdr:col>
      <xdr:colOff>342018</xdr:colOff>
      <xdr:row>155</xdr:row>
      <xdr:rowOff>18522</xdr:rowOff>
    </xdr:to>
    <xdr:pic>
      <xdr:nvPicPr>
        <xdr:cNvPr id="9" name="图片 8"/>
        <xdr:cNvPicPr>
          <a:picLocks noChangeAspect="1"/>
        </xdr:cNvPicPr>
      </xdr:nvPicPr>
      <xdr:blipFill>
        <a:blip xmlns:r="http://schemas.openxmlformats.org/officeDocument/2006/relationships" r:embed="rId6"/>
        <a:stretch>
          <a:fillRect/>
        </a:stretch>
      </xdr:blipFill>
      <xdr:spPr>
        <a:xfrm>
          <a:off x="9515475" y="17164050"/>
          <a:ext cx="7057143" cy="4228572"/>
        </a:xfrm>
        <a:prstGeom prst="rect">
          <a:avLst/>
        </a:prstGeom>
      </xdr:spPr>
    </xdr:pic>
    <xdr:clientData/>
  </xdr:twoCellAnchor>
  <xdr:twoCellAnchor editAs="oneCell">
    <xdr:from>
      <xdr:col>0</xdr:col>
      <xdr:colOff>0</xdr:colOff>
      <xdr:row>172</xdr:row>
      <xdr:rowOff>0</xdr:rowOff>
    </xdr:from>
    <xdr:to>
      <xdr:col>8</xdr:col>
      <xdr:colOff>1322621</xdr:colOff>
      <xdr:row>214</xdr:row>
      <xdr:rowOff>142008</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24126825"/>
          <a:ext cx="10838096" cy="6942858"/>
        </a:xfrm>
        <a:prstGeom prst="rect">
          <a:avLst/>
        </a:prstGeom>
      </xdr:spPr>
    </xdr:pic>
    <xdr:clientData/>
  </xdr:twoCellAnchor>
  <xdr:twoCellAnchor editAs="oneCell">
    <xdr:from>
      <xdr:col>8</xdr:col>
      <xdr:colOff>1685925</xdr:colOff>
      <xdr:row>172</xdr:row>
      <xdr:rowOff>123825</xdr:rowOff>
    </xdr:from>
    <xdr:to>
      <xdr:col>16</xdr:col>
      <xdr:colOff>189762</xdr:colOff>
      <xdr:row>199</xdr:row>
      <xdr:rowOff>37565</xdr:rowOff>
    </xdr:to>
    <xdr:pic>
      <xdr:nvPicPr>
        <xdr:cNvPr id="11" name="图片 10"/>
        <xdr:cNvPicPr>
          <a:picLocks noChangeAspect="1"/>
        </xdr:cNvPicPr>
      </xdr:nvPicPr>
      <xdr:blipFill>
        <a:blip xmlns:r="http://schemas.openxmlformats.org/officeDocument/2006/relationships" r:embed="rId8"/>
        <a:stretch>
          <a:fillRect/>
        </a:stretch>
      </xdr:blipFill>
      <xdr:spPr>
        <a:xfrm>
          <a:off x="11201400" y="24250650"/>
          <a:ext cx="5904762" cy="4285715"/>
        </a:xfrm>
        <a:prstGeom prst="rect">
          <a:avLst/>
        </a:prstGeom>
      </xdr:spPr>
    </xdr:pic>
    <xdr:clientData/>
  </xdr:twoCellAnchor>
  <xdr:twoCellAnchor editAs="oneCell">
    <xdr:from>
      <xdr:col>8</xdr:col>
      <xdr:colOff>447675</xdr:colOff>
      <xdr:row>217</xdr:row>
      <xdr:rowOff>19050</xdr:rowOff>
    </xdr:from>
    <xdr:to>
      <xdr:col>14</xdr:col>
      <xdr:colOff>665969</xdr:colOff>
      <xdr:row>243</xdr:row>
      <xdr:rowOff>94715</xdr:rowOff>
    </xdr:to>
    <xdr:pic>
      <xdr:nvPicPr>
        <xdr:cNvPr id="12" name="图片 11"/>
        <xdr:cNvPicPr>
          <a:picLocks noChangeAspect="1"/>
        </xdr:cNvPicPr>
      </xdr:nvPicPr>
      <xdr:blipFill>
        <a:blip xmlns:r="http://schemas.openxmlformats.org/officeDocument/2006/relationships" r:embed="rId9"/>
        <a:stretch>
          <a:fillRect/>
        </a:stretch>
      </xdr:blipFill>
      <xdr:spPr>
        <a:xfrm>
          <a:off x="9963150" y="35156775"/>
          <a:ext cx="6247619" cy="4285715"/>
        </a:xfrm>
        <a:prstGeom prst="rect">
          <a:avLst/>
        </a:prstGeom>
      </xdr:spPr>
    </xdr:pic>
    <xdr:clientData/>
  </xdr:twoCellAnchor>
  <xdr:twoCellAnchor editAs="oneCell">
    <xdr:from>
      <xdr:col>0</xdr:col>
      <xdr:colOff>0</xdr:colOff>
      <xdr:row>217</xdr:row>
      <xdr:rowOff>0</xdr:rowOff>
    </xdr:from>
    <xdr:to>
      <xdr:col>8</xdr:col>
      <xdr:colOff>351192</xdr:colOff>
      <xdr:row>260</xdr:row>
      <xdr:rowOff>18178</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35137725"/>
          <a:ext cx="9866667" cy="6980953"/>
        </a:xfrm>
        <a:prstGeom prst="rect">
          <a:avLst/>
        </a:prstGeom>
      </xdr:spPr>
    </xdr:pic>
    <xdr:clientData/>
  </xdr:twoCellAnchor>
  <xdr:twoCellAnchor editAs="oneCell">
    <xdr:from>
      <xdr:col>5</xdr:col>
      <xdr:colOff>695325</xdr:colOff>
      <xdr:row>261</xdr:row>
      <xdr:rowOff>152400</xdr:rowOff>
    </xdr:from>
    <xdr:to>
      <xdr:col>11</xdr:col>
      <xdr:colOff>1094380</xdr:colOff>
      <xdr:row>288</xdr:row>
      <xdr:rowOff>37568</xdr:rowOff>
    </xdr:to>
    <xdr:pic>
      <xdr:nvPicPr>
        <xdr:cNvPr id="14" name="图片 13"/>
        <xdr:cNvPicPr>
          <a:picLocks noChangeAspect="1"/>
        </xdr:cNvPicPr>
      </xdr:nvPicPr>
      <xdr:blipFill>
        <a:blip xmlns:r="http://schemas.openxmlformats.org/officeDocument/2006/relationships" r:embed="rId11"/>
        <a:stretch>
          <a:fillRect/>
        </a:stretch>
      </xdr:blipFill>
      <xdr:spPr>
        <a:xfrm>
          <a:off x="6505575" y="42414825"/>
          <a:ext cx="7961905" cy="42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8</xdr:col>
      <xdr:colOff>189265</xdr:colOff>
      <xdr:row>56</xdr:row>
      <xdr:rowOff>161055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66950"/>
          <a:ext cx="9885715" cy="6961905"/>
        </a:xfrm>
        <a:prstGeom prst="rect">
          <a:avLst/>
        </a:prstGeom>
      </xdr:spPr>
    </xdr:pic>
    <xdr:clientData/>
  </xdr:twoCellAnchor>
  <xdr:twoCellAnchor editAs="oneCell">
    <xdr:from>
      <xdr:col>8</xdr:col>
      <xdr:colOff>247650</xdr:colOff>
      <xdr:row>14</xdr:row>
      <xdr:rowOff>9525</xdr:rowOff>
    </xdr:from>
    <xdr:to>
      <xdr:col>11</xdr:col>
      <xdr:colOff>665954</xdr:colOff>
      <xdr:row>40</xdr:row>
      <xdr:rowOff>104237</xdr:rowOff>
    </xdr:to>
    <xdr:pic>
      <xdr:nvPicPr>
        <xdr:cNvPr id="3" name="图片 2"/>
        <xdr:cNvPicPr>
          <a:picLocks noChangeAspect="1"/>
        </xdr:cNvPicPr>
      </xdr:nvPicPr>
      <xdr:blipFill>
        <a:blip xmlns:r="http://schemas.openxmlformats.org/officeDocument/2006/relationships" r:embed="rId2"/>
        <a:stretch>
          <a:fillRect/>
        </a:stretch>
      </xdr:blipFill>
      <xdr:spPr>
        <a:xfrm>
          <a:off x="9944100" y="2276475"/>
          <a:ext cx="6371429" cy="4304762"/>
        </a:xfrm>
        <a:prstGeom prst="rect">
          <a:avLst/>
        </a:prstGeom>
      </xdr:spPr>
    </xdr:pic>
    <xdr:clientData/>
  </xdr:twoCellAnchor>
  <xdr:twoCellAnchor editAs="oneCell">
    <xdr:from>
      <xdr:col>8</xdr:col>
      <xdr:colOff>0</xdr:colOff>
      <xdr:row>57</xdr:row>
      <xdr:rowOff>0</xdr:rowOff>
    </xdr:from>
    <xdr:to>
      <xdr:col>11</xdr:col>
      <xdr:colOff>427828</xdr:colOff>
      <xdr:row>83</xdr:row>
      <xdr:rowOff>8998</xdr:rowOff>
    </xdr:to>
    <xdr:pic>
      <xdr:nvPicPr>
        <xdr:cNvPr id="4" name="图片 3"/>
        <xdr:cNvPicPr>
          <a:picLocks noChangeAspect="1"/>
        </xdr:cNvPicPr>
      </xdr:nvPicPr>
      <xdr:blipFill>
        <a:blip xmlns:r="http://schemas.openxmlformats.org/officeDocument/2006/relationships" r:embed="rId3"/>
        <a:stretch>
          <a:fillRect/>
        </a:stretch>
      </xdr:blipFill>
      <xdr:spPr>
        <a:xfrm>
          <a:off x="9696450" y="9229725"/>
          <a:ext cx="6380953" cy="4219048"/>
        </a:xfrm>
        <a:prstGeom prst="rect">
          <a:avLst/>
        </a:prstGeom>
      </xdr:spPr>
    </xdr:pic>
    <xdr:clientData/>
  </xdr:twoCellAnchor>
  <xdr:twoCellAnchor editAs="oneCell">
    <xdr:from>
      <xdr:col>0</xdr:col>
      <xdr:colOff>0</xdr:colOff>
      <xdr:row>58</xdr:row>
      <xdr:rowOff>0</xdr:rowOff>
    </xdr:from>
    <xdr:to>
      <xdr:col>8</xdr:col>
      <xdr:colOff>351170</xdr:colOff>
      <xdr:row>100</xdr:row>
      <xdr:rowOff>65817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391650"/>
          <a:ext cx="10047620" cy="6866667"/>
        </a:xfrm>
        <a:prstGeom prst="rect">
          <a:avLst/>
        </a:prstGeom>
      </xdr:spPr>
    </xdr:pic>
    <xdr:clientData/>
  </xdr:twoCellAnchor>
  <xdr:twoCellAnchor editAs="oneCell">
    <xdr:from>
      <xdr:col>0</xdr:col>
      <xdr:colOff>0</xdr:colOff>
      <xdr:row>102</xdr:row>
      <xdr:rowOff>0</xdr:rowOff>
    </xdr:from>
    <xdr:to>
      <xdr:col>8</xdr:col>
      <xdr:colOff>627360</xdr:colOff>
      <xdr:row>145</xdr:row>
      <xdr:rowOff>8654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516350"/>
          <a:ext cx="10323810" cy="6971429"/>
        </a:xfrm>
        <a:prstGeom prst="rect">
          <a:avLst/>
        </a:prstGeom>
      </xdr:spPr>
    </xdr:pic>
    <xdr:clientData/>
  </xdr:twoCellAnchor>
  <xdr:twoCellAnchor editAs="oneCell">
    <xdr:from>
      <xdr:col>8</xdr:col>
      <xdr:colOff>514350</xdr:colOff>
      <xdr:row>103</xdr:row>
      <xdr:rowOff>57150</xdr:rowOff>
    </xdr:from>
    <xdr:to>
      <xdr:col>11</xdr:col>
      <xdr:colOff>580273</xdr:colOff>
      <xdr:row>129</xdr:row>
      <xdr:rowOff>75672</xdr:rowOff>
    </xdr:to>
    <xdr:pic>
      <xdr:nvPicPr>
        <xdr:cNvPr id="7" name="图片 6"/>
        <xdr:cNvPicPr>
          <a:picLocks noChangeAspect="1"/>
        </xdr:cNvPicPr>
      </xdr:nvPicPr>
      <xdr:blipFill>
        <a:blip xmlns:r="http://schemas.openxmlformats.org/officeDocument/2006/relationships" r:embed="rId6"/>
        <a:stretch>
          <a:fillRect/>
        </a:stretch>
      </xdr:blipFill>
      <xdr:spPr>
        <a:xfrm>
          <a:off x="10210800" y="16735425"/>
          <a:ext cx="6019048" cy="42285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676275</xdr:colOff>
      <xdr:row>3</xdr:row>
      <xdr:rowOff>104775</xdr:rowOff>
    </xdr:from>
    <xdr:to>
      <xdr:col>9</xdr:col>
      <xdr:colOff>8528</xdr:colOff>
      <xdr:row>13</xdr:row>
      <xdr:rowOff>56966</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561975"/>
          <a:ext cx="7980953" cy="1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6611;&#24030;&#38451;&#21644;&#22303;&#22320;&#65288;&#21830;&#2030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6611;&#24030;&#38451;&#21644;&#22303;&#22320;&#65288;&#20303;&#2342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26611;&#24030;&#38451;&#21644;&#22303;&#22320;&#65288;&#21830;&#1999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611;&#24030;&#38451;&#21644;&#22303;&#22320;&#65288;&#20303;&#23429;&#6528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611;&#24030;&#38451;&#21644;&#22303;&#22320;&#65288;&#20303;&#23429;&#65289;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611;&#24030;&#38451;&#21644;&#22303;&#22320;&#65288;&#21830;&#19994;&#6528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Sheet0 "/>
      <sheetName val="不动产收益法 (2)"/>
      <sheetName val="Sheet0"/>
      <sheetName val="Sheet0 (2)"/>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97467.199999999983</v>
          </cell>
          <cell r="C14">
            <v>26678.44</v>
          </cell>
          <cell r="D14">
            <v>18658</v>
          </cell>
        </row>
      </sheetData>
      <sheetData sheetId="17">
        <row r="115">
          <cell r="C115">
            <v>995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
      <sheetName val="数据-汇总表"/>
      <sheetName val="数据-取费表"/>
      <sheetName val="估价对象房地状况"/>
      <sheetName val="系统读取表"/>
      <sheetName val="结果表"/>
      <sheetName val="比较法-住宅、综合"/>
      <sheetName val="不动产收益法"/>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高层）"/>
      <sheetName val="不动产比较法-住宅 (洋房)"/>
      <sheetName val="不动产比较法-商业"/>
      <sheetName val="不动产比较法-办公"/>
      <sheetName val="不动产比较法-工业"/>
      <sheetName val="不动产比较法-车位"/>
      <sheetName val="不动产比较法-仓储"/>
      <sheetName val="典型户型修正"/>
      <sheetName val="Sheet0 "/>
      <sheetName val="不动产收益法 (2)"/>
      <sheetName val="Sheet0"/>
      <sheetName val="Sheet0 (2)"/>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150170.35</v>
          </cell>
          <cell r="C14">
            <v>47245.62</v>
          </cell>
          <cell r="D14">
            <v>29449</v>
          </cell>
        </row>
      </sheetData>
      <sheetData sheetId="17">
        <row r="115">
          <cell r="C115">
            <v>741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Sheet0 "/>
      <sheetName val="不动产收益法 (2)"/>
      <sheetName val="Sheet住宅"/>
      <sheetName val="Sheet0"/>
      <sheetName val="Sheet0 (2)"/>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ow r="14">
          <cell r="B14">
            <v>91300.3</v>
          </cell>
          <cell r="C14">
            <v>21060.880000000001</v>
          </cell>
          <cell r="D14">
            <v>8114</v>
          </cell>
        </row>
      </sheetData>
      <sheetData sheetId="17">
        <row r="115">
          <cell r="C115">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Sheet0 "/>
      <sheetName val="不动产收益法 (2)"/>
      <sheetName val="Sheet0"/>
      <sheetName val="Sheet0 (2)"/>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B5">
            <v>18042</v>
          </cell>
        </row>
      </sheetData>
      <sheetData sheetId="17">
        <row r="20">
          <cell r="G20">
            <v>1851</v>
          </cell>
        </row>
        <row r="21">
          <cell r="G21">
            <v>6763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Sheet0 "/>
      <sheetName val="不动产收益法 (2)"/>
      <sheetName val="Sheet0"/>
      <sheetName val="Sheet0 (2)"/>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B5">
            <v>27635</v>
          </cell>
        </row>
      </sheetData>
      <sheetData sheetId="17">
        <row r="20">
          <cell r="G20">
            <v>1841</v>
          </cell>
        </row>
        <row r="21">
          <cell r="G21">
            <v>5849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Sheet0 "/>
      <sheetName val="不动产收益法 (2)"/>
      <sheetName val="Sheet住宅"/>
      <sheetName val="Sheet0"/>
      <sheetName val="Sheet0 (2)"/>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B5">
            <v>10811</v>
          </cell>
        </row>
      </sheetData>
      <sheetData sheetId="17">
        <row r="20">
          <cell r="G20">
            <v>1184</v>
          </cell>
        </row>
        <row r="21">
          <cell r="G21">
            <v>5133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2651</v>
      </c>
      <c r="B1" s="2843" t="s">
        <v>2748</v>
      </c>
    </row>
    <row r="2" spans="1:55" s="2847" customFormat="1" ht="15" thickTop="1">
      <c r="A2" s="2845" t="s">
        <v>2655</v>
      </c>
      <c r="B2" s="2846" t="str">
        <f>'预评函-封皮'!B37</f>
        <v>广西省柳州市阳和工业新区出让国有建设用地使用权抵押价格预评估</v>
      </c>
      <c r="AX2" s="2848"/>
      <c r="AZ2" s="2848"/>
      <c r="BA2" s="2849"/>
      <c r="BC2" s="2849"/>
    </row>
    <row r="3" spans="1:55" s="2850" customFormat="1">
      <c r="A3" s="2829" t="s">
        <v>2656</v>
      </c>
      <c r="B3" s="2832" t="str">
        <f>'预评函-封皮'!B40</f>
        <v>柳州市瀚丰房地产开发有限公司</v>
      </c>
    </row>
    <row r="4" spans="1:55" s="2831" customFormat="1">
      <c r="A4" s="2829" t="s">
        <v>2657</v>
      </c>
      <c r="B4" s="2830" t="str">
        <f>'预评函-封皮'!B46</f>
        <v>土地估价师、土地估价师</v>
      </c>
      <c r="N4" s="2831" t="str">
        <f>'预评函-1'!A28</f>
        <v/>
      </c>
    </row>
    <row r="5" spans="1:55" s="2844" customFormat="1" ht="15" thickBot="1">
      <c r="A5" s="2851" t="s">
        <v>2658</v>
      </c>
      <c r="B5" s="2852" t="str">
        <f>'预评函-封皮'!B49</f>
        <v>康正预评字号</v>
      </c>
    </row>
    <row r="6" spans="1:55" s="2853" customFormat="1" ht="15" thickTop="1">
      <c r="A6" s="2845" t="s">
        <v>2700</v>
      </c>
      <c r="B6" s="2846" t="str">
        <f>'预评函-1'!A4</f>
        <v>受贵公司委托，我公司对广西省柳州市阳和工业新区出让国有建设用地使用权抵押价格进行了预评估。</v>
      </c>
      <c r="AM6" s="2854"/>
    </row>
    <row r="7" spans="1:55" s="2828" customFormat="1">
      <c r="A7" s="2829" t="s">
        <v>2652</v>
      </c>
      <c r="B7" s="2830" t="str">
        <f>'预评函-1'!A6</f>
        <v>估价对象为使用的、位于广西省柳州市阳和工业新区出让国有建设用地使用权。根据《国有土地使用证》[]，估价对象（分摊）出让国有建设用地使用权面积为20176.84平方米。根据《建设工程规划许可证》[]、《出让合同》[]，估价对象规划建筑面积为73123.75平方米。</v>
      </c>
    </row>
    <row r="8" spans="1:55" s="2828" customFormat="1">
      <c r="A8" s="2829" t="s">
        <v>2653</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2703</v>
      </c>
      <c r="B9" s="2830"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2654</v>
      </c>
      <c r="B10" s="2830" t="str">
        <f>'预评函-1'!A11</f>
        <v>2019年8月15日</v>
      </c>
    </row>
    <row r="11" spans="1:55" s="2828" customFormat="1">
      <c r="A11" s="2829" t="s">
        <v>2660</v>
      </c>
      <c r="B11" s="2830" t="str">
        <f>'预评函-1'!A14</f>
        <v>根据《国有土地使用证》[]，本次评估估价对象证载（地类）用途为商住用地。</v>
      </c>
    </row>
    <row r="12" spans="1:55" s="2828" customFormat="1">
      <c r="A12" s="2829" t="s">
        <v>2661</v>
      </c>
      <c r="B12" s="2830" t="str">
        <f>'预评函-1'!A15</f>
        <v>本次评估设定用途即为证载用途商住用地。</v>
      </c>
    </row>
    <row r="13" spans="1:55" s="2828" customFormat="1">
      <c r="A13" s="2829" t="s">
        <v>2662</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2663</v>
      </c>
      <c r="B14" s="2830" t="str">
        <f>'预评函-1'!A18</f>
        <v>。本次评估设定土地开发程度为红线外市政基础设施达“七通”、宗地红线内场地平整。</v>
      </c>
    </row>
    <row r="15" spans="1:55" s="2828" customFormat="1">
      <c r="A15" s="2829" t="s">
        <v>2659</v>
      </c>
      <c r="B15" s="2830" t="str">
        <f>'预评函-1'!A20</f>
        <v>根据《国有土地使用证》[]，估价对象（分摊）出让国有建设用地使用权面积为20176.84平方米。根据《建设工程规划许可证》[]、《出让合同》[]，估价对象规划建筑面积为73123.75平方米。</v>
      </c>
    </row>
    <row r="16" spans="1:55" s="2828" customFormat="1">
      <c r="A16" s="2829" t="s">
        <v>2664</v>
      </c>
      <c r="B16" s="2830" t="str">
        <f>'预评函-1'!A22</f>
        <v>本次估价对象为出让国有建设用地使用权，《国有土地使用证》[]证载土地终止日期为住宅2089年9月15日、商业2059年9月15日地下车库2069年9月15日。截至估价期日，出让国有建设用地使用权剩余土地使用年限为。</v>
      </c>
    </row>
    <row r="17" spans="1:48" s="2828" customFormat="1">
      <c r="A17" s="2829" t="s">
        <v>2665</v>
      </c>
      <c r="B17" s="2830" t="str">
        <f>'预评函-1'!A23</f>
        <v>本次评估设定估价对象剩余土地使用年限为。</v>
      </c>
    </row>
    <row r="18" spans="1:48" s="2828" customFormat="1">
      <c r="A18" s="2829" t="s">
        <v>2666</v>
      </c>
      <c r="B18" s="2830" t="str">
        <f>'预评函-1'!A25</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商住用地，剩余土地使用年限为的出让国有建设用地使用权价格。</v>
      </c>
    </row>
    <row r="19" spans="1:48" s="2828" customFormat="1">
      <c r="A19" s="2829" t="s">
        <v>2667</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2668</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2669</v>
      </c>
      <c r="B21" s="2852" t="str">
        <f>'预评函-1'!A28</f>
        <v/>
      </c>
    </row>
    <row r="22" spans="1:48" ht="15" thickTop="1">
      <c r="A22" s="2840" t="s">
        <v>2670</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2671</v>
      </c>
      <c r="B23" s="2830" t="str">
        <f>'预评函-2'!K2</f>
        <v>估价期日：2019年8月15日</v>
      </c>
    </row>
    <row r="24" spans="1:48">
      <c r="A24" s="2829" t="s">
        <v>2672</v>
      </c>
      <c r="B24" s="2830" t="str">
        <f>'预评函-2'!R2</f>
        <v>估价期日的国有建设用地使用权性质：出让</v>
      </c>
    </row>
    <row r="25" spans="1:48">
      <c r="A25" s="2829" t="s">
        <v>2728</v>
      </c>
      <c r="B25" s="2830" t="str">
        <f>'预评函-2'!A3</f>
        <v>估价期日土地使用者</v>
      </c>
    </row>
    <row r="26" spans="1:48">
      <c r="A26" s="2829" t="s">
        <v>2704</v>
      </c>
      <c r="B26" s="2830" t="str">
        <f>'预评函-2'!A5</f>
        <v>中信开发</v>
      </c>
    </row>
    <row r="27" spans="1:48">
      <c r="A27" s="2829" t="s">
        <v>2729</v>
      </c>
      <c r="B27" s="2830" t="str">
        <f>'预评函-2'!B3</f>
        <v>宗地编号/不动产单元号</v>
      </c>
    </row>
    <row r="28" spans="1:48">
      <c r="A28" s="2829" t="s">
        <v>2705</v>
      </c>
      <c r="B28" s="2830" t="str">
        <f>'预评函-2'!B5</f>
        <v>11111111111</v>
      </c>
    </row>
    <row r="29" spans="1:48">
      <c r="A29" s="2829" t="s">
        <v>2731</v>
      </c>
      <c r="B29" s="2830">
        <f>'预评函-2'!C5</f>
        <v>22</v>
      </c>
    </row>
    <row r="30" spans="1:48">
      <c r="A30" s="2829" t="s">
        <v>2732</v>
      </c>
      <c r="B30" s="2830" t="str">
        <f>'预评函-2'!D3</f>
        <v>土地使用证编号/不动产权证书编号</v>
      </c>
    </row>
    <row r="31" spans="1:48">
      <c r="A31" s="2829" t="s">
        <v>2706</v>
      </c>
      <c r="B31" s="2830" t="str">
        <f>'预评函-2'!D5</f>
        <v>京国土字第111号</v>
      </c>
    </row>
    <row r="32" spans="1:48">
      <c r="A32" s="2829" t="s">
        <v>2707</v>
      </c>
      <c r="B32" s="2830" t="str">
        <f>'预评函-2'!E5</f>
        <v>商住用地</v>
      </c>
      <c r="AV32" s="2834"/>
    </row>
    <row r="33" spans="1:2">
      <c r="A33" s="2829" t="s">
        <v>2708</v>
      </c>
      <c r="B33" s="2830">
        <f>'预评函-2'!F5</f>
        <v>258</v>
      </c>
    </row>
    <row r="34" spans="1:2">
      <c r="A34" s="2829" t="s">
        <v>2709</v>
      </c>
      <c r="B34" s="2830" t="str">
        <f>'预评函-2'!G5</f>
        <v>商住用地</v>
      </c>
    </row>
    <row r="35" spans="1:2">
      <c r="A35" s="2829" t="s">
        <v>2710</v>
      </c>
      <c r="B35" s="2830">
        <f>'预评函-2'!H5</f>
        <v>1.5</v>
      </c>
    </row>
    <row r="36" spans="1:2">
      <c r="A36" s="2829" t="s">
        <v>2711</v>
      </c>
      <c r="B36" s="2830">
        <f>'预评函-2'!I5</f>
        <v>1.5</v>
      </c>
    </row>
    <row r="37" spans="1:2">
      <c r="A37" s="2829" t="s">
        <v>2712</v>
      </c>
      <c r="B37" s="2830">
        <f>'预评函-2'!J5</f>
        <v>1.5</v>
      </c>
    </row>
    <row r="38" spans="1:2">
      <c r="A38" s="2829" t="s">
        <v>2713</v>
      </c>
      <c r="B38" s="2830" t="str">
        <f>'预评函-2'!K5</f>
        <v>红线外七通、宗地红线内</v>
      </c>
    </row>
    <row r="39" spans="1:2">
      <c r="A39" s="2829" t="s">
        <v>2714</v>
      </c>
      <c r="B39" s="2830" t="str">
        <f>'预评函-2'!L5</f>
        <v>红线外七通、宗地红线内场地</v>
      </c>
    </row>
    <row r="40" spans="1:2">
      <c r="A40" s="2829" t="s">
        <v>2733</v>
      </c>
      <c r="B40" s="2830" t="str">
        <f>'预评函-2'!M3</f>
        <v>（剩余）土地使用年限/年</v>
      </c>
    </row>
    <row r="41" spans="1:2">
      <c r="A41" s="2829" t="s">
        <v>2715</v>
      </c>
      <c r="B41" s="2830">
        <f>'预评函-2'!M5</f>
        <v>0</v>
      </c>
    </row>
    <row r="42" spans="1:2">
      <c r="A42" s="2829" t="s">
        <v>2734</v>
      </c>
      <c r="B42" s="2830" t="str">
        <f>'预评函-2'!N3</f>
        <v>（分摊）出让国有建设用地使用权面积/㎡</v>
      </c>
    </row>
    <row r="43" spans="1:2">
      <c r="A43" s="2829" t="s">
        <v>2716</v>
      </c>
      <c r="B43" s="2830">
        <f>'预评函-2'!N5</f>
        <v>20176.84</v>
      </c>
    </row>
    <row r="44" spans="1:2">
      <c r="A44" s="2829" t="s">
        <v>2735</v>
      </c>
      <c r="B44" s="2830" t="str">
        <f>'预评函-2'!O3</f>
        <v>规划建筑面积/㎡</v>
      </c>
    </row>
    <row r="45" spans="1:2">
      <c r="A45" s="2829" t="s">
        <v>2717</v>
      </c>
      <c r="B45" s="2830">
        <f>'预评函-2'!O5</f>
        <v>73123.75</v>
      </c>
    </row>
    <row r="46" spans="1:2">
      <c r="A46" s="2829" t="s">
        <v>2718</v>
      </c>
      <c r="B46" s="2830">
        <f ca="1">'预评函-2'!P5</f>
        <v>6938</v>
      </c>
    </row>
    <row r="47" spans="1:2">
      <c r="A47" s="2829" t="s">
        <v>2719</v>
      </c>
      <c r="B47" s="2830">
        <f ca="1">'预评函-2'!Q5</f>
        <v>1914</v>
      </c>
    </row>
    <row r="48" spans="1:2">
      <c r="A48" s="2829" t="s">
        <v>2720</v>
      </c>
      <c r="B48" s="2830">
        <f ca="1">'预评函-2'!R5</f>
        <v>13998</v>
      </c>
    </row>
    <row r="49" spans="1:2">
      <c r="A49" s="2829" t="s">
        <v>2736</v>
      </c>
      <c r="B49" s="2830" t="str">
        <f>'预评函-2'!A6</f>
        <v>抵押价格</v>
      </c>
    </row>
    <row r="50" spans="1:2">
      <c r="A50" s="2829" t="s">
        <v>2721</v>
      </c>
      <c r="B50" s="2830">
        <f ca="1">'预评函-2'!R6</f>
        <v>13998</v>
      </c>
    </row>
    <row r="51" spans="1:2">
      <c r="A51" s="2829" t="s">
        <v>2737</v>
      </c>
      <c r="B51" s="2830" t="str">
        <f>'预评函-2'!A7</f>
        <v>——</v>
      </c>
    </row>
    <row r="52" spans="1:2">
      <c r="A52" s="2829" t="s">
        <v>2722</v>
      </c>
      <c r="B52" s="2830" t="str">
        <f>'预评函-2'!R7</f>
        <v>——</v>
      </c>
    </row>
    <row r="53" spans="1:2">
      <c r="A53" s="2829" t="s">
        <v>2738</v>
      </c>
      <c r="B53" s="2830" t="str">
        <f>'预评函-2'!A8</f>
        <v>——</v>
      </c>
    </row>
    <row r="54" spans="1:2" s="2844" customFormat="1" ht="15" thickBot="1">
      <c r="A54" s="2851" t="s">
        <v>2723</v>
      </c>
      <c r="B54" s="2852" t="str">
        <f>'预评函-2'!R8</f>
        <v>——</v>
      </c>
    </row>
    <row r="55" spans="1:2" ht="15" thickTop="1">
      <c r="A55" s="2840" t="s">
        <v>2673</v>
      </c>
      <c r="B55" s="2841" t="str">
        <f>'预评函-3'!A2</f>
        <v>1.权利限制：根据估价对象————，截至估价期日，估价对象抵押权未见登记。未设定租赁等其他他项权利。</v>
      </c>
    </row>
    <row r="56" spans="1:2">
      <c r="A56" s="2829" t="s">
        <v>2674</v>
      </c>
      <c r="B56" s="2830" t="str">
        <f>'预评函-3'!A3</f>
        <v>2.基础设施条件：估价对象实际开发程度为红线外七通、宗地红线内；本次评估设定开发程度为红线外七通、宗地红线内场地。</v>
      </c>
    </row>
    <row r="57" spans="1:2">
      <c r="A57" s="2829" t="s">
        <v>2675</v>
      </c>
      <c r="B57" s="2830" t="str">
        <f>'预评函-3'!A4</f>
        <v>3.估价规划限制条件：详见《建设工程规划许可证》[]、《出让合同》[]。</v>
      </c>
    </row>
    <row r="58" spans="1:2" s="2844" customFormat="1" ht="15" thickBot="1">
      <c r="A58" s="2851" t="s">
        <v>2724</v>
      </c>
      <c r="B58" s="2852" t="str">
        <f>'预评函-3'!A5</f>
        <v>4.影响价格的其他限定条件：无。</v>
      </c>
    </row>
    <row r="59" spans="1:2" ht="15" thickTop="1">
      <c r="A59" s="2840" t="s">
        <v>2676</v>
      </c>
      <c r="B59" s="2841" t="str">
        <f>'预评函-3'!A8</f>
        <v>2.本《评估意见函》仅供金融机构进行内部审核使用，不做其他目的之用。</v>
      </c>
    </row>
    <row r="60" spans="1:2">
      <c r="A60" s="2829" t="s">
        <v>2677</v>
      </c>
      <c r="B60" s="2830" t="str">
        <f>'预评函-3'!A9</f>
        <v>3.抵押双方在办理抵押登记手续时，应使用本公司出具的正式《土地估价报告》，特提请报告使用者注意。</v>
      </c>
    </row>
    <row r="61" spans="1:2">
      <c r="A61" s="2829" t="s">
        <v>2679</v>
      </c>
      <c r="B61" s="2830" t="str">
        <f>'预评函-3'!A10</f>
        <v>4.估价师所知悉的法定优先受偿款情况为：</v>
      </c>
    </row>
    <row r="62" spans="1:2">
      <c r="A62" s="2829" t="s">
        <v>2678</v>
      </c>
      <c r="B62" s="2830"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2680</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2681</v>
      </c>
      <c r="B64" s="2835" t="str">
        <f>'预评函-3'!A13</f>
        <v>（3）。</v>
      </c>
    </row>
    <row r="65" spans="1:2">
      <c r="A65" s="2829" t="s">
        <v>2682</v>
      </c>
      <c r="B65" s="2836" t="str">
        <f>'预评函-3'!A14</f>
        <v>综上，本次评估不存在估价师知悉的法定优先受偿款</v>
      </c>
    </row>
    <row r="66" spans="1:2">
      <c r="A66" s="2829" t="s">
        <v>2683</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2684</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2687</v>
      </c>
      <c r="B68" s="2855">
        <f>'预评函-3'!D30</f>
        <v>42558</v>
      </c>
    </row>
    <row r="69" spans="1:2" ht="15" thickTop="1">
      <c r="A69" s="2840" t="s">
        <v>2685</v>
      </c>
      <c r="B69" s="2841" t="str">
        <f>'预评函-3'!A20</f>
        <v>土地估价师</v>
      </c>
    </row>
    <row r="70" spans="1:2">
      <c r="A70" s="2829" t="s">
        <v>2685</v>
      </c>
      <c r="B70" s="2836">
        <f>'预评函-3'!B20</f>
        <v>0</v>
      </c>
    </row>
    <row r="71" spans="1:2">
      <c r="A71" s="2829" t="s">
        <v>2686</v>
      </c>
      <c r="B71" s="2830" t="str">
        <f>'预评函-3'!A21</f>
        <v>土地估价师</v>
      </c>
    </row>
    <row r="72" spans="1:2" s="2844" customFormat="1" ht="15" thickBot="1">
      <c r="A72" s="2851" t="s">
        <v>2686</v>
      </c>
      <c r="B72" s="2857">
        <f>'预评函-3'!B21</f>
        <v>0</v>
      </c>
    </row>
    <row r="73" spans="1:2" ht="15" thickTop="1">
      <c r="A73" s="2840" t="s">
        <v>2745</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2746</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2747</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2782</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2" sqref="C32"/>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1937</v>
      </c>
      <c r="B1" s="3331" t="str">
        <f>IF(B10="北京市","北京市",C10)&amp;F10&amp;B16&amp;"国有建设用地使用权"&amp;B9&amp;"预评估"</f>
        <v>广西省柳州市阳和工业新区出让国有建设用地使用权抵押价格预评估</v>
      </c>
      <c r="C1" s="3332"/>
      <c r="D1" s="3332"/>
      <c r="E1" s="3332"/>
      <c r="F1" s="3332"/>
      <c r="G1" s="3332"/>
      <c r="H1" s="3332"/>
      <c r="I1" s="3333"/>
      <c r="J1" s="1674"/>
      <c r="K1" s="2415" t="str">
        <f>IF(B10="北京市","北京市",C10)&amp;F10&amp;B16&amp;"国有建设用地使用权"&amp;B9</f>
        <v>广西省柳州市阳和工业新区出让国有建设用地使用权抵押价格</v>
      </c>
      <c r="L1" s="1703"/>
      <c r="M1" s="1703"/>
      <c r="N1" s="1674"/>
      <c r="O1" s="1675"/>
      <c r="P1" s="1674"/>
      <c r="Q1" s="1674"/>
      <c r="R1" s="1674"/>
      <c r="S1" s="1674"/>
      <c r="T1" s="1674"/>
      <c r="U1" s="1674"/>
    </row>
    <row r="2" spans="1:21">
      <c r="A2" s="1640" t="s">
        <v>1938</v>
      </c>
      <c r="B2" s="1822"/>
      <c r="D2" s="1674"/>
      <c r="E2" s="1674"/>
      <c r="F2" s="1674"/>
      <c r="G2" s="1674"/>
      <c r="H2" s="1640"/>
      <c r="I2" s="1675"/>
      <c r="J2" s="1674"/>
      <c r="K2" s="2415" t="str">
        <f>IF(B10="北京市","北京市",C10)&amp;F10&amp;B16&amp;"国有建设用地使用权"</f>
        <v>广西省柳州市阳和工业新区出让国有建设用地使用权</v>
      </c>
      <c r="L2" s="1703"/>
      <c r="M2" s="1703"/>
      <c r="N2" s="1674"/>
      <c r="O2" s="1675"/>
      <c r="P2" s="1674"/>
      <c r="Q2" s="1674"/>
      <c r="R2" s="1674"/>
      <c r="S2" s="1674"/>
      <c r="T2" s="1674"/>
      <c r="U2" s="1674"/>
    </row>
    <row r="3" spans="1:21">
      <c r="A3" s="1641" t="s">
        <v>1939</v>
      </c>
      <c r="B3" s="1642">
        <v>43746</v>
      </c>
      <c r="C3" s="1643" t="s">
        <v>1993</v>
      </c>
      <c r="D3" s="1642">
        <v>43692</v>
      </c>
      <c r="E3" s="1674"/>
      <c r="F3" s="1674"/>
      <c r="G3" s="1674"/>
      <c r="H3" s="1640"/>
      <c r="I3" s="1675"/>
      <c r="J3" s="1674"/>
      <c r="K3" s="1754"/>
      <c r="L3" s="1703"/>
      <c r="M3" s="1703"/>
      <c r="N3" s="1674"/>
      <c r="O3" s="1675"/>
      <c r="P3" s="1674"/>
      <c r="Q3" s="1674"/>
      <c r="R3" s="1674"/>
      <c r="S3" s="1674"/>
      <c r="T3" s="1674"/>
      <c r="U3" s="1674"/>
    </row>
    <row r="4" spans="1:21" ht="29.25" thickBot="1">
      <c r="A4" s="1644" t="s">
        <v>1940</v>
      </c>
      <c r="B4" s="1823" t="s">
        <v>2884</v>
      </c>
      <c r="C4" s="1826">
        <f>SUMIF(土地估价师,B4,估价师及机构信息!E3:E24)</f>
        <v>0</v>
      </c>
      <c r="D4" s="1823" t="s">
        <v>2884</v>
      </c>
      <c r="E4" s="1826">
        <f>SUMIF(土地估价师,D4,估价师及机构信息!E3:E24)</f>
        <v>0</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1941</v>
      </c>
      <c r="B5" s="1769" t="s">
        <v>3251</v>
      </c>
      <c r="C5" s="1646"/>
      <c r="D5" s="1647"/>
      <c r="E5" s="1674"/>
      <c r="F5" s="1674"/>
      <c r="G5" s="1674"/>
      <c r="H5" s="1640"/>
      <c r="I5" s="1675"/>
      <c r="J5" s="1674"/>
      <c r="K5" s="1754"/>
      <c r="L5" s="1703"/>
      <c r="M5" s="1703"/>
      <c r="N5" s="1674"/>
      <c r="O5" s="1675"/>
      <c r="P5" s="1674"/>
      <c r="Q5" s="1674"/>
      <c r="R5" s="1674"/>
      <c r="S5" s="1674"/>
      <c r="T5" s="1674"/>
      <c r="U5" s="1674"/>
    </row>
    <row r="6" spans="1:21" ht="26.25">
      <c r="A6" s="1643" t="s">
        <v>2701</v>
      </c>
      <c r="B6" s="1769" t="s">
        <v>3266</v>
      </c>
      <c r="C6" s="1741"/>
      <c r="D6" s="1648"/>
      <c r="E6" s="1674"/>
      <c r="F6" s="1674"/>
      <c r="G6" s="1674"/>
      <c r="H6" s="1640"/>
      <c r="I6" s="1675"/>
      <c r="J6" s="1674"/>
      <c r="K6" s="3001" t="str">
        <f>IF(COUNTIF(B6,"*上海银行*"),"上海银行","")</f>
        <v/>
      </c>
      <c r="L6" s="1703"/>
      <c r="M6" s="1703"/>
      <c r="N6" s="1674"/>
      <c r="O6" s="1675"/>
      <c r="P6" s="1674"/>
      <c r="Q6" s="1674"/>
      <c r="R6" s="1674"/>
      <c r="S6" s="1674"/>
      <c r="T6" s="1674"/>
      <c r="U6" s="1674"/>
    </row>
    <row r="7" spans="1:21">
      <c r="A7" s="1649" t="s">
        <v>2702</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1942</v>
      </c>
      <c r="B8" s="1650" t="s">
        <v>2989</v>
      </c>
      <c r="C8" s="1651"/>
      <c r="D8" s="3337" t="s">
        <v>1944</v>
      </c>
      <c r="E8" s="1824" t="s">
        <v>2990</v>
      </c>
      <c r="F8" s="1652"/>
      <c r="G8" s="1640"/>
      <c r="H8" s="1640"/>
      <c r="I8" s="1687"/>
      <c r="J8" s="1674"/>
      <c r="K8" s="1754"/>
      <c r="L8" s="1703"/>
      <c r="M8" s="1703"/>
      <c r="N8" s="1674"/>
      <c r="O8" s="1675"/>
      <c r="P8" s="1674"/>
      <c r="Q8" s="1674"/>
      <c r="R8" s="1674"/>
      <c r="S8" s="1674"/>
      <c r="T8" s="1674"/>
      <c r="U8" s="1674"/>
    </row>
    <row r="9" spans="1:21" ht="15" thickBot="1">
      <c r="A9" s="1653" t="s">
        <v>1943</v>
      </c>
      <c r="B9" s="1654" t="s">
        <v>2990</v>
      </c>
      <c r="C9" s="1655"/>
      <c r="D9" s="3338"/>
      <c r="E9" s="1654" t="s">
        <v>952</v>
      </c>
      <c r="F9" s="1727"/>
      <c r="G9" s="1722"/>
      <c r="H9" s="1722"/>
      <c r="I9" s="1723"/>
      <c r="J9" s="1674"/>
      <c r="K9" s="1754"/>
      <c r="L9" s="1703"/>
      <c r="M9" s="1703"/>
      <c r="N9" s="1674"/>
      <c r="O9" s="1675"/>
      <c r="P9" s="1674"/>
      <c r="Q9" s="1674"/>
      <c r="R9" s="1674"/>
      <c r="S9" s="1674"/>
      <c r="T9" s="1674"/>
      <c r="U9" s="1674"/>
    </row>
    <row r="10" spans="1:21" ht="15" thickTop="1">
      <c r="A10" s="1724" t="s">
        <v>1997</v>
      </c>
      <c r="B10" s="1699" t="s">
        <v>2991</v>
      </c>
      <c r="C10" s="1656" t="s">
        <v>3252</v>
      </c>
      <c r="D10" s="1647"/>
      <c r="E10" s="1657" t="s">
        <v>1946</v>
      </c>
      <c r="F10" s="1658" t="s">
        <v>3253</v>
      </c>
      <c r="G10" s="1725"/>
      <c r="H10" s="1726"/>
      <c r="I10" s="1647"/>
      <c r="J10" s="1674"/>
      <c r="K10" s="1754"/>
      <c r="L10" s="1703"/>
      <c r="M10" s="1703"/>
      <c r="N10" s="1674"/>
      <c r="O10" s="1675"/>
      <c r="P10" s="1674"/>
      <c r="Q10" s="1674"/>
      <c r="R10" s="1674"/>
      <c r="S10" s="1674"/>
      <c r="T10" s="1674"/>
      <c r="U10" s="1674"/>
    </row>
    <row r="11" spans="1:21">
      <c r="A11" s="1677" t="s">
        <v>1998</v>
      </c>
      <c r="B11" s="1678" t="s">
        <v>2992</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2056</v>
      </c>
      <c r="B12" s="3334" t="s">
        <v>2993</v>
      </c>
      <c r="C12" s="3335"/>
      <c r="D12" s="3336"/>
      <c r="E12" s="1679" t="s">
        <v>2059</v>
      </c>
      <c r="F12" s="3352" t="s">
        <v>2885</v>
      </c>
      <c r="G12" s="3353"/>
      <c r="H12" s="3353"/>
      <c r="I12" s="3354"/>
      <c r="J12" s="1674"/>
      <c r="K12" s="1754"/>
      <c r="L12" s="1703"/>
      <c r="M12" s="1703"/>
      <c r="N12" s="1674"/>
      <c r="O12" s="1675"/>
      <c r="P12" s="1674"/>
      <c r="Q12" s="1674"/>
      <c r="R12" s="1674"/>
      <c r="S12" s="1674"/>
      <c r="T12" s="1674"/>
      <c r="U12" s="1674"/>
    </row>
    <row r="13" spans="1:21">
      <c r="A13" s="1667" t="s">
        <v>2057</v>
      </c>
      <c r="B13" s="3334" t="s">
        <v>2994</v>
      </c>
      <c r="C13" s="3335"/>
      <c r="D13" s="3336"/>
      <c r="E13" s="1679" t="s">
        <v>2059</v>
      </c>
      <c r="F13" s="3352" t="s">
        <v>2886</v>
      </c>
      <c r="G13" s="3353"/>
      <c r="H13" s="3353"/>
      <c r="I13" s="3354"/>
      <c r="J13" s="1674"/>
      <c r="K13" s="1754"/>
      <c r="L13" s="1703"/>
      <c r="M13" s="1703"/>
      <c r="N13" s="1674"/>
      <c r="O13" s="1675"/>
      <c r="P13" s="1674"/>
      <c r="Q13" s="1674"/>
      <c r="R13" s="1674"/>
      <c r="S13" s="1674"/>
      <c r="T13" s="1674"/>
      <c r="U13" s="1674"/>
    </row>
    <row r="14" spans="1:21">
      <c r="A14" s="1641" t="s">
        <v>2060</v>
      </c>
      <c r="B14" s="1679"/>
      <c r="C14" s="1825" t="s">
        <v>2995</v>
      </c>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1949</v>
      </c>
      <c r="E15" s="1746" t="s">
        <v>1950</v>
      </c>
      <c r="F15" s="1746" t="s">
        <v>1951</v>
      </c>
      <c r="G15" s="1666" t="s">
        <v>1952</v>
      </c>
      <c r="H15" s="1666" t="s">
        <v>1953</v>
      </c>
      <c r="I15" s="1666" t="s">
        <v>1954</v>
      </c>
      <c r="J15" s="1674"/>
      <c r="K15" s="1754"/>
      <c r="L15" s="1703"/>
      <c r="M15" s="1703"/>
      <c r="N15" s="1674"/>
      <c r="O15" s="1675"/>
      <c r="P15" s="1674"/>
      <c r="Q15" s="1674"/>
      <c r="R15" s="1674"/>
      <c r="S15" s="1674"/>
      <c r="T15" s="1674"/>
      <c r="U15" s="1674"/>
    </row>
    <row r="16" spans="1:21" ht="42.75">
      <c r="A16" s="1660" t="s">
        <v>1947</v>
      </c>
      <c r="B16" s="1661" t="s">
        <v>2982</v>
      </c>
      <c r="C16" s="1679" t="s">
        <v>1948</v>
      </c>
      <c r="D16" s="2606" t="s">
        <v>1949</v>
      </c>
      <c r="E16" s="1702" t="s">
        <v>2996</v>
      </c>
      <c r="F16" s="1702"/>
      <c r="G16" s="1702" t="s">
        <v>35</v>
      </c>
      <c r="H16" s="1702"/>
      <c r="I16" s="1666" t="s">
        <v>1954</v>
      </c>
      <c r="J16" s="1674"/>
      <c r="K16" s="2416" t="str">
        <f>IF(D17="","",D16&amp;TEXT(D17,"yyyy年m月d日;;"))</f>
        <v>住宅2089年9月15日</v>
      </c>
      <c r="L16" s="1679" t="str">
        <f>IF(OR(K16="",M16=""),"","、")</f>
        <v>、</v>
      </c>
      <c r="M16" s="2416" t="str">
        <f>IF(E17="","",E16&amp;TEXT(E17,"yyyy年m月d日;;"))</f>
        <v>商业2059年9月15日</v>
      </c>
      <c r="N16" s="1679" t="str">
        <f>IF(OR(M16="",O16=""),"","、")</f>
        <v/>
      </c>
      <c r="O16" s="2416" t="str">
        <f>IF(F17="","",F16&amp;TEXT(F17,"yyyy年m月d日;;"))</f>
        <v/>
      </c>
      <c r="P16" s="1679" t="str">
        <f>IF(OR(O16="",Q16=""),"","、")</f>
        <v/>
      </c>
      <c r="Q16" s="2416" t="str">
        <f>IF(G17="","",G16&amp;TEXT(G17,"yyyy年m月d日;;"))</f>
        <v>地下车库2069年9月15日</v>
      </c>
      <c r="R16" s="1679" t="str">
        <f>IF(OR(Q16="",S16=""),"","、")</f>
        <v/>
      </c>
      <c r="S16" s="2416" t="str">
        <f>IF(H17="","",H16&amp;TEXT(H17,"yyyy年m月d日;;"))</f>
        <v/>
      </c>
      <c r="T16" s="1679" t="str">
        <f>IF(OR(S16="",U16=""),"","、")</f>
        <v/>
      </c>
      <c r="U16" s="2416" t="str">
        <f>IF(I17="","",I16&amp;TEXT(I17,"yyyy年m月d日;;"))</f>
        <v/>
      </c>
    </row>
    <row r="17" spans="1:21">
      <c r="A17" s="1743"/>
      <c r="B17" s="1662"/>
      <c r="C17" s="1663" t="s">
        <v>1955</v>
      </c>
      <c r="D17" s="1680">
        <v>69291</v>
      </c>
      <c r="E17" s="1680">
        <v>58333</v>
      </c>
      <c r="F17" s="1680"/>
      <c r="G17" s="1680">
        <v>61986</v>
      </c>
      <c r="H17" s="1680"/>
      <c r="I17" s="1680"/>
      <c r="J17" s="1674"/>
      <c r="K17" s="2415" t="str">
        <f>CONCATENATE(K16,L16,M16,N16,O16,P16,Q16,R16,S16,T16,,U16)</f>
        <v>住宅2089年9月15日、商业2059年9月15日地下车库2069年9月15日</v>
      </c>
      <c r="L17" s="1703"/>
      <c r="M17" s="1703"/>
      <c r="N17" s="1674"/>
      <c r="O17" s="1675"/>
      <c r="P17" s="1674"/>
      <c r="Q17" s="1674"/>
      <c r="R17" s="1674"/>
      <c r="S17" s="1674"/>
      <c r="T17" s="1674"/>
      <c r="U17" s="1674"/>
    </row>
    <row r="18" spans="1:21">
      <c r="A18" s="1743"/>
      <c r="B18" s="1662"/>
      <c r="C18" s="1663" t="s">
        <v>1956</v>
      </c>
      <c r="D18" s="1664">
        <v>70</v>
      </c>
      <c r="E18" s="3247">
        <v>40</v>
      </c>
      <c r="F18" s="1664"/>
      <c r="G18" s="1664">
        <v>50</v>
      </c>
      <c r="H18" s="1664"/>
      <c r="I18" s="1664"/>
      <c r="J18" s="1674"/>
      <c r="K18" s="1754"/>
      <c r="L18" s="1703"/>
      <c r="M18" s="1703"/>
      <c r="N18" s="1674"/>
      <c r="O18" s="1675"/>
      <c r="P18" s="1674"/>
      <c r="Q18" s="1674"/>
      <c r="R18" s="1674"/>
      <c r="S18" s="1674"/>
      <c r="T18" s="1674"/>
      <c r="U18" s="1674"/>
    </row>
    <row r="19" spans="1:21">
      <c r="A19" s="1743"/>
      <c r="B19" s="1662"/>
      <c r="C19" s="1640" t="s">
        <v>1957</v>
      </c>
      <c r="D19" s="1738">
        <f>IF(B16="出让",IF(D17="","",ROUNDDOWN(MIN((D17-$D$3)/365,D18),2)),D18)</f>
        <v>70</v>
      </c>
      <c r="E19" s="3248">
        <f>IF(B16="出让",IF(E17="","",ROUNDDOWN(MIN((E17-$D$3)/365,E18),2)),E18)</f>
        <v>40</v>
      </c>
      <c r="F19" s="1665" t="str">
        <f>IF(B16="出让",IF(F17="","",ROUNDDOWN(MIN((F17-$D$3)/365,F18),2)),F18)</f>
        <v/>
      </c>
      <c r="G19" s="1665">
        <f>IF(B16="出让",IF(G17="","",ROUNDDOWN(MIN((G17-$D$3)/365,G18),2)),G18)</f>
        <v>50</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2058</v>
      </c>
      <c r="D20" s="3349"/>
      <c r="E20" s="3350"/>
      <c r="F20" s="3350"/>
      <c r="G20" s="3350"/>
      <c r="H20" s="3350"/>
      <c r="I20" s="3351"/>
      <c r="J20" s="1674"/>
      <c r="K20" s="1754"/>
      <c r="L20" s="1703"/>
      <c r="M20" s="1703"/>
      <c r="N20" s="1674"/>
      <c r="O20" s="1675"/>
      <c r="P20" s="1674"/>
      <c r="Q20" s="1674"/>
      <c r="R20" s="1674"/>
      <c r="S20" s="1674"/>
      <c r="T20" s="1674"/>
      <c r="U20" s="1674"/>
    </row>
    <row r="21" spans="1:21">
      <c r="A21" s="1743" t="s">
        <v>1958</v>
      </c>
      <c r="B21" s="1744" t="s">
        <v>1959</v>
      </c>
      <c r="C21" s="1739">
        <f>'数据-汇总表'!E3</f>
        <v>73123.75</v>
      </c>
      <c r="D21" s="1740" t="s">
        <v>1960</v>
      </c>
      <c r="E21" s="3339" t="s">
        <v>1996</v>
      </c>
      <c r="F21" s="3340"/>
      <c r="G21" s="3340"/>
      <c r="H21" s="3340"/>
      <c r="I21" s="3341"/>
      <c r="J21" s="1674"/>
      <c r="K21" s="1754"/>
      <c r="L21" s="1703"/>
      <c r="M21" s="1703"/>
      <c r="N21" s="1674"/>
      <c r="O21" s="1675"/>
      <c r="P21" s="1674"/>
      <c r="Q21" s="1674"/>
      <c r="R21" s="1674"/>
      <c r="S21" s="1674"/>
      <c r="T21" s="1674"/>
      <c r="U21" s="1674"/>
    </row>
    <row r="22" spans="1:21">
      <c r="A22" s="3090" t="s">
        <v>952</v>
      </c>
      <c r="B22" s="1641" t="s">
        <v>1961</v>
      </c>
      <c r="C22" s="1666">
        <f>'数据-汇总表'!D3</f>
        <v>20176.84</v>
      </c>
      <c r="D22" s="1667" t="s">
        <v>1960</v>
      </c>
      <c r="E22" s="3339" t="s">
        <v>2887</v>
      </c>
      <c r="F22" s="3340"/>
      <c r="G22" s="3340"/>
      <c r="H22" s="3340"/>
      <c r="I22" s="3341"/>
      <c r="J22" s="1674"/>
      <c r="K22" s="1754"/>
      <c r="L22" s="1703"/>
      <c r="M22" s="1703"/>
      <c r="N22" s="1674"/>
      <c r="O22" s="1675"/>
      <c r="P22" s="1674"/>
      <c r="Q22" s="1674"/>
      <c r="R22" s="1674"/>
      <c r="S22" s="1674"/>
      <c r="T22" s="1674"/>
      <c r="U22" s="1674"/>
    </row>
    <row r="23" spans="1:21" ht="43.5" thickBot="1">
      <c r="A23" s="1745" t="s">
        <v>1962</v>
      </c>
      <c r="B23" s="1681" t="s">
        <v>1963</v>
      </c>
      <c r="C23" s="1682"/>
      <c r="D23" s="1683" t="s">
        <v>1964</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1965</v>
      </c>
      <c r="B24" s="3342" t="s">
        <v>1966</v>
      </c>
      <c r="C24" s="3343"/>
      <c r="D24" s="3344" t="s">
        <v>1967</v>
      </c>
      <c r="E24" s="3345"/>
      <c r="F24" s="1688" t="s">
        <v>1968</v>
      </c>
      <c r="G24" s="1674"/>
      <c r="H24" s="1674"/>
      <c r="I24" s="1687"/>
      <c r="J24" s="1674"/>
      <c r="K24" s="3330" t="s">
        <v>1969</v>
      </c>
      <c r="L24" s="2417" t="str">
        <f>"根据估价对象"&amp;IF(B26="——",B25&amp;C25,B25&amp;C25&amp;"、"&amp;B26&amp;C26)&amp;"，"&amp;IF(C23="是","截至估价期日，估价对象已设定抵押。","截至估价期日，估价对象抵押权未见登记。")</f>
        <v>根据估价对象————，截至估价期日，估价对象抵押权未见登记。</v>
      </c>
      <c r="M24" s="1703"/>
      <c r="N24" s="1674"/>
      <c r="O24" s="1675"/>
      <c r="P24" s="1674"/>
      <c r="Q24" s="1674"/>
      <c r="R24" s="1674"/>
      <c r="S24" s="1674"/>
      <c r="T24" s="1674"/>
      <c r="U24" s="1674"/>
    </row>
    <row r="25" spans="1:21">
      <c r="A25" s="1731"/>
      <c r="B25" s="1728" t="s">
        <v>952</v>
      </c>
      <c r="C25" s="1689" t="s">
        <v>952</v>
      </c>
      <c r="D25" s="1690"/>
      <c r="E25" s="1691" t="s">
        <v>952</v>
      </c>
      <c r="F25" s="1692"/>
      <c r="G25" s="1674"/>
      <c r="H25" s="1674"/>
      <c r="I25" s="1687"/>
      <c r="J25" s="1674"/>
      <c r="K25" s="3330"/>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15" thickBot="1">
      <c r="A26" s="1732"/>
      <c r="B26" s="1729" t="s">
        <v>952</v>
      </c>
      <c r="C26" s="1689" t="s">
        <v>952</v>
      </c>
      <c r="D26" s="1640"/>
      <c r="E26" s="1640"/>
      <c r="F26" s="1668"/>
      <c r="G26" s="1674"/>
      <c r="H26" s="1674"/>
      <c r="I26" s="1687"/>
      <c r="J26" s="1674"/>
      <c r="K26" s="3330"/>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1970</v>
      </c>
      <c r="B27" s="1733" t="s">
        <v>1971</v>
      </c>
      <c r="C27" s="1693"/>
      <c r="D27" s="2611" t="s">
        <v>1971</v>
      </c>
      <c r="E27" s="1694"/>
      <c r="F27" s="1668"/>
      <c r="G27" s="1674"/>
      <c r="H27" s="1674"/>
      <c r="I27" s="1687"/>
      <c r="J27" s="1674"/>
      <c r="K27" s="1754"/>
      <c r="L27" s="1703"/>
      <c r="M27" s="1703"/>
      <c r="N27" s="1674"/>
      <c r="O27" s="1675"/>
      <c r="P27" s="1674"/>
      <c r="Q27" s="1674"/>
      <c r="R27" s="1674"/>
      <c r="S27" s="1674"/>
      <c r="T27" s="1674"/>
      <c r="U27" s="1674"/>
    </row>
    <row r="28" spans="1:21">
      <c r="A28" s="1736"/>
      <c r="B28" s="1733" t="s">
        <v>1972</v>
      </c>
      <c r="C28" s="1695"/>
      <c r="D28" s="2612" t="s">
        <v>1972</v>
      </c>
      <c r="E28" s="1696"/>
      <c r="F28" s="1668"/>
      <c r="G28" s="1674"/>
      <c r="H28" s="1674"/>
      <c r="I28" s="1687"/>
      <c r="J28" s="1674"/>
      <c r="K28" s="1754"/>
      <c r="L28" s="1703"/>
      <c r="M28" s="1703"/>
      <c r="N28" s="1674"/>
      <c r="O28" s="1675"/>
      <c r="P28" s="1674"/>
      <c r="Q28" s="1674"/>
      <c r="R28" s="1674"/>
      <c r="S28" s="1674"/>
      <c r="T28" s="1674"/>
      <c r="U28" s="1674"/>
    </row>
    <row r="29" spans="1:21">
      <c r="A29" s="1736"/>
      <c r="B29" s="1733" t="s">
        <v>1973</v>
      </c>
      <c r="C29" s="1695"/>
      <c r="D29" s="2612" t="s">
        <v>1973</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1974</v>
      </c>
      <c r="C30" s="1697"/>
      <c r="D30" s="2613" t="s">
        <v>1974</v>
      </c>
      <c r="E30" s="1698"/>
      <c r="F30" s="1669"/>
      <c r="G30" s="1722"/>
      <c r="H30" s="1722"/>
      <c r="I30" s="1723"/>
      <c r="J30" s="1674"/>
      <c r="K30" s="1754"/>
      <c r="L30" s="1703"/>
      <c r="M30" s="1703"/>
      <c r="N30" s="1674"/>
      <c r="O30" s="1675"/>
      <c r="P30" s="1674"/>
      <c r="Q30" s="1674"/>
      <c r="R30" s="1674"/>
      <c r="S30" s="1674"/>
      <c r="T30" s="1674"/>
      <c r="U30" s="1674"/>
    </row>
    <row r="31" spans="1:21" ht="15" thickTop="1">
      <c r="A31" s="3316" t="s">
        <v>1999</v>
      </c>
      <c r="B31" s="1744" t="s">
        <v>2000</v>
      </c>
      <c r="C31" s="3355" t="s">
        <v>2997</v>
      </c>
      <c r="D31" s="3356"/>
      <c r="E31" s="1674"/>
      <c r="F31" s="1674"/>
      <c r="G31" s="1674"/>
      <c r="H31" s="1674"/>
      <c r="I31" s="1687"/>
      <c r="J31" s="1674"/>
      <c r="K31" s="2418"/>
      <c r="L31" s="1674"/>
      <c r="M31" s="1674"/>
      <c r="N31" s="1674"/>
      <c r="O31" s="1674"/>
      <c r="P31" s="1674"/>
      <c r="Q31" s="1674"/>
      <c r="R31" s="1674"/>
      <c r="S31" s="1674"/>
      <c r="T31" s="1674"/>
      <c r="U31" s="1674"/>
    </row>
    <row r="32" spans="1:21">
      <c r="A32" s="3316"/>
      <c r="B32" s="1641" t="s">
        <v>2001</v>
      </c>
      <c r="C32" s="1699" t="s">
        <v>2998</v>
      </c>
      <c r="D32" s="1700"/>
      <c r="E32" s="1674"/>
      <c r="F32" s="1674"/>
      <c r="G32" s="1674"/>
      <c r="H32" s="1674"/>
      <c r="I32" s="1687"/>
      <c r="J32" s="1674"/>
      <c r="K32" s="2418"/>
      <c r="L32" s="1674"/>
      <c r="M32" s="1674"/>
      <c r="N32" s="1674"/>
      <c r="O32" s="1674"/>
      <c r="P32" s="1674"/>
      <c r="Q32" s="1674"/>
      <c r="R32" s="1674"/>
      <c r="S32" s="1674"/>
      <c r="T32" s="1674"/>
      <c r="U32" s="1674"/>
    </row>
    <row r="33" spans="1:21">
      <c r="A33" s="3316"/>
      <c r="B33" s="1641" t="s">
        <v>2002</v>
      </c>
      <c r="C33" s="1701" t="s">
        <v>2999</v>
      </c>
      <c r="D33" s="1818"/>
      <c r="E33" s="1674"/>
      <c r="F33" s="1674"/>
      <c r="G33" s="1674"/>
      <c r="H33" s="1674"/>
      <c r="I33" s="1687"/>
      <c r="J33" s="1674"/>
      <c r="K33" s="2418"/>
      <c r="L33" s="1674"/>
      <c r="M33" s="1674"/>
      <c r="N33" s="1674"/>
      <c r="O33" s="1674"/>
      <c r="P33" s="1674"/>
      <c r="Q33" s="1674"/>
      <c r="R33" s="1674"/>
      <c r="S33" s="1674"/>
      <c r="T33" s="1674"/>
      <c r="U33" s="1674"/>
    </row>
    <row r="34" spans="1:21">
      <c r="A34" s="3317"/>
      <c r="B34" s="1641" t="s">
        <v>2003</v>
      </c>
      <c r="C34" s="3318"/>
      <c r="D34" s="3319"/>
      <c r="E34" s="1674"/>
      <c r="F34" s="1674"/>
      <c r="G34" s="1674"/>
      <c r="H34" s="1674"/>
      <c r="I34" s="1687"/>
      <c r="J34" s="1674"/>
      <c r="K34" s="2418"/>
      <c r="L34" s="1674"/>
      <c r="M34" s="1674"/>
      <c r="N34" s="1674"/>
      <c r="O34" s="1674"/>
      <c r="P34" s="1674"/>
      <c r="Q34" s="1674"/>
      <c r="R34" s="1674"/>
      <c r="S34" s="1674"/>
      <c r="T34" s="1674"/>
      <c r="U34" s="1674"/>
    </row>
    <row r="35" spans="1:21">
      <c r="A35" s="3320" t="s">
        <v>847</v>
      </c>
      <c r="B35" s="1702"/>
      <c r="C35" s="1756" t="str">
        <f>IF(B35="场地平整","——","具体情况：")</f>
        <v>具体情况：</v>
      </c>
      <c r="D35" s="3322"/>
      <c r="E35" s="3323"/>
      <c r="F35" s="3323"/>
      <c r="G35" s="3323"/>
      <c r="H35" s="3323"/>
      <c r="I35" s="3324"/>
      <c r="J35" s="1674"/>
      <c r="K35" s="1755"/>
      <c r="L35" s="1703"/>
      <c r="M35" s="1703"/>
      <c r="N35" s="1674"/>
      <c r="O35" s="1675"/>
      <c r="P35" s="1674"/>
      <c r="Q35" s="1674"/>
      <c r="R35" s="1674"/>
      <c r="S35" s="1674"/>
      <c r="T35" s="1674"/>
      <c r="U35" s="1674"/>
    </row>
    <row r="36" spans="1:21">
      <c r="A36" s="3316"/>
      <c r="B36" s="3325" t="s">
        <v>2052</v>
      </c>
      <c r="C36" s="3326"/>
      <c r="D36" s="1772"/>
      <c r="E36" s="3327"/>
      <c r="F36" s="3327"/>
      <c r="G36" s="1667" t="str">
        <f>IF(B35="场地未平整","估价结果处理","")</f>
        <v/>
      </c>
      <c r="H36" s="3328"/>
      <c r="I36" s="3328"/>
      <c r="J36" s="1674"/>
      <c r="K36" s="1755"/>
      <c r="L36" s="1703"/>
      <c r="M36" s="1703"/>
      <c r="N36" s="1674"/>
      <c r="O36" s="1675"/>
      <c r="P36" s="1674"/>
      <c r="Q36" s="1674"/>
      <c r="R36" s="1674"/>
      <c r="S36" s="1674"/>
      <c r="T36" s="1674"/>
      <c r="U36" s="1674"/>
    </row>
    <row r="37" spans="1:21" ht="28.5">
      <c r="A37" s="3316"/>
      <c r="B37" s="3346"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316"/>
      <c r="B38" s="3347"/>
      <c r="C38" s="1649" t="s">
        <v>850</v>
      </c>
      <c r="D38" s="1771">
        <f>ROUNDDOWN(MIN(('数据-取费表'!$B$2-D37)/365,D34),1)</f>
        <v>119.7</v>
      </c>
      <c r="E38" s="1707" t="s">
        <v>851</v>
      </c>
      <c r="F38" s="1674"/>
      <c r="G38" s="1674"/>
      <c r="H38" s="1674"/>
      <c r="I38" s="1687"/>
      <c r="J38" s="1674"/>
      <c r="K38" s="1755"/>
      <c r="L38" s="1674"/>
      <c r="M38" s="1674"/>
      <c r="N38" s="1674"/>
      <c r="O38" s="1674"/>
      <c r="P38" s="1674"/>
      <c r="Q38" s="1674"/>
      <c r="R38" s="1674"/>
      <c r="S38" s="1674"/>
      <c r="T38" s="1674"/>
      <c r="U38" s="1674"/>
    </row>
    <row r="39" spans="1:21">
      <c r="A39" s="3317"/>
      <c r="B39" s="3348"/>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1975</v>
      </c>
      <c r="B40" s="1670"/>
      <c r="C40" s="1670"/>
      <c r="D40" s="1670"/>
      <c r="E40" s="1670"/>
      <c r="F40" s="1670"/>
      <c r="G40" s="1670"/>
      <c r="H40" s="1670"/>
      <c r="I40" s="1687"/>
      <c r="J40" s="1674"/>
      <c r="K40" s="1710">
        <f>COUNTIF(B40:H40,"——")</f>
        <v>0</v>
      </c>
      <c r="L40" s="1679" t="s">
        <v>1976</v>
      </c>
      <c r="M40" s="1676" t="s">
        <v>1977</v>
      </c>
      <c r="N40" s="1676" t="s">
        <v>1978</v>
      </c>
      <c r="O40" s="1676" t="s">
        <v>1979</v>
      </c>
      <c r="P40" s="1676" t="s">
        <v>1980</v>
      </c>
      <c r="Q40" s="1676" t="s">
        <v>1981</v>
      </c>
      <c r="R40" s="1676" t="s">
        <v>1982</v>
      </c>
      <c r="S40" s="3329" t="s">
        <v>1983</v>
      </c>
      <c r="T40" s="1711" t="str">
        <f>NUMBERSTRING(7-K40,1)&amp;"通"</f>
        <v>七通</v>
      </c>
      <c r="U40" s="1674"/>
    </row>
    <row r="41" spans="1:21" ht="28.5">
      <c r="A41" s="1643"/>
      <c r="B41" s="3321" t="s">
        <v>1721</v>
      </c>
      <c r="C41" s="3321"/>
      <c r="D41" s="3321"/>
      <c r="E41" s="3321"/>
      <c r="F41" s="1712" t="str">
        <f>C10</f>
        <v>广西省柳州市</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329"/>
      <c r="T41" s="1713" t="str">
        <f>IF(T40="一通",L41,IF(T40="二通",M41,IF(T40="三通",N41,IF(T40="四通",O41,IF(T40="五通",P41,IF(T40="六通",Q41,R41))))))</f>
        <v>、、、、、、</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1707</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8" customFormat="1" ht="21" thickBot="1">
      <c r="A45" s="3019" t="s">
        <v>2888</v>
      </c>
      <c r="B45" s="3014"/>
      <c r="C45" s="3014"/>
      <c r="D45" s="3014"/>
      <c r="E45" s="3014"/>
      <c r="F45" s="3014"/>
      <c r="G45" s="3014"/>
      <c r="H45" s="3014"/>
      <c r="I45" s="3015"/>
      <c r="J45" s="3014"/>
      <c r="K45" s="3016"/>
      <c r="L45" s="3017"/>
      <c r="M45" s="3017"/>
      <c r="N45" s="3014"/>
      <c r="O45" s="3015"/>
      <c r="P45" s="3014"/>
      <c r="Q45" s="3014"/>
      <c r="R45" s="3014"/>
      <c r="S45" s="3014"/>
      <c r="T45" s="3014"/>
      <c r="U45" s="3014"/>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2004</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2005</v>
      </c>
      <c r="B48" s="1666" t="s">
        <v>2006</v>
      </c>
      <c r="C48" s="1666" t="s">
        <v>2007</v>
      </c>
      <c r="D48" s="1666" t="s">
        <v>2008</v>
      </c>
      <c r="E48" s="1666" t="s">
        <v>2009</v>
      </c>
      <c r="F48" s="1666" t="s">
        <v>2010</v>
      </c>
      <c r="G48" s="1666" t="s">
        <v>2011</v>
      </c>
      <c r="H48" s="1666" t="s">
        <v>2012</v>
      </c>
      <c r="I48" s="1666" t="s">
        <v>2013</v>
      </c>
      <c r="J48" s="1752" t="s">
        <v>2014</v>
      </c>
      <c r="K48" s="1746" t="s">
        <v>2015</v>
      </c>
      <c r="L48" s="1746" t="s">
        <v>2016</v>
      </c>
      <c r="M48" s="1746" t="s">
        <v>2017</v>
      </c>
      <c r="N48" s="1666" t="s">
        <v>2018</v>
      </c>
      <c r="O48" s="1666" t="s">
        <v>2019</v>
      </c>
      <c r="P48" s="1666" t="s">
        <v>2020</v>
      </c>
      <c r="Q48" s="1679" t="s">
        <v>2021</v>
      </c>
      <c r="R48" s="1679" t="s">
        <v>2022</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4" sqref="I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8" width="11.875" style="15" customWidth="1"/>
    <col min="39"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2329</v>
      </c>
      <c r="BA2" s="2321" t="s">
        <v>2328</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20176.84</v>
      </c>
      <c r="B3" s="22">
        <f>IF(C3="否",G5-AT5,G5)</f>
        <v>73123.75</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73123.75</v>
      </c>
      <c r="H5" s="27">
        <f t="shared" ref="H5:AT5" si="0">SUM(H13:H641)</f>
        <v>71544.26999999999</v>
      </c>
      <c r="I5" s="27">
        <f t="shared" si="0"/>
        <v>48133.2</v>
      </c>
      <c r="J5" s="27">
        <f t="shared" si="0"/>
        <v>0</v>
      </c>
      <c r="K5" s="27">
        <f t="shared" si="0"/>
        <v>2449.4</v>
      </c>
      <c r="L5" s="27">
        <f t="shared" si="0"/>
        <v>0</v>
      </c>
      <c r="M5" s="27">
        <f t="shared" si="0"/>
        <v>20961.669999999998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1579.4800000000032</v>
      </c>
      <c r="AD5" s="27">
        <f t="shared" si="0"/>
        <v>0</v>
      </c>
      <c r="AE5" s="27">
        <f t="shared" si="0"/>
        <v>0</v>
      </c>
      <c r="AF5" s="27">
        <f t="shared" si="0"/>
        <v>0</v>
      </c>
      <c r="AG5" s="27">
        <f t="shared" si="0"/>
        <v>0</v>
      </c>
      <c r="AH5" s="27">
        <f t="shared" si="0"/>
        <v>0</v>
      </c>
      <c r="AI5" s="27">
        <f t="shared" si="0"/>
        <v>0</v>
      </c>
      <c r="AJ5" s="27">
        <f t="shared" si="0"/>
        <v>0</v>
      </c>
      <c r="AK5" s="27">
        <f t="shared" si="0"/>
        <v>0</v>
      </c>
      <c r="AL5" s="27">
        <f t="shared" si="0"/>
        <v>1579.4800000000032</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73123.75</v>
      </c>
      <c r="BA5" s="29">
        <f t="shared" si="1"/>
        <v>71544.26999999999</v>
      </c>
      <c r="BB5" s="29">
        <f t="shared" si="1"/>
        <v>48133.2</v>
      </c>
      <c r="BC5" s="29">
        <f t="shared" si="1"/>
        <v>2449.4</v>
      </c>
      <c r="BD5" s="29">
        <f t="shared" si="1"/>
        <v>20961.669999999998</v>
      </c>
      <c r="BE5" s="29">
        <f t="shared" si="1"/>
        <v>0</v>
      </c>
      <c r="BF5" s="29">
        <f t="shared" si="1"/>
        <v>0</v>
      </c>
      <c r="BG5" s="29">
        <f t="shared" si="1"/>
        <v>0</v>
      </c>
      <c r="BH5" s="29">
        <f t="shared" si="1"/>
        <v>0</v>
      </c>
      <c r="BI5" s="29">
        <f t="shared" si="1"/>
        <v>0</v>
      </c>
      <c r="BJ5" s="29">
        <f t="shared" si="1"/>
        <v>0</v>
      </c>
      <c r="BK5" s="29">
        <f t="shared" si="1"/>
        <v>0</v>
      </c>
      <c r="BL5" s="29">
        <f t="shared" si="1"/>
        <v>1579.4800000000032</v>
      </c>
      <c r="BM5" s="29">
        <f t="shared" si="1"/>
        <v>0</v>
      </c>
      <c r="BN5" s="29">
        <f t="shared" si="1"/>
        <v>0</v>
      </c>
      <c r="BO5" s="29">
        <f t="shared" si="1"/>
        <v>0</v>
      </c>
      <c r="BP5" s="29">
        <f t="shared" si="1"/>
        <v>0</v>
      </c>
      <c r="BQ5" s="29">
        <f t="shared" si="1"/>
        <v>1579.4800000000032</v>
      </c>
      <c r="BR5" s="29">
        <f t="shared" si="1"/>
        <v>0</v>
      </c>
      <c r="BS5" s="29">
        <f t="shared" si="1"/>
        <v>0</v>
      </c>
      <c r="BT5" s="30">
        <f t="shared" si="1"/>
        <v>0</v>
      </c>
    </row>
    <row r="6" spans="1:72" s="37" customFormat="1" ht="12.75">
      <c r="A6" s="26" t="s">
        <v>169</v>
      </c>
      <c r="B6" s="31"/>
      <c r="C6" s="31"/>
      <c r="D6" s="32"/>
      <c r="E6" s="27">
        <f>H6+AC6+AT6</f>
        <v>20176.84</v>
      </c>
      <c r="F6" s="27" t="s">
        <v>1</v>
      </c>
      <c r="G6" s="27" t="s">
        <v>2</v>
      </c>
      <c r="H6" s="33">
        <f>SUMIF(I$12:AB$12,"总值",I6:AB6)</f>
        <v>19741.02</v>
      </c>
      <c r="I6" s="27">
        <f t="shared" ref="I6:AB6" si="2">ROUND($A$3*I5/$B$3,2)</f>
        <v>13281.26</v>
      </c>
      <c r="J6" s="27">
        <f t="shared" si="2"/>
        <v>0</v>
      </c>
      <c r="K6" s="27">
        <f t="shared" si="2"/>
        <v>675.86</v>
      </c>
      <c r="L6" s="27">
        <f t="shared" si="2"/>
        <v>0</v>
      </c>
      <c r="M6" s="27">
        <f t="shared" si="2"/>
        <v>5783.9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435.82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435.82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20176.84</v>
      </c>
      <c r="AZ6" s="27" t="s">
        <v>3</v>
      </c>
      <c r="BA6" s="27">
        <f>ROUND($AY$6*BA5/$AZ$5,2)</f>
        <v>19741.02</v>
      </c>
      <c r="BB6" s="27">
        <f>ROUND($AY$6*BB5/$AZ$5,2)</f>
        <v>13281.26</v>
      </c>
      <c r="BC6" s="27">
        <f t="shared" ref="BC6:BH6" si="4">ROUND($AY$6*BC5/$AZ$5,2)</f>
        <v>675.86</v>
      </c>
      <c r="BD6" s="27">
        <f t="shared" si="4"/>
        <v>5783.9</v>
      </c>
      <c r="BE6" s="27">
        <f t="shared" si="4"/>
        <v>0</v>
      </c>
      <c r="BF6" s="27">
        <f t="shared" si="4"/>
        <v>0</v>
      </c>
      <c r="BG6" s="27">
        <f t="shared" si="4"/>
        <v>0</v>
      </c>
      <c r="BH6" s="27">
        <f t="shared" si="4"/>
        <v>0</v>
      </c>
      <c r="BI6" s="27">
        <f t="shared" ref="BI6:BT6" si="5">ROUND($AY$6*BI5/$AZ$5,2)</f>
        <v>0</v>
      </c>
      <c r="BJ6" s="27">
        <f t="shared" si="5"/>
        <v>0</v>
      </c>
      <c r="BK6" s="27">
        <f t="shared" si="5"/>
        <v>0</v>
      </c>
      <c r="BL6" s="27">
        <f t="shared" si="5"/>
        <v>435.82</v>
      </c>
      <c r="BM6" s="27">
        <f t="shared" si="5"/>
        <v>0</v>
      </c>
      <c r="BN6" s="27">
        <f t="shared" si="5"/>
        <v>0</v>
      </c>
      <c r="BO6" s="27">
        <f t="shared" si="5"/>
        <v>0</v>
      </c>
      <c r="BP6" s="27">
        <f t="shared" si="5"/>
        <v>0</v>
      </c>
      <c r="BQ6" s="27">
        <f t="shared" si="5"/>
        <v>435.82</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8"/>
      <c r="AT8" s="2309"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6" t="s">
        <v>3022</v>
      </c>
      <c r="J9" s="51"/>
      <c r="K9" s="2966" t="s">
        <v>3022</v>
      </c>
      <c r="L9" s="51"/>
      <c r="M9" s="2966" t="s">
        <v>3210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0"/>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6" t="s">
        <v>923</v>
      </c>
      <c r="J10" s="51"/>
      <c r="K10" s="2968" t="s">
        <v>2996</v>
      </c>
      <c r="L10" s="51"/>
      <c r="M10" s="2968" t="s">
        <v>3211</v>
      </c>
      <c r="N10" s="51"/>
      <c r="O10" s="66"/>
      <c r="P10" s="51"/>
      <c r="Q10" s="66"/>
      <c r="R10" s="51"/>
      <c r="S10" s="66"/>
      <c r="T10" s="51"/>
      <c r="U10" s="66"/>
      <c r="V10" s="51"/>
      <c r="W10" s="66"/>
      <c r="X10" s="51"/>
      <c r="Y10" s="66"/>
      <c r="Z10" s="51"/>
      <c r="AA10" s="66"/>
      <c r="AB10" s="51"/>
      <c r="AC10" s="55"/>
      <c r="AD10" s="2295" t="s">
        <v>2315</v>
      </c>
      <c r="AE10" s="2317"/>
      <c r="AF10" s="2295" t="s">
        <v>2315</v>
      </c>
      <c r="AG10" s="2317"/>
      <c r="AH10" s="2295" t="s">
        <v>2316</v>
      </c>
      <c r="AI10" s="2317"/>
      <c r="AJ10" s="26" t="s">
        <v>2327</v>
      </c>
      <c r="AK10" s="2314"/>
      <c r="AL10" s="2295" t="s">
        <v>2317</v>
      </c>
      <c r="AM10" s="2296"/>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7" t="s">
        <v>3023</v>
      </c>
      <c r="J11" s="71"/>
      <c r="K11" s="2967" t="s">
        <v>3024</v>
      </c>
      <c r="L11" s="71"/>
      <c r="M11" s="70"/>
      <c r="N11" s="71"/>
      <c r="O11" s="70"/>
      <c r="P11" s="71"/>
      <c r="Q11" s="70"/>
      <c r="R11" s="71"/>
      <c r="S11" s="70"/>
      <c r="T11" s="71"/>
      <c r="U11" s="70"/>
      <c r="V11" s="71"/>
      <c r="W11" s="70"/>
      <c r="X11" s="71"/>
      <c r="Y11" s="70"/>
      <c r="Z11" s="71"/>
      <c r="AA11" s="70"/>
      <c r="AB11" s="71"/>
      <c r="AC11" s="55"/>
      <c r="AD11" s="2315" t="s">
        <v>2326</v>
      </c>
      <c r="AE11" s="1000"/>
      <c r="AF11" s="2315" t="s">
        <v>2326</v>
      </c>
      <c r="AG11" s="1000"/>
      <c r="AH11" s="2315" t="s">
        <v>2325</v>
      </c>
      <c r="AI11" s="2316"/>
      <c r="AJ11" s="2315" t="s">
        <v>2325</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1"/>
      <c r="B13" s="2961"/>
      <c r="C13" s="2961" t="s">
        <v>3020</v>
      </c>
      <c r="D13" s="2962" t="s">
        <v>1678</v>
      </c>
      <c r="E13" s="27">
        <f t="shared" ref="E13:E20" si="6">IF($C$3="是",ROUND($A$3*G13/$B$3,2),ROUND($A$3*(G13-AT13)/$B$3,2))</f>
        <v>13281.26</v>
      </c>
      <c r="F13" s="81"/>
      <c r="G13" s="82">
        <f t="shared" ref="G13:G20" si="7">H13+AC13+AT13</f>
        <v>48133.2</v>
      </c>
      <c r="H13" s="33">
        <f t="shared" ref="H13:H20" si="8">SUMIF(I$12:AB$12,"总值",I13:AB13)</f>
        <v>48133.2</v>
      </c>
      <c r="I13" s="2965">
        <f>经济技术指标!D8+经济技术指标!D9</f>
        <v>48133.2</v>
      </c>
      <c r="J13" s="2965"/>
      <c r="K13" s="2965"/>
      <c r="L13" s="2965"/>
      <c r="M13" s="2965"/>
      <c r="N13" s="83"/>
      <c r="O13" s="83"/>
      <c r="P13" s="83"/>
      <c r="Q13" s="83"/>
      <c r="R13" s="83"/>
      <c r="S13" s="83"/>
      <c r="T13" s="83"/>
      <c r="U13" s="83"/>
      <c r="V13" s="83"/>
      <c r="W13" s="83"/>
      <c r="X13" s="83"/>
      <c r="Y13" s="83"/>
      <c r="Z13" s="83"/>
      <c r="AA13" s="83"/>
      <c r="AB13" s="83"/>
      <c r="AC13" s="27">
        <f t="shared" ref="AC13:AC20" si="9">SUMIF(AD$12:AS$12,"总值",AD13:AS13)</f>
        <v>0</v>
      </c>
      <c r="AD13" s="2969"/>
      <c r="AE13" s="2969"/>
      <c r="AF13" s="2969"/>
      <c r="AG13" s="2969"/>
      <c r="AH13" s="2969"/>
      <c r="AI13" s="2969"/>
      <c r="AJ13" s="2969"/>
      <c r="AK13" s="2969"/>
      <c r="AL13" s="2969"/>
      <c r="AM13" s="2969"/>
      <c r="AN13" s="2969"/>
      <c r="AO13" s="2969"/>
      <c r="AP13" s="2969"/>
      <c r="AQ13" s="2969"/>
      <c r="AR13" s="2969"/>
      <c r="AS13" s="2969"/>
      <c r="AT13" s="2970"/>
      <c r="AU13" s="2971"/>
      <c r="AV13" s="17">
        <f t="shared" ref="AV13:AX20" si="10">A13</f>
        <v>0</v>
      </c>
      <c r="AW13" s="17">
        <f t="shared" si="10"/>
        <v>0</v>
      </c>
      <c r="AX13" s="17" t="str">
        <f t="shared" si="10"/>
        <v>住宅</v>
      </c>
      <c r="AY13" s="994">
        <f t="shared" ref="AY13:AY20" si="11">ROUND($AY$6*AZ13/$AZ$5,2)</f>
        <v>13281.26</v>
      </c>
      <c r="AZ13" s="27">
        <f t="shared" ref="AZ13:AZ20" si="12">BA13+BL13</f>
        <v>48133.2</v>
      </c>
      <c r="BA13" s="27">
        <f t="shared" ref="BA13:BA20" si="13">SUM(BB13:BK13)</f>
        <v>48133.2</v>
      </c>
      <c r="BB13" s="27">
        <f t="shared" ref="BB13:BB20" si="14">IF($D13="是",I13-J13,0)</f>
        <v>48133.2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1"/>
      <c r="B14" s="2961"/>
      <c r="C14" s="2963" t="s">
        <v>3021</v>
      </c>
      <c r="D14" s="2962" t="s">
        <v>1678</v>
      </c>
      <c r="E14" s="27">
        <f t="shared" si="6"/>
        <v>675.86</v>
      </c>
      <c r="F14" s="81"/>
      <c r="G14" s="82">
        <f t="shared" si="7"/>
        <v>2449.4</v>
      </c>
      <c r="H14" s="33">
        <f t="shared" si="8"/>
        <v>2449.4</v>
      </c>
      <c r="I14" s="2965"/>
      <c r="J14" s="2965"/>
      <c r="K14" s="2965">
        <f>经济技术指标!D11</f>
        <v>2449.4</v>
      </c>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t="str">
        <f t="shared" si="10"/>
        <v>商业</v>
      </c>
      <c r="AY14" s="994">
        <f t="shared" si="11"/>
        <v>675.86</v>
      </c>
      <c r="AZ14" s="27">
        <f t="shared" si="12"/>
        <v>2449.4</v>
      </c>
      <c r="BA14" s="27">
        <f t="shared" si="13"/>
        <v>2449.4</v>
      </c>
      <c r="BB14" s="27">
        <f t="shared" si="14"/>
        <v>0</v>
      </c>
      <c r="BC14" s="27">
        <f t="shared" si="15"/>
        <v>2449.4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1"/>
      <c r="B15" s="2961"/>
      <c r="C15" s="2963" t="s">
        <v>1952</v>
      </c>
      <c r="D15" s="2962" t="s">
        <v>1678</v>
      </c>
      <c r="E15" s="27">
        <f t="shared" si="6"/>
        <v>6219.72</v>
      </c>
      <c r="F15" s="81"/>
      <c r="G15" s="82">
        <f t="shared" si="7"/>
        <v>22541.15</v>
      </c>
      <c r="H15" s="33">
        <f t="shared" si="8"/>
        <v>20961.669999999998</v>
      </c>
      <c r="I15" s="2965"/>
      <c r="J15" s="2965"/>
      <c r="K15" s="2965"/>
      <c r="L15" s="2965"/>
      <c r="M15" s="3265">
        <f>经济技术指标!D16</f>
        <v>20961.669999999998</v>
      </c>
      <c r="N15" s="83"/>
      <c r="O15" s="83"/>
      <c r="P15" s="83"/>
      <c r="Q15" s="83"/>
      <c r="R15" s="83"/>
      <c r="S15" s="83"/>
      <c r="T15" s="83"/>
      <c r="U15" s="83"/>
      <c r="V15" s="83"/>
      <c r="W15" s="83"/>
      <c r="X15" s="83"/>
      <c r="Y15" s="83"/>
      <c r="Z15" s="83"/>
      <c r="AA15" s="83"/>
      <c r="AB15" s="83"/>
      <c r="AC15" s="27">
        <f t="shared" si="9"/>
        <v>1579.4800000000032</v>
      </c>
      <c r="AD15" s="2969"/>
      <c r="AE15" s="2969"/>
      <c r="AF15" s="2969"/>
      <c r="AG15" s="2969"/>
      <c r="AH15" s="2969"/>
      <c r="AI15" s="2969"/>
      <c r="AJ15" s="2969"/>
      <c r="AK15" s="2969"/>
      <c r="AL15" s="3286">
        <f>经济技术指标!D12</f>
        <v>1579.4800000000032</v>
      </c>
      <c r="AM15" s="2969"/>
      <c r="AN15" s="2969"/>
      <c r="AO15" s="2969"/>
      <c r="AP15" s="2969"/>
      <c r="AQ15" s="2969"/>
      <c r="AR15" s="2969"/>
      <c r="AS15" s="2969"/>
      <c r="AT15" s="2970"/>
      <c r="AU15" s="2971"/>
      <c r="AV15" s="17">
        <f t="shared" si="10"/>
        <v>0</v>
      </c>
      <c r="AW15" s="17">
        <f t="shared" si="10"/>
        <v>0</v>
      </c>
      <c r="AX15" s="17" t="str">
        <f t="shared" si="10"/>
        <v>车库</v>
      </c>
      <c r="AY15" s="994">
        <f t="shared" si="11"/>
        <v>6219.72</v>
      </c>
      <c r="AZ15" s="27">
        <f t="shared" si="12"/>
        <v>22541.15</v>
      </c>
      <c r="BA15" s="27">
        <f t="shared" si="13"/>
        <v>20961.669999999998</v>
      </c>
      <c r="BB15" s="27">
        <f t="shared" si="14"/>
        <v>0</v>
      </c>
      <c r="BC15" s="27">
        <f t="shared" si="15"/>
        <v>0</v>
      </c>
      <c r="BD15" s="27">
        <f t="shared" si="16"/>
        <v>20961.669999999998</v>
      </c>
      <c r="BE15" s="27">
        <f t="shared" si="17"/>
        <v>0</v>
      </c>
      <c r="BF15" s="27">
        <f t="shared" si="18"/>
        <v>0</v>
      </c>
      <c r="BG15" s="27">
        <f t="shared" si="19"/>
        <v>0</v>
      </c>
      <c r="BH15" s="27">
        <f t="shared" si="20"/>
        <v>0</v>
      </c>
      <c r="BI15" s="27">
        <f t="shared" si="21"/>
        <v>0</v>
      </c>
      <c r="BJ15" s="27">
        <f t="shared" si="22"/>
        <v>0</v>
      </c>
      <c r="BK15" s="27">
        <f t="shared" si="23"/>
        <v>0</v>
      </c>
      <c r="BL15" s="27">
        <f t="shared" si="24"/>
        <v>1579.4800000000032</v>
      </c>
      <c r="BM15" s="27">
        <f t="shared" si="25"/>
        <v>0</v>
      </c>
      <c r="BN15" s="27">
        <f t="shared" si="26"/>
        <v>0</v>
      </c>
      <c r="BO15" s="27">
        <f t="shared" si="27"/>
        <v>0</v>
      </c>
      <c r="BP15" s="27">
        <f t="shared" si="28"/>
        <v>0</v>
      </c>
      <c r="BQ15" s="27">
        <f t="shared" si="29"/>
        <v>1579.4800000000032</v>
      </c>
      <c r="BR15" s="27">
        <f t="shared" si="30"/>
        <v>0</v>
      </c>
      <c r="BS15" s="27">
        <f t="shared" si="31"/>
        <v>0</v>
      </c>
      <c r="BT15" s="36">
        <f t="shared" si="32"/>
        <v>0</v>
      </c>
    </row>
    <row r="16" spans="1:72" s="18" customFormat="1" ht="12.75">
      <c r="A16" s="2961"/>
      <c r="B16" s="2961"/>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5">
      <c r="A17" s="2961"/>
      <c r="B17" s="2961"/>
      <c r="C17" s="2963"/>
      <c r="D17" s="2964"/>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93"/>
      <c r="C18" s="2963"/>
      <c r="D18" s="2964"/>
      <c r="E18" s="87">
        <f t="shared" si="6"/>
        <v>0</v>
      </c>
      <c r="F18" s="88"/>
      <c r="G18" s="89">
        <f t="shared" si="7"/>
        <v>0</v>
      </c>
      <c r="H18" s="90">
        <f t="shared" si="8"/>
        <v>0</v>
      </c>
      <c r="I18" s="1387"/>
      <c r="J18" s="91"/>
      <c r="K18" s="2965"/>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225"/>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3227"/>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7" t="s">
        <v>0</v>
      </c>
      <c r="B1" s="3357" t="s">
        <v>4</v>
      </c>
      <c r="C1" s="3357" t="s">
        <v>5</v>
      </c>
      <c r="D1" s="3358" t="s">
        <v>40</v>
      </c>
      <c r="E1" s="3358" t="s">
        <v>41</v>
      </c>
      <c r="F1" s="3358"/>
      <c r="G1" s="3358"/>
      <c r="H1" s="3358"/>
      <c r="I1" s="3358"/>
      <c r="J1" s="3358"/>
      <c r="K1" s="3358"/>
      <c r="L1" s="3358"/>
      <c r="M1" s="3358"/>
    </row>
    <row r="2" spans="1:13" ht="27" customHeight="1">
      <c r="A2" s="3357"/>
      <c r="B2" s="3357"/>
      <c r="C2" s="3357"/>
      <c r="D2" s="3358"/>
      <c r="E2" s="3358" t="s">
        <v>24</v>
      </c>
      <c r="F2" s="3358" t="s">
        <v>25</v>
      </c>
      <c r="G2" s="3358"/>
      <c r="H2" s="3358"/>
      <c r="I2" s="3358"/>
      <c r="J2" s="3358" t="s">
        <v>26</v>
      </c>
      <c r="K2" s="3358"/>
      <c r="L2" s="3358"/>
      <c r="M2" s="3358"/>
    </row>
    <row r="3" spans="1:13" ht="28.5">
      <c r="A3" s="3357"/>
      <c r="B3" s="3357"/>
      <c r="C3" s="3357"/>
      <c r="D3" s="3358"/>
      <c r="E3" s="33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8" t="s">
        <v>42</v>
      </c>
      <c r="B9" s="3358"/>
      <c r="C9" s="33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M49"/>
  <sheetViews>
    <sheetView tabSelected="1" topLeftCell="A28" zoomScaleNormal="100" workbookViewId="0">
      <selection activeCell="G49" sqref="G49"/>
    </sheetView>
  </sheetViews>
  <sheetFormatPr defaultRowHeight="14.25"/>
  <cols>
    <col min="1" max="1" width="9" style="3179"/>
    <col min="2" max="2" width="20" style="3179" customWidth="1"/>
    <col min="3" max="8" width="13.625" style="3179" customWidth="1"/>
    <col min="9" max="11" width="9.5" style="3179" bestFit="1" customWidth="1"/>
    <col min="12" max="257" width="9" style="3179"/>
    <col min="258" max="258" width="20" style="3179" customWidth="1"/>
    <col min="259" max="264" width="13.625" style="3179" customWidth="1"/>
    <col min="265" max="513" width="9" style="3179"/>
    <col min="514" max="514" width="20" style="3179" customWidth="1"/>
    <col min="515" max="520" width="13.625" style="3179" customWidth="1"/>
    <col min="521" max="769" width="9" style="3179"/>
    <col min="770" max="770" width="20" style="3179" customWidth="1"/>
    <col min="771" max="776" width="13.625" style="3179" customWidth="1"/>
    <col min="777" max="1025" width="9" style="3179"/>
    <col min="1026" max="1026" width="20" style="3179" customWidth="1"/>
    <col min="1027" max="1032" width="13.625" style="3179" customWidth="1"/>
    <col min="1033" max="1281" width="9" style="3179"/>
    <col min="1282" max="1282" width="20" style="3179" customWidth="1"/>
    <col min="1283" max="1288" width="13.625" style="3179" customWidth="1"/>
    <col min="1289" max="1537" width="9" style="3179"/>
    <col min="1538" max="1538" width="20" style="3179" customWidth="1"/>
    <col min="1539" max="1544" width="13.625" style="3179" customWidth="1"/>
    <col min="1545" max="1793" width="9" style="3179"/>
    <col min="1794" max="1794" width="20" style="3179" customWidth="1"/>
    <col min="1795" max="1800" width="13.625" style="3179" customWidth="1"/>
    <col min="1801" max="2049" width="9" style="3179"/>
    <col min="2050" max="2050" width="20" style="3179" customWidth="1"/>
    <col min="2051" max="2056" width="13.625" style="3179" customWidth="1"/>
    <col min="2057" max="2305" width="9" style="3179"/>
    <col min="2306" max="2306" width="20" style="3179" customWidth="1"/>
    <col min="2307" max="2312" width="13.625" style="3179" customWidth="1"/>
    <col min="2313" max="2561" width="9" style="3179"/>
    <col min="2562" max="2562" width="20" style="3179" customWidth="1"/>
    <col min="2563" max="2568" width="13.625" style="3179" customWidth="1"/>
    <col min="2569" max="2817" width="9" style="3179"/>
    <col min="2818" max="2818" width="20" style="3179" customWidth="1"/>
    <col min="2819" max="2824" width="13.625" style="3179" customWidth="1"/>
    <col min="2825" max="3073" width="9" style="3179"/>
    <col min="3074" max="3074" width="20" style="3179" customWidth="1"/>
    <col min="3075" max="3080" width="13.625" style="3179" customWidth="1"/>
    <col min="3081" max="3329" width="9" style="3179"/>
    <col min="3330" max="3330" width="20" style="3179" customWidth="1"/>
    <col min="3331" max="3336" width="13.625" style="3179" customWidth="1"/>
    <col min="3337" max="3585" width="9" style="3179"/>
    <col min="3586" max="3586" width="20" style="3179" customWidth="1"/>
    <col min="3587" max="3592" width="13.625" style="3179" customWidth="1"/>
    <col min="3593" max="3841" width="9" style="3179"/>
    <col min="3842" max="3842" width="20" style="3179" customWidth="1"/>
    <col min="3843" max="3848" width="13.625" style="3179" customWidth="1"/>
    <col min="3849" max="4097" width="9" style="3179"/>
    <col min="4098" max="4098" width="20" style="3179" customWidth="1"/>
    <col min="4099" max="4104" width="13.625" style="3179" customWidth="1"/>
    <col min="4105" max="4353" width="9" style="3179"/>
    <col min="4354" max="4354" width="20" style="3179" customWidth="1"/>
    <col min="4355" max="4360" width="13.625" style="3179" customWidth="1"/>
    <col min="4361" max="4609" width="9" style="3179"/>
    <col min="4610" max="4610" width="20" style="3179" customWidth="1"/>
    <col min="4611" max="4616" width="13.625" style="3179" customWidth="1"/>
    <col min="4617" max="4865" width="9" style="3179"/>
    <col min="4866" max="4866" width="20" style="3179" customWidth="1"/>
    <col min="4867" max="4872" width="13.625" style="3179" customWidth="1"/>
    <col min="4873" max="5121" width="9" style="3179"/>
    <col min="5122" max="5122" width="20" style="3179" customWidth="1"/>
    <col min="5123" max="5128" width="13.625" style="3179" customWidth="1"/>
    <col min="5129" max="5377" width="9" style="3179"/>
    <col min="5378" max="5378" width="20" style="3179" customWidth="1"/>
    <col min="5379" max="5384" width="13.625" style="3179" customWidth="1"/>
    <col min="5385" max="5633" width="9" style="3179"/>
    <col min="5634" max="5634" width="20" style="3179" customWidth="1"/>
    <col min="5635" max="5640" width="13.625" style="3179" customWidth="1"/>
    <col min="5641" max="5889" width="9" style="3179"/>
    <col min="5890" max="5890" width="20" style="3179" customWidth="1"/>
    <col min="5891" max="5896" width="13.625" style="3179" customWidth="1"/>
    <col min="5897" max="6145" width="9" style="3179"/>
    <col min="6146" max="6146" width="20" style="3179" customWidth="1"/>
    <col min="6147" max="6152" width="13.625" style="3179" customWidth="1"/>
    <col min="6153" max="6401" width="9" style="3179"/>
    <col min="6402" max="6402" width="20" style="3179" customWidth="1"/>
    <col min="6403" max="6408" width="13.625" style="3179" customWidth="1"/>
    <col min="6409" max="6657" width="9" style="3179"/>
    <col min="6658" max="6658" width="20" style="3179" customWidth="1"/>
    <col min="6659" max="6664" width="13.625" style="3179" customWidth="1"/>
    <col min="6665" max="6913" width="9" style="3179"/>
    <col min="6914" max="6914" width="20" style="3179" customWidth="1"/>
    <col min="6915" max="6920" width="13.625" style="3179" customWidth="1"/>
    <col min="6921" max="7169" width="9" style="3179"/>
    <col min="7170" max="7170" width="20" style="3179" customWidth="1"/>
    <col min="7171" max="7176" width="13.625" style="3179" customWidth="1"/>
    <col min="7177" max="7425" width="9" style="3179"/>
    <col min="7426" max="7426" width="20" style="3179" customWidth="1"/>
    <col min="7427" max="7432" width="13.625" style="3179" customWidth="1"/>
    <col min="7433" max="7681" width="9" style="3179"/>
    <col min="7682" max="7682" width="20" style="3179" customWidth="1"/>
    <col min="7683" max="7688" width="13.625" style="3179" customWidth="1"/>
    <col min="7689" max="7937" width="9" style="3179"/>
    <col min="7938" max="7938" width="20" style="3179" customWidth="1"/>
    <col min="7939" max="7944" width="13.625" style="3179" customWidth="1"/>
    <col min="7945" max="8193" width="9" style="3179"/>
    <col min="8194" max="8194" width="20" style="3179" customWidth="1"/>
    <col min="8195" max="8200" width="13.625" style="3179" customWidth="1"/>
    <col min="8201" max="8449" width="9" style="3179"/>
    <col min="8450" max="8450" width="20" style="3179" customWidth="1"/>
    <col min="8451" max="8456" width="13.625" style="3179" customWidth="1"/>
    <col min="8457" max="8705" width="9" style="3179"/>
    <col min="8706" max="8706" width="20" style="3179" customWidth="1"/>
    <col min="8707" max="8712" width="13.625" style="3179" customWidth="1"/>
    <col min="8713" max="8961" width="9" style="3179"/>
    <col min="8962" max="8962" width="20" style="3179" customWidth="1"/>
    <col min="8963" max="8968" width="13.625" style="3179" customWidth="1"/>
    <col min="8969" max="9217" width="9" style="3179"/>
    <col min="9218" max="9218" width="20" style="3179" customWidth="1"/>
    <col min="9219" max="9224" width="13.625" style="3179" customWidth="1"/>
    <col min="9225" max="9473" width="9" style="3179"/>
    <col min="9474" max="9474" width="20" style="3179" customWidth="1"/>
    <col min="9475" max="9480" width="13.625" style="3179" customWidth="1"/>
    <col min="9481" max="9729" width="9" style="3179"/>
    <col min="9730" max="9730" width="20" style="3179" customWidth="1"/>
    <col min="9731" max="9736" width="13.625" style="3179" customWidth="1"/>
    <col min="9737" max="9985" width="9" style="3179"/>
    <col min="9986" max="9986" width="20" style="3179" customWidth="1"/>
    <col min="9987" max="9992" width="13.625" style="3179" customWidth="1"/>
    <col min="9993" max="10241" width="9" style="3179"/>
    <col min="10242" max="10242" width="20" style="3179" customWidth="1"/>
    <col min="10243" max="10248" width="13.625" style="3179" customWidth="1"/>
    <col min="10249" max="10497" width="9" style="3179"/>
    <col min="10498" max="10498" width="20" style="3179" customWidth="1"/>
    <col min="10499" max="10504" width="13.625" style="3179" customWidth="1"/>
    <col min="10505" max="10753" width="9" style="3179"/>
    <col min="10754" max="10754" width="20" style="3179" customWidth="1"/>
    <col min="10755" max="10760" width="13.625" style="3179" customWidth="1"/>
    <col min="10761" max="11009" width="9" style="3179"/>
    <col min="11010" max="11010" width="20" style="3179" customWidth="1"/>
    <col min="11011" max="11016" width="13.625" style="3179" customWidth="1"/>
    <col min="11017" max="11265" width="9" style="3179"/>
    <col min="11266" max="11266" width="20" style="3179" customWidth="1"/>
    <col min="11267" max="11272" width="13.625" style="3179" customWidth="1"/>
    <col min="11273" max="11521" width="9" style="3179"/>
    <col min="11522" max="11522" width="20" style="3179" customWidth="1"/>
    <col min="11523" max="11528" width="13.625" style="3179" customWidth="1"/>
    <col min="11529" max="11777" width="9" style="3179"/>
    <col min="11778" max="11778" width="20" style="3179" customWidth="1"/>
    <col min="11779" max="11784" width="13.625" style="3179" customWidth="1"/>
    <col min="11785" max="12033" width="9" style="3179"/>
    <col min="12034" max="12034" width="20" style="3179" customWidth="1"/>
    <col min="12035" max="12040" width="13.625" style="3179" customWidth="1"/>
    <col min="12041" max="12289" width="9" style="3179"/>
    <col min="12290" max="12290" width="20" style="3179" customWidth="1"/>
    <col min="12291" max="12296" width="13.625" style="3179" customWidth="1"/>
    <col min="12297" max="12545" width="9" style="3179"/>
    <col min="12546" max="12546" width="20" style="3179" customWidth="1"/>
    <col min="12547" max="12552" width="13.625" style="3179" customWidth="1"/>
    <col min="12553" max="12801" width="9" style="3179"/>
    <col min="12802" max="12802" width="20" style="3179" customWidth="1"/>
    <col min="12803" max="12808" width="13.625" style="3179" customWidth="1"/>
    <col min="12809" max="13057" width="9" style="3179"/>
    <col min="13058" max="13058" width="20" style="3179" customWidth="1"/>
    <col min="13059" max="13064" width="13.625" style="3179" customWidth="1"/>
    <col min="13065" max="13313" width="9" style="3179"/>
    <col min="13314" max="13314" width="20" style="3179" customWidth="1"/>
    <col min="13315" max="13320" width="13.625" style="3179" customWidth="1"/>
    <col min="13321" max="13569" width="9" style="3179"/>
    <col min="13570" max="13570" width="20" style="3179" customWidth="1"/>
    <col min="13571" max="13576" width="13.625" style="3179" customWidth="1"/>
    <col min="13577" max="13825" width="9" style="3179"/>
    <col min="13826" max="13826" width="20" style="3179" customWidth="1"/>
    <col min="13827" max="13832" width="13.625" style="3179" customWidth="1"/>
    <col min="13833" max="14081" width="9" style="3179"/>
    <col min="14082" max="14082" width="20" style="3179" customWidth="1"/>
    <col min="14083" max="14088" width="13.625" style="3179" customWidth="1"/>
    <col min="14089" max="14337" width="9" style="3179"/>
    <col min="14338" max="14338" width="20" style="3179" customWidth="1"/>
    <col min="14339" max="14344" width="13.625" style="3179" customWidth="1"/>
    <col min="14345" max="14593" width="9" style="3179"/>
    <col min="14594" max="14594" width="20" style="3179" customWidth="1"/>
    <col min="14595" max="14600" width="13.625" style="3179" customWidth="1"/>
    <col min="14601" max="14849" width="9" style="3179"/>
    <col min="14850" max="14850" width="20" style="3179" customWidth="1"/>
    <col min="14851" max="14856" width="13.625" style="3179" customWidth="1"/>
    <col min="14857" max="15105" width="9" style="3179"/>
    <col min="15106" max="15106" width="20" style="3179" customWidth="1"/>
    <col min="15107" max="15112" width="13.625" style="3179" customWidth="1"/>
    <col min="15113" max="15361" width="9" style="3179"/>
    <col min="15362" max="15362" width="20" style="3179" customWidth="1"/>
    <col min="15363" max="15368" width="13.625" style="3179" customWidth="1"/>
    <col min="15369" max="15617" width="9" style="3179"/>
    <col min="15618" max="15618" width="20" style="3179" customWidth="1"/>
    <col min="15619" max="15624" width="13.625" style="3179" customWidth="1"/>
    <col min="15625" max="15873" width="9" style="3179"/>
    <col min="15874" max="15874" width="20" style="3179" customWidth="1"/>
    <col min="15875" max="15880" width="13.625" style="3179" customWidth="1"/>
    <col min="15881" max="16129" width="9" style="3179"/>
    <col min="16130" max="16130" width="20" style="3179" customWidth="1"/>
    <col min="16131" max="16136" width="13.625" style="3179" customWidth="1"/>
    <col min="16137" max="16384" width="9" style="3179"/>
  </cols>
  <sheetData>
    <row r="2" spans="2:11" ht="16.5">
      <c r="B2" s="3178" t="s">
        <v>3000</v>
      </c>
      <c r="D2" s="3179">
        <v>1</v>
      </c>
      <c r="E2" s="3179">
        <v>2</v>
      </c>
      <c r="G2" s="3179">
        <v>3</v>
      </c>
      <c r="H2" s="3179">
        <v>4</v>
      </c>
    </row>
    <row r="3" spans="2:11" ht="16.5">
      <c r="B3" s="3180" t="s">
        <v>3001</v>
      </c>
      <c r="C3" s="3181"/>
      <c r="D3" s="3181" t="s">
        <v>3002</v>
      </c>
      <c r="E3" s="3181" t="s">
        <v>3003</v>
      </c>
      <c r="F3" s="3181" t="s">
        <v>3004</v>
      </c>
      <c r="G3" s="3181" t="s">
        <v>3005</v>
      </c>
      <c r="H3" s="3182" t="s">
        <v>3006</v>
      </c>
    </row>
    <row r="4" spans="2:11" ht="16.5">
      <c r="B4" s="3180" t="s">
        <v>3007</v>
      </c>
      <c r="C4" s="3359" t="s">
        <v>3008</v>
      </c>
      <c r="D4" s="3359"/>
      <c r="E4" s="3359"/>
      <c r="F4" s="3359"/>
      <c r="G4" s="3359"/>
      <c r="H4" s="3359"/>
      <c r="I4" s="3199"/>
    </row>
    <row r="5" spans="2:11" ht="16.5">
      <c r="B5" s="3180" t="s">
        <v>3009</v>
      </c>
      <c r="C5" s="3181"/>
      <c r="D5" s="3273">
        <v>20176.939999999999</v>
      </c>
      <c r="E5" s="3273">
        <v>26678.44</v>
      </c>
      <c r="F5" s="3273">
        <v>47245.62</v>
      </c>
      <c r="G5" s="3273">
        <v>21060.779999999992</v>
      </c>
      <c r="H5" s="3274">
        <v>115161.78</v>
      </c>
      <c r="J5" s="3233">
        <f>H5*2.47</f>
        <v>284449.59660000005</v>
      </c>
    </row>
    <row r="6" spans="2:11" ht="16.5">
      <c r="B6" s="3184" t="s">
        <v>3010</v>
      </c>
      <c r="C6" s="3185"/>
      <c r="D6" s="3275">
        <v>73123.75</v>
      </c>
      <c r="E6" s="3275">
        <v>97467.203499999989</v>
      </c>
      <c r="F6" s="3275">
        <v>150170.345</v>
      </c>
      <c r="G6" s="3275">
        <v>91300.519549999997</v>
      </c>
      <c r="H6" s="3274">
        <f>SUM(D6:G6)</f>
        <v>412061.81805</v>
      </c>
      <c r="I6" s="3199"/>
    </row>
    <row r="7" spans="2:11" ht="16.5">
      <c r="B7" s="3184" t="s">
        <v>2030</v>
      </c>
      <c r="C7" s="3187"/>
      <c r="D7" s="3275">
        <v>2.5</v>
      </c>
      <c r="E7" s="3275">
        <v>2.5</v>
      </c>
      <c r="F7" s="3275">
        <v>2.2000000000000002</v>
      </c>
      <c r="G7" s="3275">
        <v>3</v>
      </c>
      <c r="H7" s="3276">
        <v>2.4700000000000002</v>
      </c>
    </row>
    <row r="8" spans="2:11" ht="17.25">
      <c r="B8" s="3184" t="s">
        <v>3282</v>
      </c>
      <c r="C8" s="3190" t="s">
        <v>3011</v>
      </c>
      <c r="D8" s="3277">
        <v>40457.199999999997</v>
      </c>
      <c r="E8" s="3277">
        <v>66154.8</v>
      </c>
      <c r="F8" s="3277">
        <v>56450</v>
      </c>
      <c r="G8" s="3277"/>
      <c r="H8" s="3278">
        <f t="shared" ref="H8:H13" si="0">SUM(D8:G8)</f>
        <v>163062</v>
      </c>
    </row>
    <row r="9" spans="2:11" ht="17.25">
      <c r="B9" s="3184" t="s">
        <v>3012</v>
      </c>
      <c r="C9" s="3190" t="s">
        <v>3013</v>
      </c>
      <c r="D9" s="3277">
        <v>7676</v>
      </c>
      <c r="E9" s="3277"/>
      <c r="F9" s="3277">
        <v>30888</v>
      </c>
      <c r="G9" s="3277"/>
      <c r="H9" s="3278">
        <f t="shared" si="0"/>
        <v>38564</v>
      </c>
    </row>
    <row r="10" spans="2:11" ht="17.25">
      <c r="B10" s="3184"/>
      <c r="C10" s="3190" t="s">
        <v>3014</v>
      </c>
      <c r="D10" s="3277"/>
      <c r="E10" s="3277"/>
      <c r="F10" s="3277">
        <v>14800</v>
      </c>
      <c r="G10" s="3277"/>
      <c r="H10" s="3278">
        <f t="shared" si="0"/>
        <v>14800</v>
      </c>
      <c r="J10" s="3199">
        <f>SUM(H8:H10)</f>
        <v>216426</v>
      </c>
      <c r="K10" s="3199">
        <f>H8+H9+H10+H11</f>
        <v>285470.49</v>
      </c>
    </row>
    <row r="11" spans="2:11" ht="17.25">
      <c r="B11" s="3184"/>
      <c r="C11" s="3190" t="s">
        <v>2996</v>
      </c>
      <c r="D11" s="3277">
        <v>2449.4</v>
      </c>
      <c r="E11" s="3277">
        <v>1454.9</v>
      </c>
      <c r="F11" s="3277">
        <v>1959</v>
      </c>
      <c r="G11" s="3277">
        <v>63181.19</v>
      </c>
      <c r="H11" s="3278">
        <f t="shared" si="0"/>
        <v>69044.490000000005</v>
      </c>
      <c r="J11" s="3199">
        <f>SUM(H17:H19)</f>
        <v>213412</v>
      </c>
    </row>
    <row r="12" spans="2:11" ht="17.25">
      <c r="B12" s="3187"/>
      <c r="C12" s="3193" t="s">
        <v>3267</v>
      </c>
      <c r="D12" s="3279">
        <f>D6-D8-D9-D11-D16-D10</f>
        <v>1579.4800000000032</v>
      </c>
      <c r="E12" s="3279">
        <f>E6-E8-E9-E11-E16-E10</f>
        <v>1952.5434999999852</v>
      </c>
      <c r="F12" s="3279">
        <f>F6-F8-F9-F11-F16-F10</f>
        <v>4567.875</v>
      </c>
      <c r="G12" s="3279">
        <f>G6-G8-G9-G11-G16-G10</f>
        <v>2268.1095499999938</v>
      </c>
      <c r="H12" s="3280">
        <f t="shared" si="0"/>
        <v>10368.008049999982</v>
      </c>
      <c r="I12" s="3196" t="s">
        <v>3016</v>
      </c>
      <c r="J12" s="3199">
        <f>J10-J11</f>
        <v>3014</v>
      </c>
    </row>
    <row r="13" spans="2:11" ht="17.25">
      <c r="B13" s="3187" t="s">
        <v>3245</v>
      </c>
      <c r="C13" s="3193"/>
      <c r="D13" s="3279">
        <f>D8+D9</f>
        <v>48133.2</v>
      </c>
      <c r="E13" s="3279">
        <f>E8</f>
        <v>66154.8</v>
      </c>
      <c r="F13" s="3279">
        <f>F8+F9+F10</f>
        <v>102138</v>
      </c>
      <c r="G13" s="3279">
        <v>0</v>
      </c>
      <c r="H13" s="3280">
        <f t="shared" si="0"/>
        <v>216426</v>
      </c>
      <c r="I13" s="3196"/>
      <c r="J13" s="3199"/>
    </row>
    <row r="14" spans="2:11" ht="16.5">
      <c r="B14" s="3187"/>
      <c r="C14" s="3184" t="s">
        <v>24</v>
      </c>
      <c r="D14" s="3281">
        <f>SUM(D8:D12)</f>
        <v>52162.080000000002</v>
      </c>
      <c r="E14" s="3281">
        <f>SUM(E8:E12)</f>
        <v>69562.243499999982</v>
      </c>
      <c r="F14" s="3281">
        <f>SUM(F8:F12)</f>
        <v>108664.875</v>
      </c>
      <c r="G14" s="3281">
        <f>SUM(G8:G12)</f>
        <v>65449.299549999996</v>
      </c>
      <c r="H14" s="3281">
        <f>SUM(H8:H13)</f>
        <v>512264.49804999999</v>
      </c>
      <c r="J14" s="3199"/>
    </row>
    <row r="15" spans="2:11" ht="17.25">
      <c r="B15" s="3360" t="s">
        <v>3017</v>
      </c>
      <c r="C15" s="3190" t="s">
        <v>3018</v>
      </c>
      <c r="D15" s="3277">
        <v>20961.669999999998</v>
      </c>
      <c r="E15" s="3277">
        <v>27904.959999999999</v>
      </c>
      <c r="F15" s="3277">
        <v>41505.47</v>
      </c>
      <c r="G15" s="3277">
        <v>25851.22</v>
      </c>
      <c r="H15" s="3278">
        <f>SUM(D15:G15)</f>
        <v>116223.32</v>
      </c>
    </row>
    <row r="16" spans="2:11" ht="16.5">
      <c r="B16" s="3360"/>
      <c r="C16" s="3184" t="s">
        <v>24</v>
      </c>
      <c r="D16" s="3281">
        <f>SUM(D15)</f>
        <v>20961.669999999998</v>
      </c>
      <c r="E16" s="3281">
        <f>SUM(E15)</f>
        <v>27904.959999999999</v>
      </c>
      <c r="F16" s="3281">
        <f>SUM(F15)</f>
        <v>41505.47</v>
      </c>
      <c r="G16" s="3281">
        <f>SUM(G15)</f>
        <v>25851.22</v>
      </c>
      <c r="H16" s="3278">
        <f t="shared" ref="H16:H21" si="1">SUM(D16:G16)</f>
        <v>116223.32</v>
      </c>
      <c r="J16" s="3199"/>
    </row>
    <row r="17" spans="1:13" ht="17.25" hidden="1">
      <c r="B17" s="3361" t="s">
        <v>3019</v>
      </c>
      <c r="C17" s="3190" t="s">
        <v>3011</v>
      </c>
      <c r="D17" s="3277">
        <v>40044</v>
      </c>
      <c r="E17" s="3277">
        <v>64440</v>
      </c>
      <c r="F17" s="3277">
        <v>55692</v>
      </c>
      <c r="G17" s="3277"/>
      <c r="H17" s="3282">
        <f>SUM(D17:G17)</f>
        <v>160176</v>
      </c>
    </row>
    <row r="18" spans="1:13" ht="17.25" hidden="1">
      <c r="B18" s="3361"/>
      <c r="C18" s="3190" t="s">
        <v>3013</v>
      </c>
      <c r="D18" s="3277">
        <v>7548</v>
      </c>
      <c r="E18" s="3277"/>
      <c r="F18" s="3277">
        <v>30888</v>
      </c>
      <c r="G18" s="3277"/>
      <c r="H18" s="3282">
        <f t="shared" si="1"/>
        <v>38436</v>
      </c>
      <c r="K18" s="3199"/>
    </row>
    <row r="19" spans="1:13" ht="17.25" hidden="1">
      <c r="B19" s="3361"/>
      <c r="C19" s="3190" t="s">
        <v>3014</v>
      </c>
      <c r="D19" s="3277"/>
      <c r="E19" s="3277"/>
      <c r="F19" s="3277">
        <v>14800</v>
      </c>
      <c r="G19" s="3277"/>
      <c r="H19" s="3282">
        <f>SUM(D19:G19)</f>
        <v>14800</v>
      </c>
    </row>
    <row r="20" spans="1:13" ht="17.25" hidden="1">
      <c r="B20" s="3361"/>
      <c r="C20" s="3190" t="s">
        <v>2996</v>
      </c>
      <c r="D20" s="3277">
        <v>2299.4</v>
      </c>
      <c r="E20" s="3277">
        <v>1454.9</v>
      </c>
      <c r="F20" s="3277">
        <v>1389</v>
      </c>
      <c r="G20" s="3277">
        <v>62996.19</v>
      </c>
      <c r="H20" s="3282">
        <f>SUM(D20:G20)</f>
        <v>68139.490000000005</v>
      </c>
    </row>
    <row r="21" spans="1:13" ht="15" hidden="1">
      <c r="B21" s="3361"/>
      <c r="C21" s="3184" t="s">
        <v>24</v>
      </c>
      <c r="D21" s="3281">
        <f>SUM(D17:D20)</f>
        <v>49891.4</v>
      </c>
      <c r="E21" s="3281">
        <f>SUM(E17:E20)</f>
        <v>65894.899999999994</v>
      </c>
      <c r="F21" s="3281">
        <f>SUM(F17:F20)</f>
        <v>102769</v>
      </c>
      <c r="G21" s="3281">
        <f>SUM(G17:G20)</f>
        <v>62996.19</v>
      </c>
      <c r="H21" s="3282">
        <f t="shared" si="1"/>
        <v>281551.49</v>
      </c>
    </row>
    <row r="22" spans="1:13" ht="15">
      <c r="B22" s="3214"/>
      <c r="C22" s="3213"/>
      <c r="D22" s="3281"/>
      <c r="E22" s="3281"/>
      <c r="F22" s="3281"/>
      <c r="G22" s="3281"/>
      <c r="H22" s="3282"/>
      <c r="J22" s="3199"/>
      <c r="K22" s="3199"/>
    </row>
    <row r="23" spans="1:13" ht="17.25">
      <c r="B23" s="3213" t="s">
        <v>3238</v>
      </c>
      <c r="C23" s="3190"/>
      <c r="D23" s="3277">
        <f>D5*D7</f>
        <v>50442.35</v>
      </c>
      <c r="E23" s="3277">
        <f>E5*E7</f>
        <v>66696.099999999991</v>
      </c>
      <c r="F23" s="3277">
        <f>F5*F7</f>
        <v>103940.36400000002</v>
      </c>
      <c r="G23" s="3277">
        <f>G5*G7</f>
        <v>63182.339999999975</v>
      </c>
      <c r="H23" s="3278">
        <f>SUM(D23:G23)</f>
        <v>284261.15399999998</v>
      </c>
      <c r="J23" s="3199"/>
    </row>
    <row r="24" spans="1:13" ht="17.25">
      <c r="B24" s="3213" t="s">
        <v>3242</v>
      </c>
      <c r="C24" s="3190"/>
      <c r="D24" s="3277">
        <v>0</v>
      </c>
      <c r="E24" s="3277">
        <v>0</v>
      </c>
      <c r="F24" s="3277">
        <v>0</v>
      </c>
      <c r="G24" s="3277">
        <v>53500</v>
      </c>
      <c r="H24" s="3278"/>
      <c r="J24" s="3199"/>
    </row>
    <row r="25" spans="1:13" ht="17.25">
      <c r="B25" s="3213" t="s">
        <v>3244</v>
      </c>
      <c r="C25" s="3190"/>
      <c r="D25" s="3277">
        <f>D23</f>
        <v>50442.35</v>
      </c>
      <c r="E25" s="3277">
        <f>E23</f>
        <v>66696.099999999991</v>
      </c>
      <c r="F25" s="3277">
        <f>F23</f>
        <v>103940.36400000002</v>
      </c>
      <c r="G25" s="3277">
        <f>G23-G24</f>
        <v>9682.3399999999747</v>
      </c>
      <c r="H25" s="3278">
        <f>SUM(D25:G25)</f>
        <v>230761.15399999998</v>
      </c>
      <c r="J25" s="3199"/>
      <c r="K25" s="3199"/>
    </row>
    <row r="26" spans="1:13" ht="16.5">
      <c r="B26" s="3213" t="s">
        <v>3240</v>
      </c>
      <c r="C26" s="3213"/>
      <c r="D26" s="3283">
        <f>200</f>
        <v>200</v>
      </c>
      <c r="E26" s="3283">
        <f>100+200</f>
        <v>300</v>
      </c>
      <c r="F26" s="3283">
        <f>200+500+100</f>
        <v>800</v>
      </c>
      <c r="G26" s="3283">
        <v>0</v>
      </c>
      <c r="H26" s="3283">
        <f>SUM(D26:G26)</f>
        <v>1300</v>
      </c>
    </row>
    <row r="27" spans="1:13" ht="15">
      <c r="B27" s="3235"/>
      <c r="D27" s="3199">
        <f>D23</f>
        <v>50442.35</v>
      </c>
      <c r="E27" s="3199">
        <f t="shared" ref="E27" si="2">E23</f>
        <v>66696.099999999991</v>
      </c>
      <c r="F27" s="3199">
        <f>F23</f>
        <v>103940.36400000002</v>
      </c>
    </row>
    <row r="28" spans="1:13">
      <c r="C28" s="3199"/>
      <c r="D28" s="3236"/>
    </row>
    <row r="31" spans="1:13" ht="15" thickBot="1"/>
    <row r="32" spans="1:13" s="3216" customFormat="1" ht="15" customHeight="1">
      <c r="A32" s="3362" t="s">
        <v>3212</v>
      </c>
      <c r="B32" s="3362" t="s">
        <v>3038</v>
      </c>
      <c r="C32" s="3362" t="s">
        <v>3213</v>
      </c>
      <c r="D32" s="3362" t="s">
        <v>3214</v>
      </c>
      <c r="E32" s="3220" t="s">
        <v>3215</v>
      </c>
      <c r="F32" s="3362" t="s">
        <v>2030</v>
      </c>
      <c r="G32" s="3220" t="s">
        <v>3218</v>
      </c>
      <c r="H32" s="3362" t="s">
        <v>3241</v>
      </c>
      <c r="I32" s="3362" t="s">
        <v>3243</v>
      </c>
      <c r="J32" s="3362" t="s">
        <v>3221</v>
      </c>
      <c r="K32" s="3362" t="s">
        <v>3233</v>
      </c>
      <c r="L32" s="3362" t="s">
        <v>3235</v>
      </c>
      <c r="M32" s="3362" t="s">
        <v>3239</v>
      </c>
    </row>
    <row r="33" spans="1:13" s="3216" customFormat="1" ht="15.75" thickBot="1">
      <c r="A33" s="3363"/>
      <c r="B33" s="3363"/>
      <c r="C33" s="3363"/>
      <c r="D33" s="3363"/>
      <c r="E33" s="3221" t="s">
        <v>3216</v>
      </c>
      <c r="F33" s="3363"/>
      <c r="G33" s="3221" t="s">
        <v>3216</v>
      </c>
      <c r="H33" s="3363"/>
      <c r="I33" s="3363"/>
      <c r="J33" s="3363"/>
      <c r="K33" s="3363"/>
      <c r="L33" s="3363"/>
      <c r="M33" s="3363"/>
    </row>
    <row r="34" spans="1:13" s="3216" customFormat="1" ht="18" thickBot="1">
      <c r="A34" s="3364" t="s">
        <v>3222</v>
      </c>
      <c r="B34" s="3364" t="s">
        <v>3050</v>
      </c>
      <c r="C34" s="3364" t="s">
        <v>3223</v>
      </c>
      <c r="D34" s="3217" t="s">
        <v>3224</v>
      </c>
      <c r="E34" s="3217">
        <v>20177</v>
      </c>
      <c r="F34" s="3217">
        <v>2.5</v>
      </c>
      <c r="G34" s="3217">
        <v>50441</v>
      </c>
      <c r="H34" s="3217">
        <v>0</v>
      </c>
      <c r="I34" s="3217">
        <v>50441</v>
      </c>
      <c r="J34" s="3217" t="s">
        <v>3225</v>
      </c>
      <c r="K34" s="3186">
        <v>73123.752999999997</v>
      </c>
      <c r="L34" s="3191">
        <v>40457.199999999997</v>
      </c>
      <c r="M34" s="3191">
        <v>200</v>
      </c>
    </row>
    <row r="35" spans="1:13" s="3216" customFormat="1" ht="18" thickBot="1">
      <c r="A35" s="3365"/>
      <c r="B35" s="3365"/>
      <c r="C35" s="3365"/>
      <c r="D35" s="3217" t="s">
        <v>3226</v>
      </c>
      <c r="E35" s="3217">
        <v>26678</v>
      </c>
      <c r="F35" s="3217">
        <v>2.5</v>
      </c>
      <c r="G35" s="3217">
        <v>66695</v>
      </c>
      <c r="H35" s="3217">
        <v>0</v>
      </c>
      <c r="I35" s="3217">
        <v>66695</v>
      </c>
      <c r="J35" s="3217" t="s">
        <v>3225</v>
      </c>
      <c r="K35" s="3186">
        <v>97467.203499999989</v>
      </c>
      <c r="L35" s="3191">
        <v>66154.8</v>
      </c>
      <c r="M35" s="3191">
        <f>200+100</f>
        <v>300</v>
      </c>
    </row>
    <row r="36" spans="1:13" s="3216" customFormat="1" ht="33.75" thickBot="1">
      <c r="A36" s="3365"/>
      <c r="B36" s="3365"/>
      <c r="C36" s="3365"/>
      <c r="D36" s="3217" t="s">
        <v>3227</v>
      </c>
      <c r="E36" s="3217">
        <v>47246</v>
      </c>
      <c r="F36" s="3217">
        <v>2.2000000000000002</v>
      </c>
      <c r="G36" s="3217">
        <v>103939</v>
      </c>
      <c r="H36" s="3217">
        <v>0</v>
      </c>
      <c r="I36" s="3217">
        <v>103939</v>
      </c>
      <c r="J36" s="3217" t="s">
        <v>3228</v>
      </c>
      <c r="K36" s="3186">
        <v>150170.345</v>
      </c>
      <c r="L36" s="3191">
        <v>56450</v>
      </c>
      <c r="M36" s="3191">
        <f>200+500+100</f>
        <v>800</v>
      </c>
    </row>
    <row r="37" spans="1:13" s="3216" customFormat="1" ht="18" thickBot="1">
      <c r="A37" s="3366"/>
      <c r="B37" s="3366"/>
      <c r="C37" s="3366"/>
      <c r="D37" s="3217" t="s">
        <v>3229</v>
      </c>
      <c r="E37" s="3217">
        <v>21061</v>
      </c>
      <c r="F37" s="3217">
        <v>3</v>
      </c>
      <c r="G37" s="3217">
        <v>63182</v>
      </c>
      <c r="H37" s="3217">
        <v>53500</v>
      </c>
      <c r="I37" s="3217">
        <v>9682</v>
      </c>
      <c r="J37" s="3218">
        <v>1</v>
      </c>
      <c r="K37" s="3186">
        <v>91300.519549999997</v>
      </c>
      <c r="L37" s="3191"/>
      <c r="M37" s="3191"/>
    </row>
    <row r="38" spans="1:13" s="3216" customFormat="1" ht="17.25" thickBot="1">
      <c r="A38" s="3367" t="s">
        <v>24</v>
      </c>
      <c r="B38" s="3368"/>
      <c r="C38" s="3368"/>
      <c r="D38" s="3369"/>
      <c r="E38" s="3219">
        <v>115162</v>
      </c>
      <c r="F38" s="3219">
        <v>2.4700000000000002</v>
      </c>
      <c r="G38" s="3219">
        <v>284257</v>
      </c>
      <c r="H38" s="3219">
        <v>53500</v>
      </c>
      <c r="I38" s="3219">
        <v>230757</v>
      </c>
      <c r="J38" s="3219" t="s">
        <v>3230</v>
      </c>
      <c r="K38" s="3222">
        <f>SUM(K34:K37)</f>
        <v>412061.82104999991</v>
      </c>
      <c r="L38" s="3222">
        <f>SUM(L34:L37)</f>
        <v>163062</v>
      </c>
      <c r="M38" s="3222">
        <f>SUM(M34:M37)</f>
        <v>1300</v>
      </c>
    </row>
    <row r="43" spans="1:13">
      <c r="C43" s="3641"/>
      <c r="D43" s="3641">
        <v>4749.84</v>
      </c>
      <c r="E43" s="3641"/>
      <c r="F43" s="3641"/>
      <c r="G43" s="3641"/>
    </row>
    <row r="44" spans="1:13">
      <c r="C44" s="3641"/>
      <c r="D44" s="3641" t="s">
        <v>3335</v>
      </c>
      <c r="E44" s="3641" t="s">
        <v>3337</v>
      </c>
      <c r="F44" s="3641" t="s">
        <v>3338</v>
      </c>
      <c r="G44" s="3641" t="s">
        <v>3339</v>
      </c>
    </row>
    <row r="45" spans="1:13">
      <c r="C45" s="3641">
        <v>1</v>
      </c>
      <c r="D45" s="3641">
        <f>D5</f>
        <v>20176.939999999999</v>
      </c>
      <c r="E45" s="3641">
        <f>ROUND(D45*D43/10000,0)</f>
        <v>9584</v>
      </c>
      <c r="F45" s="3641">
        <f>ROUND(E45/E49,2)</f>
        <v>0.18</v>
      </c>
      <c r="G45" s="3641">
        <f ca="1">结果表!C115</f>
        <v>720</v>
      </c>
    </row>
    <row r="46" spans="1:13">
      <c r="C46" s="3641">
        <v>2</v>
      </c>
      <c r="D46" s="3641">
        <f>E5</f>
        <v>26678.44</v>
      </c>
      <c r="E46" s="3641">
        <f>ROUND(D46*D43/10000,0)</f>
        <v>12672</v>
      </c>
      <c r="F46" s="3641">
        <f>ROUND(E46/E49,2)</f>
        <v>0.23</v>
      </c>
      <c r="G46" s="3641">
        <f ca="1">[1]结果表!$C$115</f>
        <v>995</v>
      </c>
    </row>
    <row r="47" spans="1:13">
      <c r="C47" s="3641">
        <v>3</v>
      </c>
      <c r="D47" s="3641">
        <f>F5</f>
        <v>47245.62</v>
      </c>
      <c r="E47" s="3641">
        <f>ROUND(D47*D43/10000,0)</f>
        <v>22441</v>
      </c>
      <c r="F47" s="3641">
        <f>ROUND(E47/E49,2)</f>
        <v>0.41</v>
      </c>
      <c r="G47" s="3641">
        <f ca="1">[2]结果表!$C$115:$C$115</f>
        <v>741</v>
      </c>
    </row>
    <row r="48" spans="1:13">
      <c r="C48" s="3641">
        <v>4</v>
      </c>
      <c r="D48" s="3641">
        <f>G5</f>
        <v>21060.779999999992</v>
      </c>
      <c r="E48" s="3641">
        <f>ROUND(D48*D43/10000,0)</f>
        <v>10004</v>
      </c>
      <c r="F48" s="3641">
        <f>ROUND(E48/E49,2)</f>
        <v>0.18</v>
      </c>
      <c r="G48" s="3641">
        <f ca="1">[3]结果表!$C$115</f>
        <v>0</v>
      </c>
    </row>
    <row r="49" spans="3:7">
      <c r="C49" s="3641" t="s">
        <v>3336</v>
      </c>
      <c r="D49" s="3641">
        <f>D45+D46+D47+D48</f>
        <v>115161.78</v>
      </c>
      <c r="E49" s="3641">
        <f>E45+E46+E47+E48</f>
        <v>54701</v>
      </c>
      <c r="F49" s="3641">
        <f>F45+F46+F47+F48</f>
        <v>1</v>
      </c>
      <c r="G49" s="3641">
        <f ca="1">SUM(G45:G48)</f>
        <v>2456</v>
      </c>
    </row>
  </sheetData>
  <mergeCells count="18">
    <mergeCell ref="A34:A37"/>
    <mergeCell ref="B34:B37"/>
    <mergeCell ref="C34:C37"/>
    <mergeCell ref="A38:D38"/>
    <mergeCell ref="H32:H33"/>
    <mergeCell ref="A32:A33"/>
    <mergeCell ref="B32:B33"/>
    <mergeCell ref="C32:C33"/>
    <mergeCell ref="D32:D33"/>
    <mergeCell ref="C4:H4"/>
    <mergeCell ref="B15:B16"/>
    <mergeCell ref="B17:B21"/>
    <mergeCell ref="F32:F33"/>
    <mergeCell ref="M32:M33"/>
    <mergeCell ref="I32:I33"/>
    <mergeCell ref="J32:J33"/>
    <mergeCell ref="K32:K33"/>
    <mergeCell ref="L32:L33"/>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K31" sqref="K31"/>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379" t="s">
        <v>203</v>
      </c>
      <c r="B2" s="3379"/>
      <c r="C2" s="3379"/>
      <c r="D2" s="1956" t="s">
        <v>204</v>
      </c>
      <c r="E2" s="106" t="s">
        <v>205</v>
      </c>
      <c r="F2" s="1965"/>
      <c r="G2" s="1192"/>
      <c r="H2" s="1193"/>
      <c r="I2" s="1194" t="s">
        <v>857</v>
      </c>
      <c r="J2" s="1965"/>
      <c r="K2" s="1965"/>
      <c r="L2" s="1965"/>
    </row>
    <row r="3" spans="1:16" ht="15.75" thickBot="1">
      <c r="A3" s="3380" t="s">
        <v>206</v>
      </c>
      <c r="B3" s="3380"/>
      <c r="C3" s="3380"/>
      <c r="D3" s="107">
        <f>'数据-基础表'!AY6</f>
        <v>20176.84</v>
      </c>
      <c r="E3" s="107">
        <f>'数据-基础表'!AZ5</f>
        <v>73123.75</v>
      </c>
      <c r="F3" s="1965"/>
      <c r="G3" s="279" t="s">
        <v>858</v>
      </c>
      <c r="H3" s="274" t="s">
        <v>859</v>
      </c>
      <c r="I3" s="1957">
        <f>ROUND('数据-基础表'!B3/'数据-基础表'!A3,2)</f>
        <v>3.62</v>
      </c>
      <c r="J3" s="1965"/>
      <c r="K3" s="1965"/>
      <c r="L3" s="1965"/>
    </row>
    <row r="4" spans="1:16" ht="15">
      <c r="A4" s="3381"/>
      <c r="B4" s="3382"/>
      <c r="C4" s="3383"/>
      <c r="D4" s="108" t="s">
        <v>204</v>
      </c>
      <c r="E4" s="109" t="s">
        <v>205</v>
      </c>
      <c r="F4" s="1965"/>
      <c r="G4" s="1195"/>
      <c r="H4" s="274" t="s">
        <v>860</v>
      </c>
      <c r="I4" s="1957">
        <f>ROUND(SUMIF('数据-基础表'!I9:AS9,"地上",'数据-基础表'!I5:AS5)/'数据-基础表'!A3,2)</f>
        <v>2.59</v>
      </c>
      <c r="J4" s="1965"/>
      <c r="K4" s="1965"/>
      <c r="L4" s="1965"/>
    </row>
    <row r="5" spans="1:16">
      <c r="A5" s="110" t="s">
        <v>207</v>
      </c>
      <c r="B5" s="3384" t="s">
        <v>230</v>
      </c>
      <c r="C5" s="3384"/>
      <c r="D5" s="111">
        <f>ROUND($D$3*E5/$E$3,2)</f>
        <v>13281.26</v>
      </c>
      <c r="E5" s="112">
        <f>SUMIF('数据-基础表'!$11:$11,"住宅",'数据-基础表'!$5:$5)</f>
        <v>48133.2</v>
      </c>
      <c r="F5" s="1965"/>
      <c r="G5" s="279" t="s">
        <v>861</v>
      </c>
      <c r="H5" s="274" t="s">
        <v>859</v>
      </c>
      <c r="I5" s="1957">
        <f>ROUND(E31/D31,2)</f>
        <v>3.62</v>
      </c>
      <c r="J5" s="1965"/>
      <c r="K5" s="1965"/>
      <c r="L5" s="1965"/>
    </row>
    <row r="6" spans="1:16" ht="15" thickBot="1">
      <c r="A6" s="113"/>
      <c r="B6" s="3384" t="s">
        <v>208</v>
      </c>
      <c r="C6" s="3384"/>
      <c r="D6" s="111">
        <f>ROUND($D$3*E6/$E$3,2)</f>
        <v>6895.58</v>
      </c>
      <c r="E6" s="112">
        <f>E3-E5</f>
        <v>24990.550000000003</v>
      </c>
      <c r="F6" s="1965"/>
      <c r="G6" s="1195"/>
      <c r="H6" s="274" t="s">
        <v>860</v>
      </c>
      <c r="I6" s="3237">
        <f>ROUND(F31/D31,2)</f>
        <v>2.59</v>
      </c>
      <c r="J6" s="1965"/>
      <c r="K6" s="1965"/>
      <c r="L6" s="1965"/>
    </row>
    <row r="7" spans="1:16" ht="15">
      <c r="A7" s="3376"/>
      <c r="B7" s="3377"/>
      <c r="C7" s="3378"/>
      <c r="D7" s="108" t="s">
        <v>204</v>
      </c>
      <c r="E7" s="114" t="s">
        <v>231</v>
      </c>
      <c r="F7" s="1965"/>
      <c r="G7" s="1150" t="s">
        <v>1645</v>
      </c>
      <c r="H7" s="1151"/>
      <c r="I7" s="1827">
        <v>2.5</v>
      </c>
      <c r="J7" s="1965"/>
      <c r="K7" s="1965"/>
      <c r="L7" s="1965"/>
    </row>
    <row r="8" spans="1:16">
      <c r="A8" s="110" t="s">
        <v>209</v>
      </c>
      <c r="B8" s="115" t="s">
        <v>210</v>
      </c>
      <c r="C8" s="111" t="s">
        <v>211</v>
      </c>
      <c r="D8" s="111">
        <f t="shared" ref="D8:D15" si="0">ROUND($D$3*E8/$E$3,2)</f>
        <v>13957.12</v>
      </c>
      <c r="E8" s="116">
        <f>SUMIF('数据-基础表'!BB10:BK10,"地上",'数据-基础表'!BB5:BK5)</f>
        <v>50582.6</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2323</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2330</v>
      </c>
      <c r="D13" s="111">
        <f t="shared" si="0"/>
        <v>5783.9</v>
      </c>
      <c r="E13" s="116">
        <f>SUMPRODUCT(('数据-基础表'!BB10:BK10="地下")*('数据-基础表'!BB11:BK11="车库")*('数据-基础表'!BB5:BK5))</f>
        <v>20961.669999999998</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19741.02</v>
      </c>
      <c r="E16" s="120">
        <f>SUM(E8:E15)</f>
        <v>71544.26999999999</v>
      </c>
      <c r="F16" s="1965"/>
      <c r="G16" s="1967"/>
      <c r="H16" s="966" t="s">
        <v>219</v>
      </c>
      <c r="I16" s="967"/>
      <c r="J16" s="1965"/>
      <c r="K16" s="3370" t="s">
        <v>2561</v>
      </c>
      <c r="L16" s="3371"/>
      <c r="M16" s="3371"/>
      <c r="N16" s="3371"/>
      <c r="O16" s="3371"/>
      <c r="P16" s="3372"/>
    </row>
    <row r="17" spans="1:19" ht="15">
      <c r="A17" s="121" t="s">
        <v>216</v>
      </c>
      <c r="B17" s="122" t="s">
        <v>217</v>
      </c>
      <c r="C17" s="2279" t="s">
        <v>2311</v>
      </c>
      <c r="D17" s="108" t="s">
        <v>204</v>
      </c>
      <c r="E17" s="124" t="s">
        <v>205</v>
      </c>
      <c r="F17" s="125"/>
      <c r="G17" s="1360"/>
      <c r="H17" s="968" t="s">
        <v>218</v>
      </c>
      <c r="I17" s="969" t="s">
        <v>2310</v>
      </c>
      <c r="J17" s="1965"/>
      <c r="K17" s="3373" t="s">
        <v>2562</v>
      </c>
      <c r="L17" s="3374"/>
      <c r="M17" s="3375"/>
      <c r="N17" s="3373" t="s">
        <v>2563</v>
      </c>
      <c r="O17" s="3374"/>
      <c r="P17" s="3375"/>
      <c r="R17" s="2280" t="s">
        <v>2309</v>
      </c>
      <c r="S17" s="143"/>
    </row>
    <row r="18" spans="1:19" ht="15">
      <c r="A18" s="117"/>
      <c r="B18" s="128"/>
      <c r="C18" s="129"/>
      <c r="D18" s="2602"/>
      <c r="E18" s="130" t="s">
        <v>220</v>
      </c>
      <c r="F18" s="131" t="s">
        <v>221</v>
      </c>
      <c r="G18" s="1361" t="s">
        <v>222</v>
      </c>
      <c r="H18" s="970" t="s">
        <v>223</v>
      </c>
      <c r="I18" s="971" t="s">
        <v>224</v>
      </c>
      <c r="J18" s="1965"/>
      <c r="K18" s="2565" t="s">
        <v>2564</v>
      </c>
      <c r="L18" s="2566" t="s">
        <v>2565</v>
      </c>
      <c r="M18" s="2567" t="s">
        <v>2566</v>
      </c>
      <c r="N18" s="2565" t="s">
        <v>2564</v>
      </c>
      <c r="O18" s="2566" t="s">
        <v>2565</v>
      </c>
      <c r="P18" s="2567" t="s">
        <v>2566</v>
      </c>
      <c r="R18" s="2281" t="s">
        <v>2307</v>
      </c>
      <c r="S18" s="2281" t="s">
        <v>2308</v>
      </c>
    </row>
    <row r="19" spans="1:19">
      <c r="A19" s="133"/>
      <c r="B19" s="115" t="s">
        <v>225</v>
      </c>
      <c r="C19" s="2972" t="s">
        <v>3025</v>
      </c>
      <c r="D19" s="111">
        <f t="shared" ref="D19:D26" si="1">ROUND($D$3*E19/$E$3,2)</f>
        <v>13281.26</v>
      </c>
      <c r="E19" s="134">
        <f t="shared" ref="E19:E26" si="2">SUM(F19:G19)</f>
        <v>48133.2</v>
      </c>
      <c r="F19" s="3284">
        <f>'数据-基础表'!I13</f>
        <v>48133.2</v>
      </c>
      <c r="G19" s="3285"/>
      <c r="H19" s="972">
        <f>ROUND($D$3*I19/$E$3,2)</f>
        <v>293.20999999999998</v>
      </c>
      <c r="I19" s="116">
        <f>IF($I$17="自定义",P19,M19)</f>
        <v>1062.6300000000001</v>
      </c>
      <c r="J19" s="1965"/>
      <c r="K19" s="2568">
        <f t="shared" ref="K19:K26" si="3">ROUND(E$28*E19/E$27,2)</f>
        <v>1062.6300000000001</v>
      </c>
      <c r="L19" s="274">
        <f t="shared" ref="L19:L26" si="4">ROUND(IF(COUNTIF(C19,"*住宅*")&gt;0,E$29*E19/E$32,0),2)</f>
        <v>0</v>
      </c>
      <c r="M19" s="2569">
        <f>K19+L19</f>
        <v>1062.6300000000001</v>
      </c>
      <c r="N19" s="2570"/>
      <c r="O19" s="2571"/>
      <c r="P19" s="2572">
        <f>N19+O19</f>
        <v>0</v>
      </c>
      <c r="R19" s="274">
        <f t="shared" ref="R19:S26" si="5">D19+H19</f>
        <v>13574.47</v>
      </c>
      <c r="S19" s="2282">
        <f t="shared" si="5"/>
        <v>49195.829999999994</v>
      </c>
    </row>
    <row r="20" spans="1:19">
      <c r="A20" s="137"/>
      <c r="B20" s="115" t="s">
        <v>226</v>
      </c>
      <c r="C20" s="2972" t="s">
        <v>3026</v>
      </c>
      <c r="D20" s="111">
        <f t="shared" si="1"/>
        <v>675.86</v>
      </c>
      <c r="E20" s="134">
        <f t="shared" si="2"/>
        <v>2449.4</v>
      </c>
      <c r="F20" s="3284">
        <f>'数据-基础表'!K14</f>
        <v>2449.4</v>
      </c>
      <c r="G20" s="3285"/>
      <c r="H20" s="972">
        <f t="shared" ref="H20:H26" si="6">ROUND($D$3*I20/$E$3,2)</f>
        <v>14.92</v>
      </c>
      <c r="I20" s="116">
        <f t="shared" ref="I20:I26" si="7">IF($I$17="自定义",P20,M20)</f>
        <v>54.08</v>
      </c>
      <c r="J20" s="1965"/>
      <c r="K20" s="2568">
        <f t="shared" si="3"/>
        <v>54.08</v>
      </c>
      <c r="L20" s="274">
        <f t="shared" si="4"/>
        <v>0</v>
      </c>
      <c r="M20" s="2569">
        <f t="shared" ref="M20:M26" si="8">K20+L20</f>
        <v>54.08</v>
      </c>
      <c r="N20" s="2570"/>
      <c r="O20" s="2571"/>
      <c r="P20" s="2572">
        <f t="shared" ref="P20:P26" si="9">N20+O20</f>
        <v>0</v>
      </c>
      <c r="R20" s="274">
        <f t="shared" si="5"/>
        <v>690.78</v>
      </c>
      <c r="S20" s="2282">
        <f t="shared" si="5"/>
        <v>2503.48</v>
      </c>
    </row>
    <row r="21" spans="1:19">
      <c r="A21" s="137"/>
      <c r="B21" s="115" t="s">
        <v>226</v>
      </c>
      <c r="C21" s="2972" t="str">
        <f>'数据-基础表'!C15</f>
        <v>车库</v>
      </c>
      <c r="D21" s="3253">
        <f t="shared" si="1"/>
        <v>5783.9</v>
      </c>
      <c r="E21" s="134">
        <f t="shared" si="2"/>
        <v>20961.669999999998</v>
      </c>
      <c r="F21" s="3284"/>
      <c r="G21" s="3285">
        <f>'数据-基础表'!M15</f>
        <v>20961.669999999998</v>
      </c>
      <c r="H21" s="972">
        <f t="shared" si="6"/>
        <v>127.69</v>
      </c>
      <c r="I21" s="116">
        <f t="shared" si="7"/>
        <v>462.77</v>
      </c>
      <c r="J21" s="1965"/>
      <c r="K21" s="2568">
        <f t="shared" si="3"/>
        <v>462.77</v>
      </c>
      <c r="L21" s="274">
        <f t="shared" si="4"/>
        <v>0</v>
      </c>
      <c r="M21" s="2569">
        <f t="shared" si="8"/>
        <v>462.77</v>
      </c>
      <c r="N21" s="2570"/>
      <c r="O21" s="2571"/>
      <c r="P21" s="2572">
        <f t="shared" si="9"/>
        <v>0</v>
      </c>
      <c r="R21" s="274">
        <f t="shared" si="5"/>
        <v>5911.5899999999992</v>
      </c>
      <c r="S21" s="2282">
        <f t="shared" si="5"/>
        <v>21424.44</v>
      </c>
    </row>
    <row r="22" spans="1:19">
      <c r="A22" s="137"/>
      <c r="B22" s="115" t="s">
        <v>226</v>
      </c>
      <c r="C22" s="1359"/>
      <c r="D22" s="111">
        <f t="shared" si="1"/>
        <v>0</v>
      </c>
      <c r="E22" s="134">
        <f t="shared" si="2"/>
        <v>0</v>
      </c>
      <c r="F22" s="139"/>
      <c r="G22" s="1362"/>
      <c r="H22" s="972">
        <f t="shared" si="6"/>
        <v>0</v>
      </c>
      <c r="I22" s="116">
        <f t="shared" si="7"/>
        <v>0</v>
      </c>
      <c r="J22" s="1965"/>
      <c r="K22" s="2568">
        <f t="shared" si="3"/>
        <v>0</v>
      </c>
      <c r="L22" s="274">
        <f t="shared" si="4"/>
        <v>0</v>
      </c>
      <c r="M22" s="2569">
        <f t="shared" si="8"/>
        <v>0</v>
      </c>
      <c r="N22" s="2570"/>
      <c r="O22" s="2571"/>
      <c r="P22" s="2572">
        <f t="shared" si="9"/>
        <v>0</v>
      </c>
      <c r="R22" s="274">
        <f t="shared" si="5"/>
        <v>0</v>
      </c>
      <c r="S22" s="2282">
        <f t="shared" si="5"/>
        <v>0</v>
      </c>
    </row>
    <row r="23" spans="1:19">
      <c r="A23" s="137"/>
      <c r="B23" s="115" t="s">
        <v>226</v>
      </c>
      <c r="C23" s="138"/>
      <c r="D23" s="111">
        <f>ROUND($D$3*E23/$E$3,2)</f>
        <v>0</v>
      </c>
      <c r="E23" s="134">
        <f>SUM(F23:G23)</f>
        <v>0</v>
      </c>
      <c r="F23" s="139"/>
      <c r="G23" s="1362"/>
      <c r="H23" s="972">
        <f>ROUND($D$3*I23/$E$3,2)</f>
        <v>0</v>
      </c>
      <c r="I23" s="116">
        <f t="shared" si="7"/>
        <v>0</v>
      </c>
      <c r="J23" s="1965"/>
      <c r="K23" s="2568">
        <f t="shared" si="3"/>
        <v>0</v>
      </c>
      <c r="L23" s="274">
        <f t="shared" si="4"/>
        <v>0</v>
      </c>
      <c r="M23" s="2569">
        <f t="shared" si="8"/>
        <v>0</v>
      </c>
      <c r="N23" s="2570"/>
      <c r="O23" s="2571"/>
      <c r="P23" s="2572">
        <f t="shared" si="9"/>
        <v>0</v>
      </c>
      <c r="R23" s="274">
        <f t="shared" si="5"/>
        <v>0</v>
      </c>
      <c r="S23" s="2282">
        <f t="shared" si="5"/>
        <v>0</v>
      </c>
    </row>
    <row r="24" spans="1:19">
      <c r="A24" s="137"/>
      <c r="B24" s="115" t="s">
        <v>226</v>
      </c>
      <c r="C24" s="138"/>
      <c r="D24" s="111">
        <f>ROUND($D$3*E24/$E$3,2)</f>
        <v>0</v>
      </c>
      <c r="E24" s="134">
        <f>SUM(F24:G24)</f>
        <v>0</v>
      </c>
      <c r="F24" s="139"/>
      <c r="G24" s="1362"/>
      <c r="H24" s="972">
        <f>ROUND($D$3*I24/$E$3,2)</f>
        <v>0</v>
      </c>
      <c r="I24" s="116">
        <f t="shared" si="7"/>
        <v>0</v>
      </c>
      <c r="J24" s="1965"/>
      <c r="K24" s="2568">
        <f t="shared" si="3"/>
        <v>0</v>
      </c>
      <c r="L24" s="274">
        <f t="shared" si="4"/>
        <v>0</v>
      </c>
      <c r="M24" s="2569">
        <f t="shared" si="8"/>
        <v>0</v>
      </c>
      <c r="N24" s="2570"/>
      <c r="O24" s="2571"/>
      <c r="P24" s="2572">
        <f t="shared" si="9"/>
        <v>0</v>
      </c>
      <c r="R24" s="274">
        <f t="shared" si="5"/>
        <v>0</v>
      </c>
      <c r="S24" s="2282">
        <f t="shared" si="5"/>
        <v>0</v>
      </c>
    </row>
    <row r="25" spans="1:19">
      <c r="A25" s="137"/>
      <c r="B25" s="115" t="s">
        <v>226</v>
      </c>
      <c r="C25" s="138"/>
      <c r="D25" s="111">
        <f t="shared" si="1"/>
        <v>0</v>
      </c>
      <c r="E25" s="134">
        <f t="shared" si="2"/>
        <v>0</v>
      </c>
      <c r="F25" s="139"/>
      <c r="G25" s="1362"/>
      <c r="H25" s="110">
        <f t="shared" si="6"/>
        <v>0</v>
      </c>
      <c r="I25" s="116">
        <f t="shared" si="7"/>
        <v>0</v>
      </c>
      <c r="J25" s="1965"/>
      <c r="K25" s="2568">
        <f t="shared" si="3"/>
        <v>0</v>
      </c>
      <c r="L25" s="274">
        <f t="shared" si="4"/>
        <v>0</v>
      </c>
      <c r="M25" s="2569">
        <f t="shared" si="8"/>
        <v>0</v>
      </c>
      <c r="N25" s="2570"/>
      <c r="O25" s="2571"/>
      <c r="P25" s="2572">
        <f t="shared" si="9"/>
        <v>0</v>
      </c>
      <c r="R25" s="274">
        <f t="shared" si="5"/>
        <v>0</v>
      </c>
      <c r="S25" s="2282">
        <f t="shared" si="5"/>
        <v>0</v>
      </c>
    </row>
    <row r="26" spans="1:19">
      <c r="A26" s="137"/>
      <c r="B26" s="115" t="s">
        <v>226</v>
      </c>
      <c r="C26" s="141"/>
      <c r="D26" s="111">
        <f t="shared" si="1"/>
        <v>0</v>
      </c>
      <c r="E26" s="134">
        <f t="shared" si="2"/>
        <v>0</v>
      </c>
      <c r="F26" s="139"/>
      <c r="G26" s="1362"/>
      <c r="H26" s="110">
        <f t="shared" si="6"/>
        <v>0</v>
      </c>
      <c r="I26" s="116">
        <f t="shared" si="7"/>
        <v>0</v>
      </c>
      <c r="J26" s="1965"/>
      <c r="K26" s="2573">
        <f t="shared" si="3"/>
        <v>0</v>
      </c>
      <c r="L26" s="279">
        <f t="shared" si="4"/>
        <v>0</v>
      </c>
      <c r="M26" s="145">
        <f t="shared" si="8"/>
        <v>0</v>
      </c>
      <c r="N26" s="2574"/>
      <c r="O26" s="2575"/>
      <c r="P26" s="2576">
        <f t="shared" si="9"/>
        <v>0</v>
      </c>
      <c r="R26" s="274">
        <f t="shared" si="5"/>
        <v>0</v>
      </c>
      <c r="S26" s="2282">
        <f t="shared" si="5"/>
        <v>0</v>
      </c>
    </row>
    <row r="27" spans="1:19" ht="15.75" thickBot="1">
      <c r="A27" s="137"/>
      <c r="B27" s="111"/>
      <c r="C27" s="127" t="s">
        <v>215</v>
      </c>
      <c r="D27" s="134">
        <f>SUM(D19:D26)</f>
        <v>19741.02</v>
      </c>
      <c r="E27" s="142">
        <f>IF(SUM(E19:E26)='数据-基础表'!BA5,SUM(E19:E26),IF(F27="地上面积有误","面积有误","地下面积有误"))</f>
        <v>71544.26999999999</v>
      </c>
      <c r="F27" s="134">
        <f>IF(SUM(F19:F26)=E8,SUM(F19:F26),"地上面积有误")</f>
        <v>50582.6</v>
      </c>
      <c r="G27" s="112">
        <f>SUM(G19:G26)</f>
        <v>20961.669999999998</v>
      </c>
      <c r="H27" s="973">
        <f>SUM(H19:H26)</f>
        <v>435.82</v>
      </c>
      <c r="I27" s="974">
        <f>SUM(I19:I26)</f>
        <v>1579.48</v>
      </c>
      <c r="J27" s="1965"/>
      <c r="K27" s="2577">
        <f>SUM(K19:K26)</f>
        <v>1579.48</v>
      </c>
      <c r="L27" s="2578">
        <f>SUM(L19:L26)</f>
        <v>0</v>
      </c>
      <c r="M27" s="2579">
        <f>SUM(M19:M26)</f>
        <v>1579.48</v>
      </c>
      <c r="N27" s="2577">
        <f t="shared" ref="N27:O27" si="10">SUM(N19:N26)</f>
        <v>0</v>
      </c>
      <c r="O27" s="2578">
        <f t="shared" si="10"/>
        <v>0</v>
      </c>
      <c r="P27" s="2580">
        <f>SUM(P19:P26)</f>
        <v>0</v>
      </c>
      <c r="R27" s="2286">
        <f>IF(SUM(R19:R26)=$D$3,SUM(R19:R26),SUM(R19:R26)&amp;"误差"&amp;ROUND(SUM(R19:R26)-$D$3,2))</f>
        <v>20176.84</v>
      </c>
      <c r="S27" s="274">
        <f>IF(SUM(S19:S26)=$E$3,SUM(S19:S26),SUM(S19:S26)&amp;"误差"&amp;ROUND(SUM(S19:S26)-E3,2))</f>
        <v>73123.75</v>
      </c>
    </row>
    <row r="28" spans="1:19">
      <c r="A28" s="137"/>
      <c r="B28" s="115" t="s">
        <v>227</v>
      </c>
      <c r="C28" s="135" t="s">
        <v>228</v>
      </c>
      <c r="D28" s="111">
        <f>ROUND($D$3*E28/$E$3,2)</f>
        <v>435.82</v>
      </c>
      <c r="E28" s="134">
        <f>SUM(F28:G28)</f>
        <v>1579.4800000000032</v>
      </c>
      <c r="F28" s="3254">
        <f>'数据-基础表'!BQ5+'数据-基础表'!BS5</f>
        <v>1579.4800000000032</v>
      </c>
      <c r="G28" s="144">
        <f>'数据-基础表'!BR5+'数据-基础表'!BT5</f>
        <v>0</v>
      </c>
      <c r="H28" s="1965"/>
      <c r="I28" s="1965"/>
      <c r="J28" s="1965"/>
      <c r="K28" s="1965"/>
      <c r="L28" s="1965"/>
    </row>
    <row r="29" spans="1:19">
      <c r="A29" s="137"/>
      <c r="B29" s="115" t="s">
        <v>227</v>
      </c>
      <c r="C29" s="2294" t="s">
        <v>2318</v>
      </c>
      <c r="D29" s="111">
        <f>ROUND($D$3*E29/$E$3,2)</f>
        <v>0</v>
      </c>
      <c r="E29" s="134">
        <f>SUM(F29:G29)</f>
        <v>0</v>
      </c>
      <c r="F29" s="143">
        <f>'数据-基础表'!BM5+'数据-基础表'!BO5</f>
        <v>0</v>
      </c>
      <c r="G29" s="145">
        <f>'数据-基础表'!BN5+'数据-基础表'!BP5</f>
        <v>0</v>
      </c>
      <c r="H29" s="1965"/>
      <c r="I29" s="1965"/>
      <c r="J29" s="1965"/>
      <c r="K29" s="1965"/>
      <c r="L29" s="1965"/>
    </row>
    <row r="30" spans="1:19">
      <c r="A30" s="137"/>
      <c r="B30" s="111"/>
      <c r="C30" s="146" t="s">
        <v>215</v>
      </c>
      <c r="D30" s="134">
        <f>SUM(D28:D29)</f>
        <v>435.82</v>
      </c>
      <c r="E30" s="134">
        <f>SUM(E28:E29)</f>
        <v>1579.4800000000032</v>
      </c>
      <c r="F30" s="134">
        <f>SUM(F28:F29)</f>
        <v>1579.4800000000032</v>
      </c>
      <c r="G30" s="112">
        <f>SUM(G28:G29)</f>
        <v>0</v>
      </c>
      <c r="H30" s="1965"/>
      <c r="I30" s="1965"/>
      <c r="J30" s="1965"/>
      <c r="K30" s="1965"/>
      <c r="L30" s="1965"/>
    </row>
    <row r="31" spans="1:19" ht="32.25" customHeight="1" thickBot="1">
      <c r="A31" s="1363"/>
      <c r="B31" s="1364" t="s">
        <v>229</v>
      </c>
      <c r="C31" s="2311" t="s">
        <v>2320</v>
      </c>
      <c r="D31" s="1365">
        <f>D27+D30</f>
        <v>20176.84</v>
      </c>
      <c r="E31" s="1365">
        <f>E27+E30</f>
        <v>73123.75</v>
      </c>
      <c r="F31" s="1366">
        <f>F27+F30</f>
        <v>52162.080000000002</v>
      </c>
      <c r="G31" s="1367">
        <f>G27+G30</f>
        <v>20961.669999999998</v>
      </c>
      <c r="H31" s="1965"/>
      <c r="I31" s="1965"/>
      <c r="J31" s="1965"/>
      <c r="K31" s="1965"/>
      <c r="L31" s="1965"/>
    </row>
    <row r="32" spans="1:19">
      <c r="A32" s="1965"/>
      <c r="B32" s="2323" t="s">
        <v>2319</v>
      </c>
      <c r="C32" s="2607"/>
      <c r="D32" s="1195"/>
      <c r="E32" s="1195">
        <f>SUMIF(C19:C26,"*住宅*",E19:E26)</f>
        <v>48133.2</v>
      </c>
      <c r="F32" s="1195"/>
      <c r="G32" s="1195"/>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S27" sqref="S27"/>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9"/>
    <col min="42" max="42" width="0" style="1979" hidden="1" customWidth="1"/>
    <col min="43" max="83" width="13.75" style="1979"/>
    <col min="84" max="16384" width="13.75" style="1197"/>
  </cols>
  <sheetData>
    <row r="1" spans="1:83" ht="19.5" thickBot="1">
      <c r="A1" s="147"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75" thickBot="1">
      <c r="A2" s="148" t="s">
        <v>235</v>
      </c>
      <c r="B2" s="2319">
        <f>项目基本情况!D3</f>
        <v>43692</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5"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49" t="s">
        <v>864</v>
      </c>
      <c r="B4" s="151"/>
      <c r="C4" s="152"/>
      <c r="D4" s="1202"/>
      <c r="E4" s="1203" t="s">
        <v>865</v>
      </c>
      <c r="F4" s="152"/>
      <c r="G4" s="152"/>
      <c r="H4" s="152"/>
      <c r="I4" s="152"/>
      <c r="J4" s="153"/>
      <c r="K4" s="1204"/>
      <c r="L4" s="1205"/>
      <c r="M4" s="152"/>
      <c r="N4" s="1203" t="s">
        <v>866</v>
      </c>
      <c r="O4" s="152"/>
      <c r="P4" s="152"/>
      <c r="Q4" s="152"/>
      <c r="R4" s="152"/>
      <c r="S4" s="153"/>
      <c r="T4" s="975"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54">
      <c r="A5" s="2285" t="s">
        <v>2322</v>
      </c>
      <c r="B5" s="155" t="s">
        <v>236</v>
      </c>
      <c r="C5" s="156" t="s">
        <v>237</v>
      </c>
      <c r="D5" s="157" t="s">
        <v>238</v>
      </c>
      <c r="E5" s="158" t="s">
        <v>239</v>
      </c>
      <c r="F5" s="159" t="s">
        <v>240</v>
      </c>
      <c r="G5" s="158" t="s">
        <v>241</v>
      </c>
      <c r="H5" s="158" t="s">
        <v>862</v>
      </c>
      <c r="I5" s="158" t="s">
        <v>863</v>
      </c>
      <c r="J5" s="160" t="s">
        <v>242</v>
      </c>
      <c r="K5" s="161" t="s">
        <v>243</v>
      </c>
      <c r="L5" s="162" t="s">
        <v>244</v>
      </c>
      <c r="M5" s="163" t="s">
        <v>245</v>
      </c>
      <c r="N5" s="1213" t="s">
        <v>2823</v>
      </c>
      <c r="O5" s="162" t="s">
        <v>246</v>
      </c>
      <c r="P5" s="164" t="s">
        <v>247</v>
      </c>
      <c r="Q5" s="165" t="s">
        <v>248</v>
      </c>
      <c r="R5" s="166" t="s">
        <v>249</v>
      </c>
      <c r="S5" s="2581" t="s">
        <v>2567</v>
      </c>
      <c r="T5" s="167" t="s">
        <v>250</v>
      </c>
      <c r="U5" s="168" t="s">
        <v>251</v>
      </c>
      <c r="V5" s="158" t="s">
        <v>252</v>
      </c>
      <c r="W5" s="158" t="s">
        <v>253</v>
      </c>
      <c r="X5" s="1799"/>
      <c r="Y5" s="169" t="s">
        <v>254</v>
      </c>
      <c r="Z5" s="170" t="s">
        <v>255</v>
      </c>
      <c r="AA5" s="158" t="s">
        <v>252</v>
      </c>
      <c r="AB5" s="158" t="s">
        <v>253</v>
      </c>
      <c r="AC5" s="1800"/>
      <c r="AD5" s="171" t="s">
        <v>254</v>
      </c>
      <c r="AE5" s="1" t="s">
        <v>870</v>
      </c>
      <c r="AF5" s="158" t="s">
        <v>256</v>
      </c>
      <c r="AG5" s="169" t="s">
        <v>257</v>
      </c>
      <c r="AH5" s="1800" t="s">
        <v>2321</v>
      </c>
      <c r="AI5" s="170" t="s">
        <v>2290</v>
      </c>
      <c r="AJ5" s="170" t="s">
        <v>258</v>
      </c>
      <c r="AK5" s="158" t="s">
        <v>259</v>
      </c>
      <c r="AL5" s="158" t="s">
        <v>260</v>
      </c>
      <c r="AM5" s="171" t="s">
        <v>261</v>
      </c>
      <c r="AN5" s="2351" t="s">
        <v>2369</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25">
      <c r="A6" s="2283" t="str">
        <f>'数据-汇总表'!C19</f>
        <v>住宅</v>
      </c>
      <c r="B6" s="2318" t="str">
        <f>IF(A6=0,"","经营性")</f>
        <v>经营性</v>
      </c>
      <c r="C6" s="172" t="s">
        <v>923</v>
      </c>
      <c r="D6" s="2289">
        <f>SUMIF(项目基本情况!D$15:I$15,C6,项目基本情况!D$18:I$18)</f>
        <v>70</v>
      </c>
      <c r="E6" s="2290">
        <f>IF(B6="","",SUMIF(项目基本情况!D$15:I$15,C6,项目基本情况!D$17:I$17))</f>
        <v>69291</v>
      </c>
      <c r="F6" s="173">
        <f>SUMIF(项目基本情况!D$15:I$15,C6,项目基本情况!D$19:I$19)</f>
        <v>70</v>
      </c>
      <c r="G6" s="174">
        <f>IF(ISERROR(ROUND(POWER(1+H6,D6-F6)*(POWER(1+H6,F6)-1)/(POWER(1+H6,D6)-1),3)),0,ROUND(POWER(1+H6,D6-F6)*(POWER(1+H6,F6)-1)/(POWER(1+H6,D6)-1),3))</f>
        <v>1</v>
      </c>
      <c r="H6" s="2973">
        <v>4.4999999999999998E-2</v>
      </c>
      <c r="I6" s="2973">
        <v>0.05</v>
      </c>
      <c r="J6" s="175">
        <v>0.08</v>
      </c>
      <c r="K6" s="178">
        <f>SUMIF('数据-汇总表'!C$19:C$33,'数据-取费表'!A6,'数据-汇总表'!E$19:E$33)</f>
        <v>48133.2</v>
      </c>
      <c r="L6" s="2974">
        <v>2200</v>
      </c>
      <c r="M6" s="176">
        <f t="shared" ref="M6:M14" si="0">ROUND(K6*L6/10000,0)</f>
        <v>10589</v>
      </c>
      <c r="N6" s="2975">
        <v>0</v>
      </c>
      <c r="O6" s="176">
        <f>IF($N$5="成新度","——",ROUND(M6*N6,0))</f>
        <v>0</v>
      </c>
      <c r="P6" s="177">
        <f>IF($N$5="成新度","——",M6-O6)</f>
        <v>10589</v>
      </c>
      <c r="Q6" s="3240">
        <v>0.2</v>
      </c>
      <c r="R6" s="178">
        <f>SUMIF('数据-汇总表'!C$19:C$33,A6,'数据-汇总表'!R$19:R$33)</f>
        <v>13574.47</v>
      </c>
      <c r="S6" s="132">
        <f>IF('数据-汇总表'!$I$17="按面积比例",SUMIF('数据-汇总表'!C$19:C$33,A6,'数据-汇总表'!K$19:K$33),SUMIF('数据-汇总表'!C$19:C$33,A6,'数据-汇总表'!N$19:N$33))</f>
        <v>1062.6300000000001</v>
      </c>
      <c r="T6" s="2215">
        <f>IF($T$4="按面积比例",IF(ISERROR(ROUND($M$14*S6/S$16,0)),"0",ROUND($M$14*S6/S$16,0)),"需自行计算录入")</f>
        <v>213</v>
      </c>
      <c r="U6" s="179"/>
      <c r="V6" s="180"/>
      <c r="W6" s="180"/>
      <c r="X6" s="2302"/>
      <c r="Y6" s="181"/>
      <c r="Z6" s="182"/>
      <c r="AA6" s="175"/>
      <c r="AB6" s="175"/>
      <c r="AC6" s="2305"/>
      <c r="AD6" s="183"/>
      <c r="AE6" s="970">
        <f ca="1">IF(AN6="",0,SUMIF(INDIRECT("'"&amp;AN6&amp;"'"&amp;"!E:E"),$AE$5,INDIRECT("'"&amp;AN6&amp;"'"&amp;"!F:F")))</f>
        <v>0</v>
      </c>
      <c r="AF6" s="140"/>
      <c r="AG6" s="1207">
        <f>IF(AF6="",0,AE6-AF6)</f>
        <v>0</v>
      </c>
      <c r="AH6" s="140"/>
      <c r="AI6" s="186"/>
      <c r="AJ6" s="187"/>
      <c r="AK6" s="188"/>
      <c r="AL6" s="189"/>
      <c r="AM6" s="2986"/>
      <c r="AN6" s="2352"/>
      <c r="AO6" s="1981"/>
      <c r="AP6" s="1198">
        <f>ROUND(1-1/(1+H6)^F6,3)</f>
        <v>0.95399999999999996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25">
      <c r="A7" s="2283" t="str">
        <f>'数据-汇总表'!C20</f>
        <v>商业</v>
      </c>
      <c r="B7" s="2318" t="str">
        <f t="shared" ref="B7:B13" si="1">IF(A7=0,"","经营性")</f>
        <v>经营性</v>
      </c>
      <c r="C7" s="172" t="s">
        <v>2996</v>
      </c>
      <c r="D7" s="2289">
        <f>SUMIF(项目基本情况!D$15:I$15,C7,项目基本情况!D$18:I$18)</f>
        <v>40</v>
      </c>
      <c r="E7" s="2290">
        <f>IF(B7="","",SUMIF(项目基本情况!D$15:I$15,C7,项目基本情况!D$17:I$17))</f>
        <v>58333</v>
      </c>
      <c r="F7" s="173">
        <f>SUMIF(项目基本情况!D$15:I$15,C7,项目基本情况!D$19:I$19)</f>
        <v>40</v>
      </c>
      <c r="G7" s="174">
        <f t="shared" ref="G7:G11" si="2">IF(ISERROR(ROUND(POWER(1+H7,D7-F7)*(POWER(1+H7,F7)-1)/(POWER(1+H7,D7)-1),3)),0,ROUND(POWER(1+H7,D7-F7)*(POWER(1+H7,F7)-1)/(POWER(1+H7,D7)-1),3))</f>
        <v>1</v>
      </c>
      <c r="H7" s="2973">
        <v>0.05</v>
      </c>
      <c r="I7" s="2973">
        <v>5.5E-2</v>
      </c>
      <c r="J7" s="175">
        <v>0.08</v>
      </c>
      <c r="K7" s="178">
        <f>SUMIF('数据-汇总表'!C$19:C$33,'数据-取费表'!A7,'数据-汇总表'!E$19:E$33)</f>
        <v>2449.4</v>
      </c>
      <c r="L7" s="2974">
        <v>2500</v>
      </c>
      <c r="M7" s="176">
        <f t="shared" si="0"/>
        <v>612</v>
      </c>
      <c r="N7" s="2975">
        <v>0</v>
      </c>
      <c r="O7" s="176">
        <f t="shared" ref="O7:O14" si="3">IF($N$5="成新度","——",ROUND(M7*N7,0))</f>
        <v>0</v>
      </c>
      <c r="P7" s="177">
        <f t="shared" ref="P7:P14" si="4">IF($N$5="成新度","——",M7-O7)</f>
        <v>612</v>
      </c>
      <c r="Q7" s="3240">
        <v>0.25</v>
      </c>
      <c r="R7" s="178">
        <f>SUMIF('数据-汇总表'!C$19:C$33,A7,'数据-汇总表'!R$19:R$33)</f>
        <v>690.78</v>
      </c>
      <c r="S7" s="132">
        <f>IF('数据-汇总表'!$I$17="按面积比例",SUMIF('数据-汇总表'!C$19:C$33,A7,'数据-汇总表'!K$19:K$33),SUMIF('数据-汇总表'!C$19:C$33,A7,'数据-汇总表'!N$19:N$33))</f>
        <v>54.08</v>
      </c>
      <c r="T7" s="2215">
        <f t="shared" ref="T7:T13" si="5">IF($T$4="按面积比例",IF(ISERROR(ROUND($M$14*S7/S$16,0)),"0",ROUND($M$14*S7/S$16,0)),"需自行计算录入")</f>
        <v>11</v>
      </c>
      <c r="U7" s="179">
        <v>2</v>
      </c>
      <c r="V7" s="180">
        <v>0.02</v>
      </c>
      <c r="W7" s="3272">
        <v>0.1</v>
      </c>
      <c r="X7" s="2302"/>
      <c r="Y7" s="181">
        <v>1</v>
      </c>
      <c r="Z7" s="182"/>
      <c r="AA7" s="175"/>
      <c r="AB7" s="175"/>
      <c r="AC7" s="2305"/>
      <c r="AD7" s="183"/>
      <c r="AE7" s="970">
        <f t="shared" ref="AE7:AE13" ca="1" si="6">IF(AN7="",0,SUMIF(INDIRECT("'"&amp;AN7&amp;"'"&amp;"!E:E"),$AE$5,INDIRECT("'"&amp;AN7&amp;"'"&amp;"!F:F")))</f>
        <v>38</v>
      </c>
      <c r="AF7" s="140"/>
      <c r="AG7" s="1207">
        <f t="shared" ref="AG7:AG13" si="7">IF(AF7="",0,AE7-AF7)</f>
        <v>0</v>
      </c>
      <c r="AH7" s="140"/>
      <c r="AI7" s="186">
        <v>365</v>
      </c>
      <c r="AJ7" s="187"/>
      <c r="AK7" s="188">
        <v>1.4999999999999999E-2</v>
      </c>
      <c r="AL7" s="189">
        <v>1.5E-3</v>
      </c>
      <c r="AM7" s="2350">
        <v>0.01</v>
      </c>
      <c r="AN7" s="2352" t="s">
        <v>3027</v>
      </c>
      <c r="AO7" s="1981"/>
      <c r="AP7" s="1198">
        <f t="shared" ref="AP7:AP13" si="8">ROUND(1-1/(1+H7)^F7,3)</f>
        <v>0.85799999999999998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25">
      <c r="A8" s="2283" t="str">
        <f>'数据-汇总表'!C21</f>
        <v>车库</v>
      </c>
      <c r="B8" s="2318" t="str">
        <f t="shared" si="1"/>
        <v>经营性</v>
      </c>
      <c r="C8" s="172" t="s">
        <v>3211</v>
      </c>
      <c r="D8" s="2289">
        <f>SUMIF(项目基本情况!D$15:I$15,C8,项目基本情况!D$18:I$18)</f>
        <v>50</v>
      </c>
      <c r="E8" s="2290">
        <f>IF(B8="","",SUMIF(项目基本情况!D$15:I$15,C8,项目基本情况!D$17:I$17))</f>
        <v>61986</v>
      </c>
      <c r="F8" s="173">
        <f>SUMIF(项目基本情况!D$15:I$15,C8,项目基本情况!D$19:I$19)</f>
        <v>50</v>
      </c>
      <c r="G8" s="174">
        <f t="shared" si="2"/>
        <v>1</v>
      </c>
      <c r="H8" s="175">
        <v>0.04</v>
      </c>
      <c r="I8" s="175">
        <v>4.4999999999999998E-2</v>
      </c>
      <c r="J8" s="175">
        <f>J6</f>
        <v>0.08</v>
      </c>
      <c r="K8" s="178">
        <f>SUMIF('数据-汇总表'!C$19:C$33,'数据-取费表'!A8,'数据-汇总表'!E$19:E$33)</f>
        <v>20961.669999999998</v>
      </c>
      <c r="L8" s="3238">
        <v>2000</v>
      </c>
      <c r="M8" s="176">
        <f>ROUND(K8*L8/10000,0)</f>
        <v>4192</v>
      </c>
      <c r="N8" s="2975">
        <v>0</v>
      </c>
      <c r="O8" s="176">
        <f t="shared" si="3"/>
        <v>0</v>
      </c>
      <c r="P8" s="177">
        <f t="shared" si="4"/>
        <v>4192</v>
      </c>
      <c r="Q8" s="3264">
        <v>0.05</v>
      </c>
      <c r="R8" s="178">
        <f>SUMIF('数据-汇总表'!C$19:C$33,A8,'数据-汇总表'!R$19:R$33)</f>
        <v>5911.5899999999992</v>
      </c>
      <c r="S8" s="132">
        <f>IF('数据-汇总表'!$I$17="按面积比例",SUMIF('数据-汇总表'!C$19:C$33,A8,'数据-汇总表'!K$19:K$33),SUMIF('数据-汇总表'!C$19:C$33,A8,'数据-汇总表'!N$19:N$33))</f>
        <v>462.77</v>
      </c>
      <c r="T8" s="2215">
        <f t="shared" si="5"/>
        <v>93</v>
      </c>
      <c r="U8" s="179">
        <v>0.5</v>
      </c>
      <c r="V8" s="180">
        <v>0.01</v>
      </c>
      <c r="W8" s="180">
        <v>0.1</v>
      </c>
      <c r="X8" s="2302"/>
      <c r="Y8" s="181">
        <v>1</v>
      </c>
      <c r="Z8" s="182"/>
      <c r="AA8" s="175"/>
      <c r="AB8" s="175"/>
      <c r="AC8" s="2305"/>
      <c r="AD8" s="183"/>
      <c r="AE8" s="970">
        <f t="shared" ca="1" si="6"/>
        <v>48</v>
      </c>
      <c r="AF8" s="140"/>
      <c r="AG8" s="1207">
        <f t="shared" si="7"/>
        <v>0</v>
      </c>
      <c r="AH8" s="140"/>
      <c r="AI8" s="186">
        <v>365</v>
      </c>
      <c r="AJ8" s="187"/>
      <c r="AK8" s="188">
        <f>AK7</f>
        <v>1.4999999999999999E-2</v>
      </c>
      <c r="AL8" s="189">
        <f>AL7</f>
        <v>1.5E-3</v>
      </c>
      <c r="AM8" s="2350">
        <f>AM7</f>
        <v>0.01</v>
      </c>
      <c r="AN8" s="2352" t="s">
        <v>3248</v>
      </c>
      <c r="AO8" s="1981"/>
      <c r="AP8" s="1198">
        <f t="shared" si="8"/>
        <v>0.85899999999999999</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25">
      <c r="A9" s="2283">
        <f>'数据-汇总表'!C22</f>
        <v>0</v>
      </c>
      <c r="B9" s="2318" t="str">
        <f t="shared" si="1"/>
        <v/>
      </c>
      <c r="C9" s="172"/>
      <c r="D9" s="2289">
        <f>SUMIF(项目基本情况!D$15:I$15,C9,项目基本情况!D$18:I$18)</f>
        <v>0</v>
      </c>
      <c r="E9" s="229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2">
        <f>IF('数据-汇总表'!$I$17="按面积比例",SUMIF('数据-汇总表'!C$19:C$33,A9,'数据-汇总表'!K$19:K$33),SUMIF('数据-汇总表'!C$19:C$33,A9,'数据-汇总表'!N$19:N$33))</f>
        <v>0</v>
      </c>
      <c r="T9" s="2215">
        <f t="shared" si="5"/>
        <v>0</v>
      </c>
      <c r="U9" s="179"/>
      <c r="V9" s="180"/>
      <c r="W9" s="180"/>
      <c r="X9" s="2302"/>
      <c r="Y9" s="181"/>
      <c r="Z9" s="182"/>
      <c r="AA9" s="175"/>
      <c r="AB9" s="175"/>
      <c r="AC9" s="2305"/>
      <c r="AD9" s="183"/>
      <c r="AE9" s="970">
        <f t="shared" ca="1" si="6"/>
        <v>0</v>
      </c>
      <c r="AF9" s="140"/>
      <c r="AG9" s="1207">
        <f t="shared" si="7"/>
        <v>0</v>
      </c>
      <c r="AH9" s="140"/>
      <c r="AI9" s="186"/>
      <c r="AJ9" s="187"/>
      <c r="AK9" s="188"/>
      <c r="AL9" s="189"/>
      <c r="AM9" s="2350"/>
      <c r="AN9" s="2352"/>
      <c r="AO9" s="1981"/>
      <c r="AP9" s="1198">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25">
      <c r="A10" s="2283">
        <f>'数据-汇总表'!C23</f>
        <v>0</v>
      </c>
      <c r="B10" s="2318" t="str">
        <f t="shared" si="1"/>
        <v/>
      </c>
      <c r="C10" s="172"/>
      <c r="D10" s="2289">
        <f>SUMIF(项目基本情况!D$15:I$15,C10,项目基本情况!D$18:I$18)</f>
        <v>0</v>
      </c>
      <c r="E10" s="229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2">
        <f>IF('数据-汇总表'!$I$17="按面积比例",SUMIF('数据-汇总表'!C$19:C$33,A10,'数据-汇总表'!K$19:K$33),SUMIF('数据-汇总表'!C$19:C$33,A10,'数据-汇总表'!N$19:N$33))</f>
        <v>0</v>
      </c>
      <c r="T10" s="2215">
        <f t="shared" si="5"/>
        <v>0</v>
      </c>
      <c r="U10" s="179"/>
      <c r="V10" s="180"/>
      <c r="W10" s="180"/>
      <c r="X10" s="2302"/>
      <c r="Y10" s="181"/>
      <c r="Z10" s="182"/>
      <c r="AA10" s="175"/>
      <c r="AB10" s="175"/>
      <c r="AC10" s="2305"/>
      <c r="AD10" s="183"/>
      <c r="AE10" s="970">
        <f t="shared" ca="1" si="6"/>
        <v>0</v>
      </c>
      <c r="AF10" s="140"/>
      <c r="AG10" s="1207">
        <f t="shared" si="7"/>
        <v>0</v>
      </c>
      <c r="AH10" s="140"/>
      <c r="AI10" s="186"/>
      <c r="AJ10" s="187"/>
      <c r="AK10" s="188"/>
      <c r="AL10" s="189"/>
      <c r="AM10" s="2350"/>
      <c r="AN10" s="2352"/>
      <c r="AO10" s="1981"/>
      <c r="AP10" s="1198">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25">
      <c r="A11" s="2283">
        <f>'数据-汇总表'!C24</f>
        <v>0</v>
      </c>
      <c r="B11" s="2318" t="str">
        <f t="shared" si="1"/>
        <v/>
      </c>
      <c r="C11" s="172"/>
      <c r="D11" s="2289">
        <f>SUMIF(项目基本情况!D$15:I$15,C11,项目基本情况!D$18:I$18)</f>
        <v>0</v>
      </c>
      <c r="E11" s="229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2">
        <f>IF('数据-汇总表'!$I$17="按面积比例",SUMIF('数据-汇总表'!C$19:C$33,A11,'数据-汇总表'!K$19:K$33),SUMIF('数据-汇总表'!C$19:C$33,A11,'数据-汇总表'!N$19:N$33))</f>
        <v>0</v>
      </c>
      <c r="T11" s="2215">
        <f t="shared" si="5"/>
        <v>0</v>
      </c>
      <c r="U11" s="184"/>
      <c r="V11" s="175"/>
      <c r="W11" s="175"/>
      <c r="X11" s="2305"/>
      <c r="Y11" s="181"/>
      <c r="Z11" s="194"/>
      <c r="AA11" s="175"/>
      <c r="AB11" s="175"/>
      <c r="AC11" s="2305"/>
      <c r="AD11" s="183"/>
      <c r="AE11" s="970">
        <f t="shared" ca="1" si="6"/>
        <v>0</v>
      </c>
      <c r="AF11" s="140"/>
      <c r="AG11" s="1207">
        <f t="shared" si="7"/>
        <v>0</v>
      </c>
      <c r="AH11" s="140"/>
      <c r="AI11" s="186"/>
      <c r="AJ11" s="187"/>
      <c r="AK11" s="195"/>
      <c r="AL11" s="196"/>
      <c r="AM11" s="1798"/>
      <c r="AN11" s="2352"/>
      <c r="AO11" s="1981"/>
      <c r="AP11" s="1198">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25">
      <c r="A12" s="2283">
        <f>'数据-汇总表'!C25</f>
        <v>0</v>
      </c>
      <c r="B12" s="2318" t="str">
        <f t="shared" si="1"/>
        <v/>
      </c>
      <c r="C12" s="172"/>
      <c r="D12" s="2289">
        <f>SUMIF(项目基本情况!D$15:I$15,C12,项目基本情况!D$18:I$18)</f>
        <v>0</v>
      </c>
      <c r="E12" s="229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15">
        <f t="shared" si="5"/>
        <v>0</v>
      </c>
      <c r="U12" s="184"/>
      <c r="V12" s="175"/>
      <c r="W12" s="175"/>
      <c r="X12" s="2305"/>
      <c r="Y12" s="181"/>
      <c r="Z12" s="194"/>
      <c r="AA12" s="175"/>
      <c r="AB12" s="175"/>
      <c r="AC12" s="2305"/>
      <c r="AD12" s="183"/>
      <c r="AE12" s="970">
        <f t="shared" ca="1" si="6"/>
        <v>0</v>
      </c>
      <c r="AF12" s="140"/>
      <c r="AG12" s="1207">
        <f t="shared" si="7"/>
        <v>0</v>
      </c>
      <c r="AH12" s="140"/>
      <c r="AI12" s="186"/>
      <c r="AJ12" s="187"/>
      <c r="AK12" s="195"/>
      <c r="AL12" s="196"/>
      <c r="AM12" s="1798"/>
      <c r="AN12" s="2352"/>
      <c r="AO12" s="1981"/>
      <c r="AP12" s="1198">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25">
      <c r="A13" s="2283">
        <f>'数据-汇总表'!C26</f>
        <v>0</v>
      </c>
      <c r="B13" s="2318" t="str">
        <f t="shared" si="1"/>
        <v/>
      </c>
      <c r="C13" s="172"/>
      <c r="D13" s="2289">
        <f>SUMIF(项目基本情况!D$15:I$15,C13,项目基本情况!D$18:I$18)</f>
        <v>0</v>
      </c>
      <c r="E13" s="229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15">
        <f t="shared" si="5"/>
        <v>0</v>
      </c>
      <c r="U13" s="179"/>
      <c r="V13" s="180"/>
      <c r="W13" s="180"/>
      <c r="X13" s="2302"/>
      <c r="Y13" s="181"/>
      <c r="Z13" s="182"/>
      <c r="AA13" s="175"/>
      <c r="AB13" s="175"/>
      <c r="AC13" s="2305"/>
      <c r="AD13" s="183"/>
      <c r="AE13" s="970">
        <f t="shared" ca="1" si="6"/>
        <v>0</v>
      </c>
      <c r="AF13" s="140"/>
      <c r="AG13" s="1207">
        <f t="shared" si="7"/>
        <v>0</v>
      </c>
      <c r="AH13" s="140"/>
      <c r="AI13" s="186"/>
      <c r="AJ13" s="187"/>
      <c r="AK13" s="188"/>
      <c r="AL13" s="189"/>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4.25">
      <c r="A14" s="2284" t="s">
        <v>2312</v>
      </c>
      <c r="B14" s="2287" t="s">
        <v>1679</v>
      </c>
      <c r="C14" s="2288" t="s">
        <v>2312</v>
      </c>
      <c r="D14" s="2289"/>
      <c r="E14" s="2290"/>
      <c r="F14" s="173"/>
      <c r="G14" s="174"/>
      <c r="H14" s="2291"/>
      <c r="I14" s="2291"/>
      <c r="J14" s="2291"/>
      <c r="K14" s="178">
        <f>SUMIF('数据-汇总表'!C$19:C$33,'数据-取费表'!A14,'数据-汇总表'!E$19:E$33)</f>
        <v>1579.4800000000032</v>
      </c>
      <c r="L14" s="3239">
        <f>L8</f>
        <v>2000</v>
      </c>
      <c r="M14" s="176">
        <f t="shared" si="0"/>
        <v>316</v>
      </c>
      <c r="N14" s="193">
        <v>0</v>
      </c>
      <c r="O14" s="176">
        <f t="shared" si="3"/>
        <v>0</v>
      </c>
      <c r="P14" s="177">
        <f t="shared" si="4"/>
        <v>316</v>
      </c>
      <c r="Q14" s="2299"/>
      <c r="R14" s="178"/>
      <c r="S14" s="132"/>
      <c r="T14" s="2298"/>
      <c r="U14" s="972"/>
      <c r="V14" s="2301"/>
      <c r="W14" s="2301"/>
      <c r="X14" s="2302"/>
      <c r="Y14" s="2303"/>
      <c r="Z14" s="135"/>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7">
      <c r="A15" s="2293" t="s">
        <v>2314</v>
      </c>
      <c r="B15" s="2287" t="s">
        <v>1679</v>
      </c>
      <c r="C15" s="2288" t="s">
        <v>2313</v>
      </c>
      <c r="D15" s="2289"/>
      <c r="E15" s="2290"/>
      <c r="F15" s="173"/>
      <c r="G15" s="174"/>
      <c r="H15" s="2291"/>
      <c r="I15" s="2291"/>
      <c r="J15" s="2291"/>
      <c r="K15" s="178">
        <f>SUMIF('数据-汇总表'!C$19:C$33,'数据-取费表'!A15,'数据-汇总表'!E$19:E$33)</f>
        <v>0</v>
      </c>
      <c r="L15" s="2297"/>
      <c r="M15" s="176"/>
      <c r="N15" s="2300"/>
      <c r="O15" s="176"/>
      <c r="P15" s="177"/>
      <c r="Q15" s="2299"/>
      <c r="R15" s="178"/>
      <c r="S15" s="132"/>
      <c r="T15" s="2298"/>
      <c r="U15" s="972"/>
      <c r="V15" s="2301"/>
      <c r="W15" s="2301"/>
      <c r="X15" s="2302"/>
      <c r="Y15" s="2303"/>
      <c r="Z15" s="135"/>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75" thickBot="1">
      <c r="A16" s="197" t="s">
        <v>262</v>
      </c>
      <c r="B16" s="198"/>
      <c r="C16" s="199"/>
      <c r="D16" s="200"/>
      <c r="E16" s="198"/>
      <c r="F16" s="198"/>
      <c r="G16" s="201">
        <f>ROUND(SUMPRODUCT(G6:G13,K6:K13)/SUMPRODUCT((G6:G13&gt;0)*(K6:K13)),3)</f>
        <v>1</v>
      </c>
      <c r="H16" s="202">
        <f>ROUND(SUMPRODUCT(H6:H13,K6:K13)/SUMPRODUCT((H6:H13&gt;0)*(K6:K13)),3)</f>
        <v>4.3999999999999997E-2</v>
      </c>
      <c r="I16" s="203"/>
      <c r="J16" s="203"/>
      <c r="K16" s="204">
        <f>SUM(K6:K15)</f>
        <v>73123.75</v>
      </c>
      <c r="L16" s="205">
        <f>ROUND(M16*10000/SUM(K6:K14),0)</f>
        <v>2148</v>
      </c>
      <c r="M16" s="205">
        <f>SUM(M6:M14)</f>
        <v>15709</v>
      </c>
      <c r="N16" s="206">
        <f>ROUND(SUMPRODUCT(M6:M14,N6:N14)/M16,3)</f>
        <v>0</v>
      </c>
      <c r="O16" s="205">
        <f>SUM(O6:O14)</f>
        <v>0</v>
      </c>
      <c r="P16" s="205">
        <f>SUM(P6:P14)</f>
        <v>15709</v>
      </c>
      <c r="Q16" s="207">
        <f>ROUND(SUMPRODUCT(Q6:Q13,K6:K13)/SUMPRODUCT((Q6:Q13&gt;0)*(K6:K13)),2)</f>
        <v>0.16</v>
      </c>
      <c r="R16" s="2292">
        <f>SUM(R6:R13)</f>
        <v>20176.84</v>
      </c>
      <c r="S16" s="208">
        <f>SUM(S6:S13)</f>
        <v>1579.48</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8">
        <f>ROUND(SUMPRODUCT(AP6:AP13,K6:K13)/SUMPRODUCT((AP6:AP13&gt;0)*(K6:K13)),3)</f>
        <v>0.92300000000000004</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9" t="s">
        <v>263</v>
      </c>
      <c r="B18" s="1198"/>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6" t="s">
        <v>264</v>
      </c>
      <c r="B19" s="217">
        <v>0</v>
      </c>
      <c r="C19" s="2324" t="s">
        <v>2332</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8" t="s">
        <v>265</v>
      </c>
      <c r="B20" s="219">
        <v>2</v>
      </c>
      <c r="C20" s="2324" t="s">
        <v>2331</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0" t="s">
        <v>266</v>
      </c>
      <c r="B21" s="219">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8" t="s">
        <v>267</v>
      </c>
      <c r="B22" s="221">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8"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7.75">
      <c r="A27" s="225" t="s">
        <v>2334</v>
      </c>
      <c r="B27" s="226">
        <v>19</v>
      </c>
      <c r="C27" s="2327" t="s">
        <v>2338</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7.75">
      <c r="A28" s="227" t="s">
        <v>2335</v>
      </c>
      <c r="B28" s="228">
        <v>19</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8.5" thickBot="1">
      <c r="A29" s="230" t="s">
        <v>2333</v>
      </c>
      <c r="B29" s="231"/>
      <c r="C29" s="1535" t="s">
        <v>2336</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7">
      <c r="A30" s="234" t="s">
        <v>273</v>
      </c>
      <c r="B30" s="976">
        <v>150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7">
      <c r="A31" s="227" t="s">
        <v>274</v>
      </c>
      <c r="B31" s="229">
        <f>B30-B32</f>
        <v>80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7.75" thickBot="1">
      <c r="A32" s="236" t="s">
        <v>275</v>
      </c>
      <c r="B32" s="3241">
        <v>70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25">
      <c r="A33" s="225" t="s">
        <v>278</v>
      </c>
      <c r="B33" s="1371">
        <v>0.05</v>
      </c>
      <c r="C33" s="2325" t="s">
        <v>2889</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2">
        <v>0.03</v>
      </c>
      <c r="C34" s="2325" t="s">
        <v>2890</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150</v>
      </c>
      <c r="C35" s="2325" t="s">
        <v>2891</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3">
        <v>1.4999999999999999E-2</v>
      </c>
      <c r="C36" s="2325" t="s">
        <v>2892</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235">
        <v>0.03</v>
      </c>
      <c r="C37" s="2325" t="s">
        <v>2893</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2">
        <v>0.03</v>
      </c>
      <c r="C38" s="2325" t="s">
        <v>2893</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2451</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2452</v>
      </c>
      <c r="B40" s="2441">
        <f ca="1">存贷款利率!E2</f>
        <v>4.7500000000000001E-2</v>
      </c>
      <c r="C40" s="2325" t="s">
        <v>2337</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5" t="s">
        <v>282</v>
      </c>
      <c r="B41" s="237">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7" t="s">
        <v>283</v>
      </c>
      <c r="B42" s="239">
        <v>0.05</v>
      </c>
      <c r="C42" s="3045">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7" t="s">
        <v>284</v>
      </c>
      <c r="B43" s="240">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0.05</v>
      </c>
      <c r="C44" s="2325" t="s">
        <v>2894</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2895</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2896</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3020" t="s">
        <v>2897</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245">
        <v>0.03</v>
      </c>
      <c r="C48" s="3021" t="s">
        <v>2898</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1" t="s">
        <v>2899</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6" t="s">
        <v>293</v>
      </c>
      <c r="B52" s="249">
        <f>SUMIF(A54:A63,B53,B54:B63)</f>
        <v>3</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50" t="s">
        <v>1411</v>
      </c>
      <c r="C53" s="3022" t="s">
        <v>2900</v>
      </c>
      <c r="D53" s="3023" t="s">
        <v>2901</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5" t="s">
        <v>2902</v>
      </c>
      <c r="B54" s="185">
        <v>11</v>
      </c>
      <c r="C54" s="1975">
        <v>30</v>
      </c>
      <c r="D54" s="3024"/>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5" t="s">
        <v>2903</v>
      </c>
      <c r="B55" s="185">
        <v>8.5</v>
      </c>
      <c r="C55" s="1975">
        <v>24</v>
      </c>
      <c r="D55" s="3024"/>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5" t="s">
        <v>2904</v>
      </c>
      <c r="B56" s="185">
        <v>7.5</v>
      </c>
      <c r="C56" s="1975">
        <v>18</v>
      </c>
      <c r="D56" s="3024"/>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5" t="s">
        <v>2905</v>
      </c>
      <c r="B57" s="185">
        <v>6.5</v>
      </c>
      <c r="C57" s="1975">
        <v>12</v>
      </c>
      <c r="D57" s="3024"/>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5" t="s">
        <v>2906</v>
      </c>
      <c r="B58" s="185">
        <v>5.5</v>
      </c>
      <c r="C58" s="1975">
        <v>3</v>
      </c>
      <c r="D58" s="3024"/>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5" t="s">
        <v>2907</v>
      </c>
      <c r="B59" s="185">
        <v>5</v>
      </c>
      <c r="C59" s="1975">
        <v>1.5</v>
      </c>
      <c r="D59" s="3024"/>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5" t="s">
        <v>2908</v>
      </c>
      <c r="B60" s="185">
        <v>3</v>
      </c>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5" t="s">
        <v>2909</v>
      </c>
      <c r="B61" s="185">
        <v>2</v>
      </c>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5" t="s">
        <v>2910</v>
      </c>
      <c r="B62" s="185">
        <v>1</v>
      </c>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6" t="s">
        <v>2911</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7"/>
      <c r="L64" s="57"/>
    </row>
    <row r="65" spans="1:12" s="1979" customFormat="1">
      <c r="A65" s="252"/>
      <c r="D65" s="1980"/>
      <c r="K65" s="57"/>
      <c r="L65" s="57"/>
    </row>
    <row r="66" spans="1:12" s="1979" customFormat="1">
      <c r="A66" s="252"/>
      <c r="D66" s="1980"/>
      <c r="K66" s="57"/>
      <c r="L66" s="57"/>
    </row>
    <row r="67" spans="1:12" s="1979" customFormat="1">
      <c r="A67" s="252"/>
      <c r="D67" s="1980"/>
      <c r="K67" s="57"/>
      <c r="L67" s="57"/>
    </row>
    <row r="68" spans="1:12" s="1979" customFormat="1">
      <c r="A68" s="252"/>
      <c r="D68" s="1980"/>
      <c r="K68" s="57"/>
      <c r="L68" s="57"/>
    </row>
    <row r="69" spans="1:12" s="1979" customFormat="1">
      <c r="A69" s="252"/>
      <c r="D69" s="1980"/>
      <c r="K69" s="57"/>
      <c r="L69" s="57"/>
    </row>
    <row r="70" spans="1:12" s="1979" customFormat="1">
      <c r="A70" s="252"/>
      <c r="D70" s="1980"/>
      <c r="K70" s="57"/>
      <c r="L70" s="57"/>
    </row>
    <row r="71" spans="1:12" s="1979" customFormat="1">
      <c r="A71" s="252"/>
      <c r="D71" s="1980"/>
      <c r="K71" s="57"/>
      <c r="L71" s="57"/>
    </row>
    <row r="72" spans="1:12" s="1979" customFormat="1">
      <c r="A72" s="252"/>
      <c r="D72" s="1980"/>
      <c r="K72" s="57"/>
      <c r="L72" s="57"/>
    </row>
    <row r="73" spans="1:12" s="1979" customFormat="1">
      <c r="A73" s="252"/>
      <c r="D73" s="1980"/>
      <c r="K73" s="57"/>
      <c r="L73" s="57"/>
    </row>
    <row r="74" spans="1:12" s="1979" customFormat="1">
      <c r="A74" s="252"/>
      <c r="D74" s="1980"/>
      <c r="K74" s="57"/>
      <c r="L74" s="57"/>
    </row>
    <row r="75" spans="1:12" s="1979" customFormat="1">
      <c r="A75" s="252"/>
      <c r="D75" s="1980"/>
      <c r="K75" s="57"/>
      <c r="L75" s="57"/>
    </row>
    <row r="76" spans="1:12" s="1979" customFormat="1">
      <c r="A76" s="252"/>
      <c r="D76" s="1980"/>
      <c r="K76" s="57"/>
      <c r="L76" s="57"/>
    </row>
    <row r="77" spans="1:12" s="1979" customFormat="1">
      <c r="A77" s="252"/>
      <c r="D77" s="1980"/>
      <c r="K77" s="57"/>
      <c r="L77" s="57"/>
    </row>
    <row r="78" spans="1:12" s="1979" customFormat="1">
      <c r="A78" s="252"/>
      <c r="D78" s="1980"/>
      <c r="K78" s="57"/>
      <c r="L78" s="57"/>
    </row>
    <row r="79" spans="1:12" s="1979" customFormat="1">
      <c r="A79" s="252"/>
      <c r="D79" s="1980"/>
      <c r="K79" s="57"/>
      <c r="L79" s="57"/>
    </row>
    <row r="80" spans="1:12" s="1979" customFormat="1">
      <c r="A80" s="252"/>
      <c r="D80" s="1980"/>
      <c r="K80" s="57"/>
      <c r="L80" s="57"/>
    </row>
    <row r="81" spans="1:12" s="1979" customFormat="1">
      <c r="A81" s="252"/>
      <c r="D81" s="1980"/>
      <c r="K81" s="57"/>
      <c r="L81" s="57"/>
    </row>
    <row r="82" spans="1:12" s="1979" customFormat="1">
      <c r="A82" s="252"/>
      <c r="D82" s="1980"/>
      <c r="K82" s="57"/>
      <c r="L82" s="57"/>
    </row>
    <row r="83" spans="1:12" s="1979" customFormat="1">
      <c r="A83" s="252"/>
      <c r="D83" s="1980"/>
      <c r="K83" s="57"/>
      <c r="L83" s="57"/>
    </row>
    <row r="84" spans="1:12" s="1979" customFormat="1">
      <c r="A84" s="252"/>
      <c r="D84" s="1980"/>
      <c r="K84" s="57"/>
      <c r="L84" s="57"/>
    </row>
    <row r="85" spans="1:12" s="1979" customFormat="1">
      <c r="A85" s="252"/>
      <c r="D85" s="1980"/>
      <c r="K85" s="57"/>
      <c r="L85" s="57"/>
    </row>
    <row r="86" spans="1:12" s="1979" customFormat="1">
      <c r="A86" s="252"/>
      <c r="D86" s="1980"/>
      <c r="K86" s="57"/>
      <c r="L86" s="57"/>
    </row>
    <row r="87" spans="1:12" s="1979" customFormat="1">
      <c r="A87" s="252"/>
      <c r="D87" s="1980"/>
      <c r="K87" s="57"/>
      <c r="L87" s="57"/>
    </row>
    <row r="88" spans="1:12" s="1979" customFormat="1">
      <c r="A88" s="252"/>
      <c r="D88" s="1980"/>
      <c r="K88" s="57"/>
      <c r="L88" s="57"/>
    </row>
    <row r="89" spans="1:12" s="1979" customFormat="1">
      <c r="A89" s="252"/>
      <c r="D89" s="1980"/>
      <c r="K89" s="57"/>
      <c r="L89" s="57"/>
    </row>
    <row r="90" spans="1:12" s="1979" customFormat="1">
      <c r="A90" s="252"/>
      <c r="D90" s="1980"/>
      <c r="K90" s="57"/>
      <c r="L90" s="57"/>
    </row>
    <row r="91" spans="1:12" s="1979" customFormat="1">
      <c r="A91" s="252"/>
      <c r="D91" s="1980"/>
      <c r="K91" s="57"/>
      <c r="L91" s="57"/>
    </row>
    <row r="92" spans="1:12" s="1979" customFormat="1">
      <c r="A92" s="252"/>
      <c r="D92" s="1980"/>
      <c r="K92" s="57"/>
      <c r="L92" s="57"/>
    </row>
    <row r="93" spans="1:12" s="1979" customFormat="1">
      <c r="A93" s="252"/>
      <c r="D93" s="1980"/>
      <c r="K93" s="57"/>
      <c r="L93" s="57"/>
    </row>
    <row r="94" spans="1:12" s="1979" customFormat="1">
      <c r="A94" s="252"/>
      <c r="D94" s="1980"/>
      <c r="K94" s="57"/>
      <c r="L94" s="57"/>
    </row>
    <row r="95" spans="1:12" s="1979" customFormat="1">
      <c r="A95" s="252"/>
      <c r="D95" s="1980"/>
      <c r="K95" s="57"/>
      <c r="L95" s="57"/>
    </row>
    <row r="96" spans="1:12" s="1979" customFormat="1">
      <c r="A96" s="252"/>
      <c r="D96" s="1980"/>
      <c r="K96" s="57"/>
      <c r="L96" s="57"/>
    </row>
    <row r="97" spans="1:12" s="1979" customFormat="1">
      <c r="A97" s="252"/>
      <c r="D97" s="1980"/>
      <c r="K97" s="57"/>
      <c r="L97" s="57"/>
    </row>
    <row r="98" spans="1:12" s="1979" customFormat="1">
      <c r="A98" s="252"/>
      <c r="D98" s="1980"/>
      <c r="K98" s="57"/>
      <c r="L98" s="57"/>
    </row>
    <row r="99" spans="1:12" s="1979" customFormat="1">
      <c r="A99" s="252"/>
      <c r="D99" s="1980"/>
      <c r="K99" s="57"/>
      <c r="L99" s="57"/>
    </row>
    <row r="100" spans="1:12" s="1979" customFormat="1">
      <c r="A100" s="252"/>
      <c r="D100" s="1980"/>
      <c r="K100" s="57"/>
      <c r="L100" s="57"/>
    </row>
    <row r="101" spans="1:12" s="1979" customFormat="1">
      <c r="A101" s="252"/>
      <c r="D101" s="1980"/>
      <c r="K101" s="57"/>
      <c r="L101" s="57"/>
    </row>
    <row r="102" spans="1:12" s="1979" customFormat="1">
      <c r="A102" s="252"/>
      <c r="D102" s="1980"/>
      <c r="K102" s="57"/>
      <c r="L102" s="57"/>
    </row>
    <row r="103" spans="1:12" s="1979" customFormat="1">
      <c r="A103" s="252"/>
      <c r="D103" s="1980"/>
      <c r="K103" s="57"/>
      <c r="L103" s="57"/>
    </row>
    <row r="104" spans="1:12" s="1979" customFormat="1">
      <c r="A104" s="252"/>
      <c r="D104" s="1980"/>
      <c r="K104" s="57"/>
      <c r="L104" s="57"/>
    </row>
    <row r="105" spans="1:12" s="1979" customFormat="1">
      <c r="A105" s="252"/>
      <c r="D105" s="1980"/>
      <c r="K105" s="57"/>
      <c r="L105" s="57"/>
    </row>
    <row r="106" spans="1:12" s="1979" customFormat="1">
      <c r="A106" s="252"/>
      <c r="D106" s="1980"/>
      <c r="K106" s="57"/>
      <c r="L106" s="57"/>
    </row>
    <row r="107" spans="1:12" s="1979" customFormat="1">
      <c r="A107" s="252"/>
      <c r="D107" s="1980"/>
      <c r="K107" s="57"/>
      <c r="L107" s="57"/>
    </row>
    <row r="108" spans="1:12" s="1979" customFormat="1">
      <c r="A108" s="252"/>
      <c r="D108" s="1980"/>
      <c r="K108" s="57"/>
      <c r="L108" s="57"/>
    </row>
    <row r="109" spans="1:12" s="1979" customFormat="1">
      <c r="A109" s="252"/>
      <c r="D109" s="1980"/>
      <c r="K109" s="57"/>
      <c r="L109" s="57"/>
    </row>
    <row r="110" spans="1:12" s="1979" customFormat="1">
      <c r="A110" s="252"/>
      <c r="D110" s="1980"/>
      <c r="K110" s="57"/>
      <c r="L110" s="57"/>
    </row>
    <row r="111" spans="1:12" s="1979" customFormat="1">
      <c r="A111" s="252"/>
      <c r="D111" s="1980"/>
      <c r="K111" s="57"/>
      <c r="L111" s="57"/>
    </row>
    <row r="112" spans="1:12" s="1979" customFormat="1">
      <c r="A112" s="252"/>
      <c r="D112" s="1980"/>
      <c r="K112" s="57"/>
      <c r="L112" s="57"/>
    </row>
    <row r="113" spans="1:12" s="1979" customFormat="1">
      <c r="A113" s="252"/>
      <c r="D113" s="1980"/>
      <c r="K113" s="57"/>
      <c r="L113" s="57"/>
    </row>
    <row r="114" spans="1:12" s="1979" customFormat="1">
      <c r="A114" s="252"/>
      <c r="D114" s="1980"/>
      <c r="K114" s="57"/>
      <c r="L114" s="57"/>
    </row>
    <row r="115" spans="1:12" s="1979" customFormat="1">
      <c r="A115" s="252"/>
      <c r="D115" s="1980"/>
      <c r="K115" s="57"/>
      <c r="L115" s="57"/>
    </row>
    <row r="116" spans="1:12" s="1979" customFormat="1">
      <c r="A116" s="252"/>
      <c r="D116" s="1980"/>
      <c r="K116" s="57"/>
      <c r="L116" s="57"/>
    </row>
    <row r="117" spans="1:12" s="1979" customFormat="1">
      <c r="A117" s="252"/>
      <c r="D117" s="1980"/>
      <c r="K117" s="57"/>
      <c r="L117" s="57"/>
    </row>
    <row r="118" spans="1:12" s="1979" customFormat="1">
      <c r="A118" s="252"/>
      <c r="D118" s="1980"/>
      <c r="K118" s="57"/>
      <c r="L118" s="57"/>
    </row>
    <row r="119" spans="1:12" s="1979" customFormat="1">
      <c r="A119" s="252"/>
      <c r="D119" s="1980"/>
      <c r="K119" s="57"/>
      <c r="L119" s="57"/>
    </row>
    <row r="120" spans="1:12" s="1979" customFormat="1">
      <c r="A120" s="252"/>
      <c r="D120" s="1980"/>
      <c r="K120" s="57"/>
      <c r="L120" s="57"/>
    </row>
    <row r="121" spans="1:12" s="1979" customFormat="1">
      <c r="A121" s="252"/>
      <c r="D121" s="1980"/>
      <c r="K121" s="57"/>
      <c r="L121" s="57"/>
    </row>
    <row r="122" spans="1:12" s="1979" customFormat="1">
      <c r="A122" s="252"/>
      <c r="D122" s="1980"/>
      <c r="K122" s="57"/>
      <c r="L122" s="57"/>
    </row>
    <row r="123" spans="1:12" s="1979" customFormat="1">
      <c r="A123" s="252"/>
      <c r="D123" s="1980"/>
      <c r="K123" s="57"/>
      <c r="L123" s="57"/>
    </row>
    <row r="124" spans="1:12" s="1979" customFormat="1">
      <c r="A124" s="252"/>
      <c r="D124" s="1980"/>
      <c r="K124" s="57"/>
      <c r="L124" s="57"/>
    </row>
    <row r="125" spans="1:12" s="1979" customFormat="1">
      <c r="A125" s="252"/>
      <c r="D125" s="1980"/>
      <c r="K125" s="57"/>
      <c r="L125" s="57"/>
    </row>
    <row r="126" spans="1:12" s="1979" customFormat="1">
      <c r="A126" s="252"/>
      <c r="D126" s="1980"/>
      <c r="K126" s="57"/>
      <c r="L126" s="57"/>
    </row>
    <row r="127" spans="1:12" s="1979" customFormat="1">
      <c r="A127" s="252"/>
      <c r="D127" s="1980"/>
      <c r="K127" s="57"/>
      <c r="L127" s="57"/>
    </row>
    <row r="128" spans="1:12" s="1979" customFormat="1">
      <c r="A128" s="252"/>
      <c r="D128" s="1980"/>
      <c r="K128" s="57"/>
      <c r="L128" s="57"/>
    </row>
    <row r="129" spans="1:12" s="1979" customFormat="1">
      <c r="A129" s="252"/>
      <c r="D129" s="1980"/>
      <c r="K129" s="57"/>
      <c r="L129" s="57"/>
    </row>
    <row r="130" spans="1:12" s="1979" customFormat="1">
      <c r="A130" s="252"/>
      <c r="D130" s="1980"/>
      <c r="K130" s="57"/>
      <c r="L130" s="57"/>
    </row>
    <row r="131" spans="1:12" s="1979" customFormat="1">
      <c r="A131" s="252"/>
      <c r="D131" s="1980"/>
      <c r="K131" s="57"/>
      <c r="L131" s="57"/>
    </row>
    <row r="132" spans="1:12" s="1979" customFormat="1">
      <c r="A132" s="252"/>
      <c r="D132" s="1980"/>
      <c r="K132" s="57"/>
      <c r="L132" s="57"/>
    </row>
    <row r="133" spans="1:12" s="1979" customFormat="1">
      <c r="A133" s="252"/>
      <c r="D133" s="1980"/>
      <c r="K133" s="57"/>
      <c r="L133" s="57"/>
    </row>
    <row r="134" spans="1:12" s="1979" customFormat="1">
      <c r="A134" s="252"/>
      <c r="D134" s="1980"/>
      <c r="K134" s="57"/>
      <c r="L134" s="57"/>
    </row>
    <row r="135" spans="1:12" s="1979" customFormat="1">
      <c r="A135" s="252"/>
      <c r="D135" s="1980"/>
      <c r="K135" s="57"/>
      <c r="L135" s="57"/>
    </row>
    <row r="136" spans="1:12" s="1979" customFormat="1">
      <c r="A136" s="252"/>
      <c r="D136" s="1980"/>
      <c r="K136" s="57"/>
      <c r="L136" s="57"/>
    </row>
    <row r="137" spans="1:12" s="1979" customFormat="1">
      <c r="A137" s="252"/>
      <c r="D137" s="1980"/>
      <c r="K137" s="57"/>
      <c r="L137" s="57"/>
    </row>
    <row r="138" spans="1:12" s="1979" customFormat="1">
      <c r="A138" s="252"/>
      <c r="D138" s="1980"/>
      <c r="K138" s="57"/>
      <c r="L138" s="57"/>
    </row>
    <row r="139" spans="1:12" s="1979" customFormat="1">
      <c r="A139" s="252"/>
      <c r="D139" s="1980"/>
      <c r="K139" s="57"/>
      <c r="L139" s="57"/>
    </row>
    <row r="140" spans="1:12" s="1979" customFormat="1">
      <c r="A140" s="252"/>
      <c r="D140" s="1980"/>
      <c r="K140" s="57"/>
      <c r="L140" s="57"/>
    </row>
    <row r="141" spans="1:12" s="1979" customFormat="1">
      <c r="A141" s="252"/>
      <c r="D141" s="1980"/>
      <c r="K141" s="57"/>
      <c r="L141" s="57"/>
    </row>
    <row r="142" spans="1:12" s="1979" customFormat="1">
      <c r="A142" s="252"/>
      <c r="D142" s="1980"/>
      <c r="K142" s="57"/>
      <c r="L142" s="57"/>
    </row>
    <row r="143" spans="1:12" s="1979" customFormat="1">
      <c r="A143" s="252"/>
      <c r="D143" s="1980"/>
      <c r="K143" s="57"/>
      <c r="L143" s="57"/>
    </row>
    <row r="144" spans="1:12" s="1979" customFormat="1">
      <c r="A144" s="252"/>
      <c r="D144" s="1980"/>
      <c r="K144" s="57"/>
      <c r="L144" s="57"/>
    </row>
    <row r="145" spans="1:12" s="1979" customFormat="1">
      <c r="A145" s="252"/>
      <c r="D145" s="1980"/>
      <c r="K145" s="57"/>
      <c r="L145" s="57"/>
    </row>
    <row r="146" spans="1:12" s="1979" customFormat="1">
      <c r="A146" s="252"/>
      <c r="D146" s="1980"/>
      <c r="K146" s="57"/>
      <c r="L146" s="57"/>
    </row>
    <row r="147" spans="1:12" s="1979" customFormat="1">
      <c r="A147" s="252"/>
      <c r="D147" s="1980"/>
      <c r="K147" s="57"/>
      <c r="L147" s="57"/>
    </row>
    <row r="148" spans="1:12" s="1979" customFormat="1">
      <c r="A148" s="252"/>
      <c r="D148" s="1980"/>
      <c r="K148" s="57"/>
      <c r="L148" s="57"/>
    </row>
    <row r="149" spans="1:12" s="1979" customFormat="1">
      <c r="A149" s="252"/>
      <c r="D149" s="1980"/>
      <c r="K149" s="57"/>
      <c r="L149" s="57"/>
    </row>
    <row r="150" spans="1:12" s="1979" customFormat="1">
      <c r="A150" s="252"/>
      <c r="D150" s="1980"/>
      <c r="K150" s="57"/>
      <c r="L150" s="57"/>
    </row>
    <row r="151" spans="1:12" s="1979" customFormat="1">
      <c r="A151" s="252"/>
      <c r="D151" s="1980"/>
      <c r="K151" s="57"/>
      <c r="L151" s="57"/>
    </row>
    <row r="152" spans="1:12" s="1979" customFormat="1">
      <c r="A152" s="252"/>
      <c r="D152" s="1980"/>
      <c r="K152" s="57"/>
      <c r="L152" s="57"/>
    </row>
    <row r="153" spans="1:12" s="1979" customFormat="1">
      <c r="A153" s="252"/>
      <c r="D153" s="1980"/>
      <c r="K153" s="57"/>
      <c r="L153" s="57"/>
    </row>
    <row r="154" spans="1:12" s="1979" customFormat="1">
      <c r="A154" s="252"/>
      <c r="D154" s="1980"/>
      <c r="K154" s="57"/>
      <c r="L154" s="57"/>
    </row>
    <row r="155" spans="1:12" s="1979" customFormat="1">
      <c r="A155" s="252"/>
      <c r="D155" s="1980"/>
      <c r="K155" s="57"/>
      <c r="L155" s="57"/>
    </row>
    <row r="156" spans="1:12" s="1979" customFormat="1">
      <c r="A156" s="252"/>
      <c r="D156" s="1980"/>
      <c r="K156" s="57"/>
      <c r="L156" s="57"/>
    </row>
    <row r="157" spans="1:12" s="1979" customFormat="1">
      <c r="A157" s="252"/>
      <c r="D157" s="1980"/>
      <c r="K157" s="57"/>
      <c r="L157" s="57"/>
    </row>
    <row r="158" spans="1:12" s="1979" customFormat="1">
      <c r="A158" s="252"/>
      <c r="D158" s="1980"/>
      <c r="K158" s="57"/>
      <c r="L158" s="57"/>
    </row>
    <row r="159" spans="1:12" s="1979" customFormat="1">
      <c r="A159" s="252"/>
      <c r="D159" s="1980"/>
      <c r="K159" s="57"/>
      <c r="L159" s="57"/>
    </row>
    <row r="160" spans="1:12" s="1979" customFormat="1">
      <c r="A160" s="252"/>
      <c r="D160" s="1980"/>
      <c r="K160" s="57"/>
      <c r="L160" s="57"/>
    </row>
    <row r="161" spans="1:12" s="1979" customFormat="1">
      <c r="A161" s="252"/>
      <c r="D161" s="1980"/>
      <c r="K161" s="57"/>
      <c r="L161" s="57"/>
    </row>
    <row r="162" spans="1:12" s="1979" customFormat="1">
      <c r="A162" s="252"/>
      <c r="D162" s="1980"/>
      <c r="K162" s="57"/>
      <c r="L162" s="57"/>
    </row>
    <row r="163" spans="1:12" s="1979" customFormat="1">
      <c r="A163" s="252"/>
      <c r="D163" s="1980"/>
      <c r="K163" s="57"/>
      <c r="L163" s="57"/>
    </row>
    <row r="164" spans="1:12" s="1979" customFormat="1">
      <c r="A164" s="252"/>
      <c r="D164" s="1980"/>
      <c r="K164" s="57"/>
      <c r="L164" s="57"/>
    </row>
    <row r="165" spans="1:12" s="1979" customFormat="1">
      <c r="A165" s="252"/>
      <c r="D165" s="1980"/>
      <c r="K165" s="57"/>
      <c r="L165" s="57"/>
    </row>
    <row r="166" spans="1:12" s="1979" customFormat="1">
      <c r="A166" s="252"/>
      <c r="D166" s="1980"/>
      <c r="K166" s="57"/>
      <c r="L166" s="57"/>
    </row>
    <row r="167" spans="1:12" s="1979" customFormat="1">
      <c r="A167" s="252"/>
      <c r="D167" s="1980"/>
      <c r="K167" s="57"/>
      <c r="L167" s="57"/>
    </row>
    <row r="168" spans="1:12" s="1979" customFormat="1">
      <c r="A168" s="252"/>
      <c r="D168" s="1980"/>
      <c r="K168" s="57"/>
      <c r="L168" s="57"/>
    </row>
    <row r="169" spans="1:12" s="1979" customFormat="1">
      <c r="A169" s="252"/>
      <c r="D169" s="1980"/>
      <c r="K169" s="57"/>
      <c r="L169" s="57"/>
    </row>
    <row r="170" spans="1:12" s="1979" customFormat="1">
      <c r="A170" s="252"/>
      <c r="D170" s="1980"/>
      <c r="K170" s="57"/>
      <c r="L170" s="57"/>
    </row>
    <row r="171" spans="1:12" s="1979" customFormat="1">
      <c r="A171" s="252"/>
      <c r="D171" s="1980"/>
      <c r="K171" s="57"/>
      <c r="L171" s="57"/>
    </row>
    <row r="172" spans="1:12" s="1979" customFormat="1">
      <c r="A172" s="252"/>
      <c r="D172" s="1980"/>
      <c r="K172" s="57"/>
      <c r="L172" s="57"/>
    </row>
    <row r="173" spans="1:12" s="1979" customFormat="1">
      <c r="A173" s="252"/>
      <c r="D173" s="1980"/>
      <c r="K173" s="57"/>
      <c r="L173" s="57"/>
    </row>
    <row r="174" spans="1:12" s="1979" customFormat="1">
      <c r="A174" s="252"/>
      <c r="D174" s="1980"/>
      <c r="K174" s="57"/>
      <c r="L174" s="57"/>
    </row>
    <row r="175" spans="1:12" s="1979" customFormat="1">
      <c r="A175" s="252"/>
      <c r="D175" s="1980"/>
      <c r="K175" s="57"/>
      <c r="L175" s="57"/>
    </row>
    <row r="176" spans="1:12" s="1979" customFormat="1">
      <c r="A176" s="252"/>
      <c r="D176" s="1980"/>
      <c r="K176" s="57"/>
      <c r="L176" s="57"/>
    </row>
    <row r="177" spans="1:12" s="1979" customFormat="1">
      <c r="A177" s="252"/>
      <c r="D177" s="1980"/>
      <c r="K177" s="57"/>
      <c r="L177" s="57"/>
    </row>
    <row r="178" spans="1:12" s="1979" customFormat="1">
      <c r="A178" s="252"/>
      <c r="D178" s="1980"/>
      <c r="K178" s="57"/>
      <c r="L178" s="57"/>
    </row>
    <row r="179" spans="1:12" s="1979" customFormat="1">
      <c r="A179" s="252"/>
      <c r="D179" s="1980"/>
      <c r="K179" s="57"/>
      <c r="L179" s="57"/>
    </row>
    <row r="180" spans="1:12" s="1979" customFormat="1">
      <c r="A180" s="252"/>
      <c r="D180" s="1980"/>
      <c r="K180" s="57"/>
      <c r="L180" s="57"/>
    </row>
    <row r="181" spans="1:12" s="1979" customFormat="1">
      <c r="A181" s="252"/>
      <c r="D181" s="1980"/>
      <c r="K181" s="57"/>
      <c r="L181" s="57"/>
    </row>
    <row r="182" spans="1:12" s="1979" customFormat="1">
      <c r="A182" s="252"/>
      <c r="D182" s="1980"/>
      <c r="K182" s="57"/>
      <c r="L182" s="57"/>
    </row>
    <row r="183" spans="1:12" s="1979" customFormat="1">
      <c r="A183" s="252"/>
      <c r="D183" s="1980"/>
      <c r="K183" s="57"/>
      <c r="L183" s="57"/>
    </row>
    <row r="184" spans="1:12" s="1979" customFormat="1">
      <c r="A184" s="252"/>
      <c r="D184" s="1980"/>
      <c r="K184" s="57"/>
      <c r="L184" s="57"/>
    </row>
    <row r="185" spans="1:12" s="1979" customFormat="1">
      <c r="A185" s="252"/>
      <c r="D185" s="1980"/>
      <c r="K185" s="57"/>
      <c r="L185" s="57"/>
    </row>
    <row r="186" spans="1:12" s="1979" customFormat="1">
      <c r="A186" s="252"/>
      <c r="D186" s="1980"/>
      <c r="K186" s="57"/>
      <c r="L186" s="57"/>
    </row>
    <row r="187" spans="1:12" s="1979" customFormat="1">
      <c r="A187" s="252"/>
      <c r="D187" s="1980"/>
      <c r="K187" s="57"/>
      <c r="L187" s="57"/>
    </row>
    <row r="188" spans="1:12" s="1979" customFormat="1">
      <c r="A188" s="252"/>
      <c r="D188" s="1980"/>
      <c r="K188" s="57"/>
      <c r="L188" s="57"/>
    </row>
    <row r="189" spans="1:12" s="1979" customFormat="1">
      <c r="A189" s="252"/>
      <c r="D189" s="1980"/>
      <c r="K189" s="57"/>
      <c r="L189" s="57"/>
    </row>
    <row r="190" spans="1:12" s="1979" customFormat="1">
      <c r="A190" s="252"/>
      <c r="D190" s="1980"/>
      <c r="K190" s="57"/>
      <c r="L190" s="57"/>
    </row>
    <row r="191" spans="1:12" s="1979" customFormat="1">
      <c r="A191" s="252"/>
      <c r="D191" s="1980"/>
      <c r="K191" s="57"/>
      <c r="L191" s="57"/>
    </row>
    <row r="192" spans="1:12" s="1979" customFormat="1">
      <c r="A192" s="252"/>
      <c r="D192" s="1980"/>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2" sqref="I12"/>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85" t="s">
        <v>1663</v>
      </c>
      <c r="B1" s="3386"/>
      <c r="C1" s="3386"/>
      <c r="D1" s="3386"/>
      <c r="E1" s="3386"/>
      <c r="F1" s="3386"/>
      <c r="G1" s="3386"/>
      <c r="H1" s="1983"/>
      <c r="I1" s="1984"/>
      <c r="J1" s="1985"/>
      <c r="K1" s="1983"/>
      <c r="L1" s="1984"/>
      <c r="M1" s="1985"/>
      <c r="N1" s="1983"/>
      <c r="O1" s="1984"/>
      <c r="P1" s="1985"/>
      <c r="Q1" s="1986"/>
      <c r="R1" s="1987"/>
    </row>
    <row r="2" spans="1:18" ht="14.25" thickBot="1">
      <c r="A2" s="1215"/>
      <c r="B2" s="1216"/>
      <c r="C2" s="1217" t="s">
        <v>1664</v>
      </c>
      <c r="D2" s="1218"/>
      <c r="E2" s="1219"/>
      <c r="F2" s="1220"/>
      <c r="G2" s="1217" t="s">
        <v>1665</v>
      </c>
      <c r="H2" s="1989"/>
      <c r="I2" s="1989"/>
      <c r="J2" s="1989"/>
      <c r="K2" s="1989"/>
      <c r="L2" s="1989"/>
      <c r="M2" s="1989"/>
      <c r="N2" s="1989"/>
      <c r="O2" s="1989"/>
      <c r="P2" s="1989"/>
      <c r="Q2" s="1989"/>
      <c r="R2" s="1989"/>
    </row>
    <row r="3" spans="1:18" ht="42.75">
      <c r="A3" s="1221" t="s">
        <v>1666</v>
      </c>
      <c r="B3" s="1222" t="s">
        <v>1653</v>
      </c>
      <c r="C3" s="3200" t="s">
        <v>3029</v>
      </c>
      <c r="D3" s="1990"/>
      <c r="E3" s="1223" t="s">
        <v>1666</v>
      </c>
      <c r="F3" s="1224" t="s">
        <v>1654</v>
      </c>
      <c r="G3" s="3030" t="s">
        <v>2916</v>
      </c>
      <c r="H3" s="1989"/>
      <c r="I3" s="1989"/>
      <c r="J3" s="1989"/>
      <c r="K3" s="1989"/>
      <c r="L3" s="1989"/>
      <c r="M3" s="1989"/>
      <c r="N3" s="1989"/>
      <c r="O3" s="1989"/>
      <c r="P3" s="1989"/>
      <c r="Q3" s="1989"/>
      <c r="R3" s="1989"/>
    </row>
    <row r="4" spans="1:18" ht="40.5">
      <c r="A4" s="1223"/>
      <c r="B4" s="1225" t="s">
        <v>1667</v>
      </c>
      <c r="C4" s="3201" t="s">
        <v>3030</v>
      </c>
      <c r="D4" s="1990"/>
      <c r="E4" s="1226"/>
      <c r="F4" s="1227" t="s">
        <v>1668</v>
      </c>
      <c r="G4" s="3028" t="s">
        <v>2913</v>
      </c>
      <c r="H4" s="1989"/>
      <c r="I4" s="1989"/>
      <c r="J4" s="1989"/>
      <c r="K4" s="1989"/>
      <c r="L4" s="1989"/>
      <c r="M4" s="1989"/>
      <c r="N4" s="1989"/>
      <c r="O4" s="1989"/>
      <c r="P4" s="1989"/>
      <c r="Q4" s="1989"/>
      <c r="R4" s="1989"/>
    </row>
    <row r="5" spans="1:18" ht="27">
      <c r="A5" s="1223"/>
      <c r="B5" s="1225" t="s">
        <v>1669</v>
      </c>
      <c r="C5" s="3027"/>
      <c r="D5" s="1990"/>
      <c r="E5" s="1226"/>
      <c r="F5" s="1225" t="s">
        <v>2541</v>
      </c>
      <c r="G5" s="3028" t="s">
        <v>2914</v>
      </c>
      <c r="H5" s="1989"/>
      <c r="I5" s="1989"/>
      <c r="J5" s="1989"/>
      <c r="K5" s="1989"/>
      <c r="L5" s="1989"/>
      <c r="M5" s="1989"/>
      <c r="N5" s="1989"/>
      <c r="O5" s="1989"/>
      <c r="P5" s="1989"/>
      <c r="Q5" s="1989"/>
      <c r="R5" s="1989"/>
    </row>
    <row r="6" spans="1:18" ht="27">
      <c r="A6" s="1223"/>
      <c r="B6" s="1225" t="s">
        <v>1655</v>
      </c>
      <c r="C6" s="3202" t="s">
        <v>3207</v>
      </c>
      <c r="D6" s="1990"/>
      <c r="E6" s="1226"/>
      <c r="F6" s="1225" t="s">
        <v>2542</v>
      </c>
      <c r="G6" s="3028" t="s">
        <v>2912</v>
      </c>
      <c r="H6" s="1989"/>
      <c r="I6" s="1989"/>
      <c r="J6" s="1989"/>
      <c r="K6" s="1989"/>
      <c r="L6" s="1989"/>
      <c r="M6" s="1989"/>
      <c r="N6" s="1989"/>
      <c r="O6" s="1989"/>
      <c r="P6" s="1989"/>
      <c r="Q6" s="1989"/>
      <c r="R6" s="1989"/>
    </row>
    <row r="7" spans="1:18" ht="41.25" thickBot="1">
      <c r="A7" s="1223"/>
      <c r="B7" s="1225" t="s">
        <v>2541</v>
      </c>
      <c r="C7" s="3201" t="s">
        <v>3030</v>
      </c>
      <c r="D7" s="1991"/>
      <c r="E7" s="1228"/>
      <c r="F7" s="1229" t="s">
        <v>1670</v>
      </c>
      <c r="G7" s="3031" t="s">
        <v>2915</v>
      </c>
      <c r="H7" s="1989"/>
      <c r="I7" s="1989"/>
      <c r="J7" s="1989"/>
      <c r="K7" s="1989"/>
      <c r="L7" s="1989"/>
      <c r="M7" s="1989"/>
      <c r="N7" s="1989"/>
      <c r="O7" s="1989"/>
      <c r="P7" s="1989"/>
      <c r="Q7" s="1989"/>
      <c r="R7" s="1989"/>
    </row>
    <row r="8" spans="1:18">
      <c r="A8" s="1223"/>
      <c r="B8" s="1225" t="s">
        <v>2542</v>
      </c>
      <c r="C8" s="3202" t="s">
        <v>3032</v>
      </c>
      <c r="D8" s="1991"/>
      <c r="E8" s="1991"/>
      <c r="F8" s="1536"/>
      <c r="G8" s="1536"/>
      <c r="H8" s="1989"/>
      <c r="I8" s="1989"/>
      <c r="J8" s="1989"/>
      <c r="K8" s="1989"/>
      <c r="L8" s="1989"/>
      <c r="M8" s="1989"/>
      <c r="N8" s="1989"/>
      <c r="O8" s="1989"/>
      <c r="P8" s="1989"/>
      <c r="Q8" s="1989"/>
      <c r="R8" s="1989"/>
    </row>
    <row r="9" spans="1:18">
      <c r="A9" s="1223"/>
      <c r="B9" s="1225" t="s">
        <v>1656</v>
      </c>
      <c r="C9" s="3201" t="s">
        <v>3207</v>
      </c>
      <c r="D9" s="1990"/>
      <c r="E9" s="1991"/>
      <c r="F9" s="1536"/>
      <c r="G9" s="1536"/>
      <c r="H9" s="1989"/>
      <c r="I9" s="1989"/>
      <c r="J9" s="1989"/>
      <c r="K9" s="1989"/>
      <c r="L9" s="1989"/>
      <c r="M9" s="1989"/>
      <c r="N9" s="1989"/>
      <c r="O9" s="1989"/>
      <c r="P9" s="1989"/>
      <c r="Q9" s="1989"/>
      <c r="R9" s="1989"/>
    </row>
    <row r="10" spans="1:18" s="1997" customFormat="1" ht="15" thickBot="1">
      <c r="A10" s="1230"/>
      <c r="B10" s="1231" t="s">
        <v>1671</v>
      </c>
      <c r="C10" s="3029"/>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8"/>
      <c r="E13" s="2538"/>
      <c r="F13" s="2538"/>
      <c r="G13" s="2538"/>
    </row>
    <row r="14" spans="1:18" ht="14.25" thickBot="1">
      <c r="A14" s="1232"/>
      <c r="B14" s="1233"/>
      <c r="C14" s="1234" t="s">
        <v>1664</v>
      </c>
      <c r="D14" s="1990"/>
      <c r="E14" s="1235"/>
      <c r="F14" s="1235"/>
      <c r="G14" s="1217" t="s">
        <v>1665</v>
      </c>
    </row>
    <row r="15" spans="1:18" ht="40.5">
      <c r="A15" s="2548" t="s">
        <v>1657</v>
      </c>
      <c r="B15" s="1236" t="s">
        <v>1653</v>
      </c>
      <c r="C15" s="1237" t="str">
        <f>C3</f>
        <v>一般</v>
      </c>
      <c r="D15" s="1990"/>
      <c r="E15" s="2545" t="s">
        <v>1658</v>
      </c>
      <c r="F15" s="1236" t="s">
        <v>1673</v>
      </c>
      <c r="G15" s="1238" t="str">
        <f>G3</f>
        <v>估价对象位于XX开发区，园区建设成熟度XX，产业集聚程度XX</v>
      </c>
    </row>
    <row r="16" spans="1:18" ht="40.5">
      <c r="A16" s="2549"/>
      <c r="B16" s="1239" t="s">
        <v>1667</v>
      </c>
      <c r="C16" s="1240" t="str">
        <f>C4</f>
        <v>一般</v>
      </c>
      <c r="D16" s="1990"/>
      <c r="E16" s="2546"/>
      <c r="F16" s="1241" t="s">
        <v>1668</v>
      </c>
      <c r="G16" s="1003" t="str">
        <f>G4</f>
        <v>估价对象周边道路状况、公共交通通达情况、停车便捷程度，综合评价交通便捷度较好</v>
      </c>
    </row>
    <row r="17" spans="1:7" ht="14.25">
      <c r="A17" s="2549"/>
      <c r="B17" s="1239" t="s">
        <v>1669</v>
      </c>
      <c r="C17" s="1240">
        <f>C5</f>
        <v>0</v>
      </c>
      <c r="D17" s="1991"/>
      <c r="E17" s="2546"/>
      <c r="F17" s="1241" t="s">
        <v>1674</v>
      </c>
      <c r="G17" s="2746"/>
    </row>
    <row r="18" spans="1:7" ht="40.5">
      <c r="A18" s="2549"/>
      <c r="B18" s="1241" t="s">
        <v>1655</v>
      </c>
      <c r="C18" s="1003" t="str">
        <f>C6</f>
        <v>一般</v>
      </c>
      <c r="D18" s="1991"/>
      <c r="E18" s="2546"/>
      <c r="F18" s="1241" t="s">
        <v>1670</v>
      </c>
      <c r="G18" s="1003" t="str">
        <f>G7</f>
        <v>该园区内是否有污染型企业，绿化情况，卫生条件，整体环境状况判断</v>
      </c>
    </row>
    <row r="19" spans="1:7" ht="27">
      <c r="A19" s="2549"/>
      <c r="B19" s="1241" t="s">
        <v>1659</v>
      </c>
      <c r="C19" s="2746"/>
      <c r="D19" s="1990"/>
      <c r="E19" s="2546"/>
      <c r="F19" s="1225" t="s">
        <v>2541</v>
      </c>
      <c r="G19" s="1003" t="str">
        <f>G5</f>
        <v>估价对象所在区域公共配套设施齐备情况</v>
      </c>
    </row>
    <row r="20" spans="1:7" ht="27">
      <c r="A20" s="2549"/>
      <c r="B20" s="1241" t="s">
        <v>1660</v>
      </c>
      <c r="C20" s="1240" t="str">
        <f>C9</f>
        <v>一般</v>
      </c>
      <c r="D20" s="1991"/>
      <c r="E20" s="2546"/>
      <c r="F20" s="1225" t="s">
        <v>2542</v>
      </c>
      <c r="G20" s="1003" t="str">
        <f>G6</f>
        <v>估价对象所在区域基础设施水平</v>
      </c>
    </row>
    <row r="21" spans="1:7" ht="14.25">
      <c r="A21" s="2549"/>
      <c r="B21" s="1225" t="s">
        <v>2541</v>
      </c>
      <c r="C21" s="1003" t="str">
        <f>C7</f>
        <v>一般</v>
      </c>
      <c r="D21" s="1990"/>
      <c r="E21" s="2546"/>
      <c r="F21" s="1241" t="s">
        <v>1661</v>
      </c>
      <c r="G21" s="3032"/>
    </row>
    <row r="22" spans="1:7" ht="14.25">
      <c r="A22" s="2549"/>
      <c r="B22" s="1225" t="s">
        <v>2542</v>
      </c>
      <c r="C22" s="1003" t="str">
        <f>C8</f>
        <v>六通</v>
      </c>
      <c r="D22" s="1990"/>
      <c r="E22" s="2546"/>
      <c r="F22" s="1241" t="s">
        <v>1671</v>
      </c>
      <c r="G22" s="2746"/>
    </row>
    <row r="23" spans="1:7" ht="15" thickBot="1">
      <c r="A23" s="2549"/>
      <c r="B23" s="1241" t="s">
        <v>1661</v>
      </c>
      <c r="C23" s="3032"/>
      <c r="E23" s="2547"/>
      <c r="F23" s="1242" t="s">
        <v>1675</v>
      </c>
      <c r="G23" s="3033"/>
    </row>
    <row r="24" spans="1:7" ht="14.25" thickBot="1">
      <c r="A24" s="2550"/>
      <c r="B24" s="1242" t="s">
        <v>1662</v>
      </c>
      <c r="C24" s="1243">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I23"/>
  <sheetViews>
    <sheetView topLeftCell="A4" workbookViewId="0">
      <selection activeCell="G18" sqref="G18"/>
    </sheetView>
  </sheetViews>
  <sheetFormatPr defaultColWidth="14.625" defaultRowHeight="13.5"/>
  <cols>
    <col min="1" max="1" width="24.375" customWidth="1"/>
  </cols>
  <sheetData>
    <row r="1" spans="1:9" ht="16.5">
      <c r="A1" s="2991" t="s">
        <v>2839</v>
      </c>
      <c r="B1" s="2991">
        <f>SUM(B14:B23)</f>
        <v>412061.6</v>
      </c>
      <c r="C1" s="2992"/>
      <c r="D1" s="2992"/>
      <c r="E1" s="2992"/>
      <c r="F1" s="2992"/>
    </row>
    <row r="2" spans="1:9" ht="16.5">
      <c r="A2" s="2991" t="s">
        <v>2840</v>
      </c>
      <c r="B2" s="2991">
        <f>SUM(C14:C23)</f>
        <v>115161.78</v>
      </c>
      <c r="C2" s="2992"/>
      <c r="D2" s="2992"/>
      <c r="E2" s="2992"/>
      <c r="F2" s="2992"/>
    </row>
    <row r="3" spans="1:9" ht="16.5">
      <c r="A3" s="2991" t="s">
        <v>2841</v>
      </c>
      <c r="B3" s="2993">
        <f>项目基本情况!D3</f>
        <v>43692</v>
      </c>
      <c r="C3" s="2992"/>
      <c r="D3" s="2992"/>
      <c r="E3" s="2992"/>
      <c r="F3" s="2992"/>
    </row>
    <row r="4" spans="1:9" ht="33">
      <c r="A4" s="2991" t="s">
        <v>2842</v>
      </c>
      <c r="B4" s="2991" t="s">
        <v>2843</v>
      </c>
      <c r="C4" s="2991" t="s">
        <v>2844</v>
      </c>
      <c r="D4" s="2991" t="s">
        <v>2845</v>
      </c>
      <c r="E4" s="2992"/>
      <c r="F4" s="2992"/>
    </row>
    <row r="5" spans="1:9" ht="16.5">
      <c r="A5" s="2991" t="s">
        <v>2846</v>
      </c>
      <c r="B5" s="2991">
        <f ca="1">SUM(D14:D23)</f>
        <v>70219</v>
      </c>
      <c r="C5" s="2991">
        <f ca="1">ROUND(B5*10000/$B$1,0)</f>
        <v>1704</v>
      </c>
      <c r="D5" s="2991">
        <f ca="1">ROUND(B5*10000/$B$2,0)</f>
        <v>6097</v>
      </c>
      <c r="E5" s="2992"/>
      <c r="F5" s="2992"/>
    </row>
    <row r="6" spans="1:9" ht="16.5">
      <c r="A6" s="2991" t="s">
        <v>2847</v>
      </c>
      <c r="B6" s="2991">
        <f ca="1">SUM(G14:G23)</f>
        <v>70219</v>
      </c>
      <c r="C6" s="2991">
        <f t="shared" ref="C6:C8" ca="1" si="0">ROUND(B6*10000/$B$1,0)</f>
        <v>1704</v>
      </c>
      <c r="D6" s="2991">
        <f t="shared" ref="D6:D8" ca="1" si="1">ROUND(B6*10000/$B$2,0)</f>
        <v>6097</v>
      </c>
      <c r="E6" s="2992"/>
      <c r="F6" s="2992"/>
    </row>
    <row r="7" spans="1:9" ht="16.5">
      <c r="A7" s="2991" t="s">
        <v>2848</v>
      </c>
      <c r="B7" s="2991">
        <f>SUM(H14:H23)</f>
        <v>0</v>
      </c>
      <c r="C7" s="2991">
        <f t="shared" si="0"/>
        <v>0</v>
      </c>
      <c r="D7" s="2991">
        <f t="shared" si="1"/>
        <v>0</v>
      </c>
      <c r="E7" s="2992"/>
      <c r="F7" s="2992"/>
    </row>
    <row r="8" spans="1:9" ht="16.5">
      <c r="A8" s="2991" t="s">
        <v>2849</v>
      </c>
      <c r="B8" s="2991">
        <f>SUM(I14:I23)</f>
        <v>0</v>
      </c>
      <c r="C8" s="2991">
        <f t="shared" si="0"/>
        <v>0</v>
      </c>
      <c r="D8" s="2991">
        <f t="shared" si="1"/>
        <v>0</v>
      </c>
      <c r="E8" s="2992"/>
      <c r="F8" s="2992"/>
    </row>
    <row r="9" spans="1:9" ht="16.5">
      <c r="A9" s="2991" t="s">
        <v>2850</v>
      </c>
      <c r="B9" s="2994"/>
      <c r="C9" s="2992"/>
      <c r="D9" s="2992"/>
      <c r="E9" s="2992"/>
      <c r="F9" s="2992"/>
    </row>
    <row r="10" spans="1:9" ht="16.5">
      <c r="A10" s="2991" t="s">
        <v>2851</v>
      </c>
      <c r="B10" s="2994"/>
      <c r="C10" s="2992"/>
      <c r="D10" s="2992"/>
      <c r="E10" s="2992"/>
      <c r="F10" s="2992"/>
    </row>
    <row r="11" spans="1:9" ht="16.5">
      <c r="A11" s="2991" t="s">
        <v>2868</v>
      </c>
      <c r="B11" s="2994"/>
      <c r="C11" s="2992"/>
      <c r="D11" s="2992"/>
      <c r="E11" s="2992"/>
      <c r="F11" s="2992"/>
    </row>
    <row r="12" spans="1:9" ht="16.5">
      <c r="A12" s="2992"/>
      <c r="B12" s="2992"/>
      <c r="C12" s="2992"/>
      <c r="D12" s="2992"/>
      <c r="E12" s="2992"/>
      <c r="F12" s="2992"/>
    </row>
    <row r="13" spans="1:9" ht="33">
      <c r="A13" s="2997" t="s">
        <v>2867</v>
      </c>
      <c r="B13" s="2995" t="s">
        <v>2839</v>
      </c>
      <c r="C13" s="2995" t="s">
        <v>2840</v>
      </c>
      <c r="D13" s="2995" t="s">
        <v>2852</v>
      </c>
      <c r="E13" s="2991" t="s">
        <v>2866</v>
      </c>
      <c r="F13" s="2991" t="s">
        <v>2845</v>
      </c>
      <c r="G13" s="2995" t="s">
        <v>2853</v>
      </c>
      <c r="H13" s="2995" t="s">
        <v>2854</v>
      </c>
      <c r="I13" s="2995" t="s">
        <v>2855</v>
      </c>
    </row>
    <row r="14" spans="1:9" ht="16.5">
      <c r="A14" s="2998" t="s">
        <v>2865</v>
      </c>
      <c r="B14" s="3287">
        <f>结果表!L38</f>
        <v>73123.75</v>
      </c>
      <c r="C14" s="2995">
        <f>结果表!K38</f>
        <v>20176.84</v>
      </c>
      <c r="D14" s="2995">
        <f ca="1">结果表!C42</f>
        <v>13998</v>
      </c>
      <c r="E14" s="2995">
        <f ca="1">ROUND(D14*10000/B14,0)</f>
        <v>1914</v>
      </c>
      <c r="F14" s="2995">
        <f ca="1">ROUND(D14*10000/C14,0)</f>
        <v>6938</v>
      </c>
      <c r="G14" s="2995">
        <f ca="1">结果表!C44</f>
        <v>13998</v>
      </c>
      <c r="H14" s="2995" t="str">
        <f>结果表!C45</f>
        <v>——</v>
      </c>
      <c r="I14" s="2995" t="str">
        <f>结果表!C46</f>
        <v>——</v>
      </c>
    </row>
    <row r="15" spans="1:9" ht="16.5">
      <c r="A15" s="2998" t="s">
        <v>2856</v>
      </c>
      <c r="B15" s="3266">
        <f>[1]系统读取表!$B$14</f>
        <v>97467.199999999983</v>
      </c>
      <c r="C15" s="3261">
        <f>[1]系统读取表!$C$14</f>
        <v>26678.44</v>
      </c>
      <c r="D15" s="3261">
        <f ca="1">[1]系统读取表!$D$14</f>
        <v>18658</v>
      </c>
      <c r="E15" s="2995">
        <f t="shared" ref="E15:E23" ca="1" si="2">ROUND(D15*10000/B15,0)</f>
        <v>1914</v>
      </c>
      <c r="F15" s="2995">
        <f t="shared" ref="F15:F23" ca="1" si="3">ROUND(D15*10000/C15,0)</f>
        <v>6994</v>
      </c>
      <c r="G15" s="3261">
        <f ca="1">D15</f>
        <v>18658</v>
      </c>
      <c r="H15" s="2996"/>
      <c r="I15" s="2999"/>
    </row>
    <row r="16" spans="1:9" ht="16.5">
      <c r="A16" s="2998" t="s">
        <v>2857</v>
      </c>
      <c r="B16" s="3267">
        <f>[2]系统读取表!$B$14</f>
        <v>150170.35</v>
      </c>
      <c r="C16" s="3261">
        <f>[2]系统读取表!$C$14</f>
        <v>47245.62</v>
      </c>
      <c r="D16" s="3261">
        <f ca="1">[2]系统读取表!$D$14</f>
        <v>29449</v>
      </c>
      <c r="E16" s="2995">
        <f t="shared" ca="1" si="2"/>
        <v>1961</v>
      </c>
      <c r="F16" s="2995">
        <f t="shared" ca="1" si="3"/>
        <v>6233</v>
      </c>
      <c r="G16" s="3261">
        <f ca="1">D16</f>
        <v>29449</v>
      </c>
      <c r="H16" s="2996"/>
      <c r="I16" s="2999"/>
    </row>
    <row r="17" spans="1:9" ht="16.5">
      <c r="A17" s="2998" t="s">
        <v>2858</v>
      </c>
      <c r="B17" s="3266">
        <f>[3]系统读取表!$B$14</f>
        <v>91300.3</v>
      </c>
      <c r="C17" s="3261">
        <f>[3]系统读取表!$C$14</f>
        <v>21060.880000000001</v>
      </c>
      <c r="D17" s="3261">
        <f ca="1">[3]系统读取表!$D$14</f>
        <v>8114</v>
      </c>
      <c r="E17" s="2995">
        <f t="shared" ca="1" si="2"/>
        <v>889</v>
      </c>
      <c r="F17" s="2995">
        <f t="shared" ca="1" si="3"/>
        <v>3853</v>
      </c>
      <c r="G17" s="3261">
        <f ca="1">D17</f>
        <v>8114</v>
      </c>
      <c r="H17" s="2996"/>
      <c r="I17" s="2999"/>
    </row>
    <row r="18" spans="1:9" ht="16.5">
      <c r="A18" s="2998" t="s">
        <v>2859</v>
      </c>
      <c r="B18" s="3261"/>
      <c r="C18" s="3261"/>
      <c r="D18" s="3261"/>
      <c r="E18" s="2995" t="e">
        <f t="shared" si="2"/>
        <v>#DIV/0!</v>
      </c>
      <c r="F18" s="2995" t="e">
        <f t="shared" si="3"/>
        <v>#DIV/0!</v>
      </c>
      <c r="G18" s="2999"/>
      <c r="H18" s="2999"/>
      <c r="I18" s="2999"/>
    </row>
    <row r="19" spans="1:9" ht="16.5">
      <c r="A19" s="2998" t="s">
        <v>2860</v>
      </c>
      <c r="B19" s="2999"/>
      <c r="C19" s="2999"/>
      <c r="D19" s="2999"/>
      <c r="E19" s="2995" t="e">
        <f t="shared" si="2"/>
        <v>#DIV/0!</v>
      </c>
      <c r="F19" s="2995" t="e">
        <f t="shared" si="3"/>
        <v>#DIV/0!</v>
      </c>
      <c r="G19" s="2999"/>
      <c r="H19" s="2999"/>
      <c r="I19" s="2999"/>
    </row>
    <row r="20" spans="1:9" ht="16.5">
      <c r="A20" s="2998" t="s">
        <v>2861</v>
      </c>
      <c r="B20" s="2999"/>
      <c r="C20" s="2999"/>
      <c r="D20" s="2999"/>
      <c r="E20" s="2995" t="e">
        <f t="shared" si="2"/>
        <v>#DIV/0!</v>
      </c>
      <c r="F20" s="2995" t="e">
        <f t="shared" si="3"/>
        <v>#DIV/0!</v>
      </c>
      <c r="G20" s="2999"/>
      <c r="H20" s="2999"/>
      <c r="I20" s="2999"/>
    </row>
    <row r="21" spans="1:9" ht="16.5">
      <c r="A21" s="2998" t="s">
        <v>2862</v>
      </c>
      <c r="B21" s="2999"/>
      <c r="C21" s="2999"/>
      <c r="D21" s="2999"/>
      <c r="E21" s="2995" t="e">
        <f t="shared" si="2"/>
        <v>#DIV/0!</v>
      </c>
      <c r="F21" s="2995" t="e">
        <f t="shared" si="3"/>
        <v>#DIV/0!</v>
      </c>
      <c r="G21" s="2999"/>
      <c r="H21" s="2999"/>
      <c r="I21" s="2999"/>
    </row>
    <row r="22" spans="1:9" ht="16.5">
      <c r="A22" s="2998" t="s">
        <v>2863</v>
      </c>
      <c r="B22" s="2999"/>
      <c r="C22" s="2999"/>
      <c r="D22" s="2999"/>
      <c r="E22" s="2995" t="e">
        <f t="shared" si="2"/>
        <v>#DIV/0!</v>
      </c>
      <c r="F22" s="2995" t="e">
        <f t="shared" si="3"/>
        <v>#DIV/0!</v>
      </c>
      <c r="G22" s="2999"/>
      <c r="H22" s="2999"/>
      <c r="I22" s="2999"/>
    </row>
    <row r="23" spans="1:9" ht="16.5">
      <c r="A23" s="2998" t="s">
        <v>2864</v>
      </c>
      <c r="B23" s="2999"/>
      <c r="C23" s="2999"/>
      <c r="D23" s="2999"/>
      <c r="E23" s="2991" t="e">
        <f t="shared" si="2"/>
        <v>#DIV/0!</v>
      </c>
      <c r="F23" s="2991" t="e">
        <f t="shared" si="3"/>
        <v>#DIV/0!</v>
      </c>
      <c r="G23" s="2999"/>
      <c r="H23" s="2999"/>
      <c r="I23" s="2999"/>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0" zoomScaleNormal="100" zoomScaleSheetLayoutView="100" zoomScalePageLayoutView="80" workbookViewId="0">
      <selection activeCell="C115" sqref="C115"/>
    </sheetView>
  </sheetViews>
  <sheetFormatPr defaultColWidth="12.625" defaultRowHeight="21.75" customHeight="1"/>
  <cols>
    <col min="1" max="1" width="13.125" style="1244" bestFit="1" customWidth="1"/>
    <col min="2"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7" t="s">
        <v>2053</v>
      </c>
      <c r="B1" s="1758"/>
      <c r="C1" s="1786" t="s">
        <v>2054</v>
      </c>
      <c r="D1" s="1787" t="s">
        <v>3268</v>
      </c>
      <c r="E1" s="1786" t="s">
        <v>2055</v>
      </c>
      <c r="F1" s="1788" t="s">
        <v>3033</v>
      </c>
      <c r="G1" s="310"/>
      <c r="H1" s="310"/>
      <c r="I1" s="310"/>
      <c r="J1" s="2010"/>
      <c r="K1" s="2010"/>
      <c r="L1" s="2010"/>
      <c r="M1" s="2010"/>
      <c r="N1" s="2010"/>
      <c r="O1" s="2010"/>
      <c r="P1" s="2010"/>
      <c r="Q1" s="2010"/>
      <c r="R1" s="2010"/>
      <c r="S1" s="2010"/>
      <c r="T1" s="2010"/>
      <c r="U1" s="2010"/>
      <c r="V1" s="2010"/>
    </row>
    <row r="2" spans="1:22" ht="21.75" customHeight="1" thickBot="1">
      <c r="A2" s="3423" t="str">
        <f>项目基本情况!K2</f>
        <v>广西省柳州市阳和工业新区出让国有建设用地使用权</v>
      </c>
      <c r="B2" s="3424"/>
      <c r="C2" s="3425"/>
      <c r="D2" s="3425"/>
      <c r="E2" s="3425"/>
      <c r="F2" s="3425"/>
      <c r="G2" s="3424"/>
      <c r="H2" s="3424"/>
      <c r="I2" s="3426"/>
      <c r="J2" s="2011"/>
      <c r="K2" s="2010"/>
      <c r="L2" s="2010"/>
      <c r="M2" s="2010"/>
      <c r="N2" s="2010"/>
      <c r="O2" s="2010"/>
      <c r="P2" s="2010"/>
      <c r="Q2" s="2010"/>
      <c r="R2" s="2010"/>
      <c r="S2" s="2010"/>
      <c r="T2" s="2010"/>
      <c r="U2" s="2010"/>
      <c r="V2" s="2010"/>
    </row>
    <row r="3" spans="1:22" ht="14.25">
      <c r="A3" s="3416" t="s">
        <v>298</v>
      </c>
      <c r="B3" s="3417"/>
      <c r="C3" s="3417"/>
      <c r="D3" s="3417"/>
      <c r="E3" s="3417"/>
      <c r="F3" s="3417"/>
      <c r="G3" s="3417"/>
      <c r="H3" s="3417"/>
      <c r="I3" s="3417"/>
      <c r="J3" s="2011"/>
      <c r="K3" s="2010"/>
      <c r="L3" s="2010"/>
      <c r="M3" s="2010"/>
      <c r="N3" s="2010"/>
      <c r="O3" s="2010"/>
      <c r="P3" s="2010"/>
      <c r="Q3" s="2010"/>
      <c r="R3" s="2010"/>
      <c r="S3" s="2010"/>
      <c r="T3" s="2010"/>
      <c r="U3" s="2010"/>
      <c r="V3" s="2010"/>
    </row>
    <row r="4" spans="1:22" ht="14.25">
      <c r="A4" s="257" t="s">
        <v>299</v>
      </c>
      <c r="B4" s="258" t="s">
        <v>300</v>
      </c>
      <c r="C4" s="259" t="s">
        <v>3034</v>
      </c>
      <c r="D4" s="259" t="s">
        <v>3035</v>
      </c>
      <c r="E4" s="3388" t="s">
        <v>301</v>
      </c>
      <c r="F4" s="3389"/>
      <c r="G4" s="3389"/>
      <c r="H4" s="3389"/>
      <c r="I4" s="3418"/>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87" t="s">
        <v>302</v>
      </c>
      <c r="B5" s="3413">
        <v>25</v>
      </c>
      <c r="C5" s="3411"/>
      <c r="D5" s="3415"/>
      <c r="E5" s="260" t="s">
        <v>303</v>
      </c>
      <c r="F5" s="261"/>
      <c r="G5" s="261"/>
      <c r="H5" s="261"/>
      <c r="I5" s="262"/>
      <c r="J5" s="2011"/>
      <c r="K5" s="2010"/>
      <c r="L5" s="2010"/>
      <c r="M5" s="2010"/>
      <c r="N5" s="2010"/>
      <c r="O5" s="2010"/>
      <c r="P5" s="2010"/>
      <c r="Q5" s="2010"/>
      <c r="R5" s="2010"/>
      <c r="S5" s="2010"/>
      <c r="T5" s="2010"/>
      <c r="U5" s="2010"/>
      <c r="V5" s="2010"/>
    </row>
    <row r="6" spans="1:22" ht="14.25">
      <c r="A6" s="3387"/>
      <c r="B6" s="3413"/>
      <c r="C6" s="3414"/>
      <c r="D6" s="3415"/>
      <c r="E6" s="260" t="s">
        <v>304</v>
      </c>
      <c r="F6" s="261"/>
      <c r="G6" s="261"/>
      <c r="H6" s="261"/>
      <c r="I6" s="262"/>
      <c r="J6" s="2011"/>
      <c r="K6" s="2010"/>
      <c r="L6" s="2010"/>
      <c r="M6" s="2010"/>
      <c r="N6" s="2010"/>
      <c r="O6" s="2010"/>
      <c r="P6" s="2010"/>
      <c r="Q6" s="2010"/>
      <c r="R6" s="2010"/>
      <c r="S6" s="2010"/>
      <c r="T6" s="2010"/>
      <c r="U6" s="2010"/>
      <c r="V6" s="2010"/>
    </row>
    <row r="7" spans="1:22" ht="14.25">
      <c r="A7" s="3387"/>
      <c r="B7" s="3413"/>
      <c r="C7" s="3412"/>
      <c r="D7" s="3415"/>
      <c r="E7" s="260" t="s">
        <v>305</v>
      </c>
      <c r="F7" s="261"/>
      <c r="G7" s="261"/>
      <c r="H7" s="261"/>
      <c r="I7" s="262"/>
      <c r="J7" s="2011"/>
      <c r="K7" s="2010"/>
      <c r="L7" s="2010"/>
      <c r="M7" s="2010"/>
      <c r="N7" s="2010"/>
      <c r="O7" s="2010"/>
      <c r="P7" s="2010"/>
      <c r="Q7" s="2010"/>
      <c r="R7" s="2010"/>
      <c r="S7" s="2010"/>
      <c r="T7" s="2010"/>
      <c r="U7" s="2010"/>
      <c r="V7" s="2010"/>
    </row>
    <row r="8" spans="1:22" ht="14.25">
      <c r="A8" s="3387" t="s">
        <v>306</v>
      </c>
      <c r="B8" s="3413">
        <v>15</v>
      </c>
      <c r="C8" s="3411"/>
      <c r="D8" s="3415"/>
      <c r="E8" s="260" t="s">
        <v>307</v>
      </c>
      <c r="F8" s="261"/>
      <c r="G8" s="261"/>
      <c r="H8" s="261"/>
      <c r="I8" s="262"/>
      <c r="J8" s="2011"/>
      <c r="K8" s="2010"/>
      <c r="L8" s="2010"/>
      <c r="M8" s="2010"/>
      <c r="N8" s="2010"/>
      <c r="O8" s="2010"/>
      <c r="P8" s="2010"/>
      <c r="Q8" s="2010"/>
      <c r="R8" s="2010"/>
      <c r="S8" s="2010"/>
      <c r="T8" s="2010"/>
      <c r="U8" s="2010"/>
      <c r="V8" s="2010"/>
    </row>
    <row r="9" spans="1:22" ht="14.25">
      <c r="A9" s="3387"/>
      <c r="B9" s="3413"/>
      <c r="C9" s="3412"/>
      <c r="D9" s="3415"/>
      <c r="E9" s="260" t="s">
        <v>308</v>
      </c>
      <c r="F9" s="261"/>
      <c r="G9" s="261"/>
      <c r="H9" s="261"/>
      <c r="I9" s="262"/>
      <c r="J9" s="2011"/>
      <c r="K9" s="2010"/>
      <c r="L9" s="2010"/>
      <c r="M9" s="2010"/>
      <c r="N9" s="2010"/>
      <c r="O9" s="2010"/>
      <c r="P9" s="2010"/>
      <c r="Q9" s="2010"/>
      <c r="R9" s="2010"/>
      <c r="S9" s="2010"/>
      <c r="T9" s="2010"/>
      <c r="U9" s="2010"/>
      <c r="V9" s="2010"/>
    </row>
    <row r="10" spans="1:22" ht="14.25">
      <c r="A10" s="3387" t="s">
        <v>309</v>
      </c>
      <c r="B10" s="3413">
        <v>15</v>
      </c>
      <c r="C10" s="3411"/>
      <c r="D10" s="3415"/>
      <c r="E10" s="260" t="s">
        <v>310</v>
      </c>
      <c r="F10" s="261"/>
      <c r="G10" s="261"/>
      <c r="H10" s="261"/>
      <c r="I10" s="262"/>
      <c r="J10" s="2011"/>
      <c r="K10" s="2010"/>
      <c r="L10" s="2010"/>
      <c r="M10" s="2010"/>
      <c r="N10" s="2010"/>
      <c r="O10" s="2010"/>
      <c r="P10" s="2010"/>
      <c r="Q10" s="2010"/>
      <c r="R10" s="2010"/>
      <c r="S10" s="2010"/>
      <c r="T10" s="2010"/>
      <c r="U10" s="2010"/>
      <c r="V10" s="2010"/>
    </row>
    <row r="11" spans="1:22" ht="14.25">
      <c r="A11" s="3387"/>
      <c r="B11" s="3413"/>
      <c r="C11" s="3412"/>
      <c r="D11" s="3415"/>
      <c r="E11" s="260" t="s">
        <v>311</v>
      </c>
      <c r="F11" s="261"/>
      <c r="G11" s="261"/>
      <c r="H11" s="261"/>
      <c r="I11" s="262"/>
      <c r="J11" s="2011"/>
      <c r="K11" s="2010"/>
      <c r="L11" s="2010"/>
      <c r="M11" s="2010"/>
      <c r="N11" s="2010"/>
      <c r="O11" s="2010"/>
      <c r="P11" s="2010"/>
      <c r="Q11" s="2010"/>
      <c r="R11" s="2010"/>
      <c r="S11" s="2010"/>
      <c r="T11" s="2010"/>
      <c r="U11" s="2010"/>
      <c r="V11" s="2010"/>
    </row>
    <row r="12" spans="1:22" ht="14.25">
      <c r="A12" s="3387" t="s">
        <v>312</v>
      </c>
      <c r="B12" s="3413">
        <v>15</v>
      </c>
      <c r="C12" s="3411"/>
      <c r="D12" s="3415"/>
      <c r="E12" s="260" t="s">
        <v>313</v>
      </c>
      <c r="F12" s="261"/>
      <c r="G12" s="261"/>
      <c r="H12" s="261"/>
      <c r="I12" s="262"/>
      <c r="J12" s="2011"/>
      <c r="K12" s="2010"/>
      <c r="L12" s="2010"/>
      <c r="M12" s="2010"/>
      <c r="N12" s="2010"/>
      <c r="O12" s="2010"/>
      <c r="P12" s="2010"/>
      <c r="Q12" s="2010"/>
      <c r="R12" s="2010"/>
      <c r="S12" s="2010"/>
      <c r="T12" s="2010"/>
      <c r="U12" s="2010"/>
      <c r="V12" s="2010"/>
    </row>
    <row r="13" spans="1:22" ht="14.25">
      <c r="A13" s="3387"/>
      <c r="B13" s="3413"/>
      <c r="C13" s="3412"/>
      <c r="D13" s="3415"/>
      <c r="E13" s="260" t="s">
        <v>314</v>
      </c>
      <c r="F13" s="261"/>
      <c r="G13" s="261"/>
      <c r="H13" s="261"/>
      <c r="I13" s="262"/>
      <c r="J13" s="2011"/>
      <c r="K13" s="2010"/>
      <c r="L13" s="2010"/>
      <c r="M13" s="2010"/>
      <c r="N13" s="2010"/>
      <c r="O13" s="2010"/>
      <c r="P13" s="2010"/>
      <c r="Q13" s="2010"/>
      <c r="R13" s="2010"/>
      <c r="S13" s="2010"/>
      <c r="T13" s="2010"/>
      <c r="U13" s="2010"/>
      <c r="V13" s="2010"/>
    </row>
    <row r="14" spans="1:22" ht="14.25">
      <c r="A14" s="3387" t="s">
        <v>315</v>
      </c>
      <c r="B14" s="3413">
        <v>30</v>
      </c>
      <c r="C14" s="3411">
        <v>5</v>
      </c>
      <c r="D14" s="3415">
        <v>5</v>
      </c>
      <c r="E14" s="260" t="s">
        <v>316</v>
      </c>
      <c r="F14" s="261"/>
      <c r="G14" s="261"/>
      <c r="H14" s="261"/>
      <c r="I14" s="262"/>
      <c r="J14" s="2011"/>
      <c r="K14" s="2010"/>
      <c r="L14" s="2010"/>
      <c r="M14" s="2010"/>
      <c r="N14" s="2010"/>
      <c r="O14" s="2010"/>
      <c r="P14" s="2010"/>
      <c r="Q14" s="2010"/>
      <c r="R14" s="2010"/>
      <c r="S14" s="2010"/>
      <c r="T14" s="2010"/>
      <c r="U14" s="2010"/>
      <c r="V14" s="2010"/>
    </row>
    <row r="15" spans="1:22" ht="14.25">
      <c r="A15" s="3387"/>
      <c r="B15" s="3413"/>
      <c r="C15" s="3414"/>
      <c r="D15" s="3415"/>
      <c r="E15" s="260" t="s">
        <v>317</v>
      </c>
      <c r="F15" s="261"/>
      <c r="G15" s="261"/>
      <c r="H15" s="261"/>
      <c r="I15" s="262"/>
      <c r="J15" s="2011"/>
      <c r="K15" s="2010"/>
      <c r="L15" s="2010"/>
      <c r="M15" s="2010"/>
      <c r="N15" s="2010"/>
      <c r="O15" s="2010"/>
      <c r="P15" s="2010"/>
      <c r="Q15" s="2010"/>
      <c r="R15" s="2010"/>
      <c r="S15" s="2010"/>
      <c r="T15" s="2010"/>
      <c r="U15" s="2010"/>
      <c r="V15" s="2010"/>
    </row>
    <row r="16" spans="1:22" ht="14.25">
      <c r="A16" s="3387"/>
      <c r="B16" s="3413"/>
      <c r="C16" s="3412"/>
      <c r="D16" s="3415"/>
      <c r="E16" s="260" t="s">
        <v>318</v>
      </c>
      <c r="F16" s="261"/>
      <c r="G16" s="261"/>
      <c r="H16" s="261"/>
      <c r="I16" s="262"/>
      <c r="J16" s="2011"/>
      <c r="K16" s="2010"/>
      <c r="L16" s="2010"/>
      <c r="M16" s="2010"/>
      <c r="N16" s="2010"/>
      <c r="O16" s="2010"/>
      <c r="P16" s="2010"/>
      <c r="Q16" s="2010"/>
      <c r="R16" s="2010"/>
      <c r="S16" s="2010"/>
      <c r="T16" s="2010"/>
      <c r="U16" s="2010"/>
      <c r="V16" s="2010"/>
    </row>
    <row r="17" spans="1:26" ht="15">
      <c r="A17" s="263" t="s">
        <v>319</v>
      </c>
      <c r="B17" s="143"/>
      <c r="C17" s="264">
        <f>SUM(C5:C16)</f>
        <v>5</v>
      </c>
      <c r="D17" s="264">
        <f>SUM(D5:D16)</f>
        <v>5</v>
      </c>
      <c r="E17" s="310"/>
      <c r="F17" s="310"/>
      <c r="G17" s="310"/>
      <c r="H17" s="310"/>
      <c r="I17" s="310"/>
      <c r="J17" s="2011"/>
      <c r="K17" s="2010"/>
      <c r="L17" s="2010"/>
      <c r="M17" s="2010"/>
      <c r="N17" s="2010"/>
      <c r="O17" s="2010"/>
      <c r="P17" s="2010"/>
      <c r="Q17" s="2010"/>
      <c r="R17" s="2010"/>
      <c r="S17" s="2010"/>
      <c r="T17" s="2010"/>
      <c r="U17" s="2010"/>
      <c r="V17" s="2010"/>
    </row>
    <row r="18" spans="1:26" ht="15.75" thickBot="1">
      <c r="A18" s="265" t="s">
        <v>320</v>
      </c>
      <c r="B18" s="105"/>
      <c r="C18" s="266">
        <f>ROUND(C17/SUM(C17:D17),2)</f>
        <v>0.5</v>
      </c>
      <c r="D18" s="266">
        <f>1-C18</f>
        <v>0.5</v>
      </c>
      <c r="E18" s="310"/>
      <c r="F18" s="310"/>
      <c r="G18" s="310"/>
      <c r="H18" s="310"/>
      <c r="I18" s="310"/>
      <c r="J18" s="2010"/>
      <c r="K18" s="2010"/>
      <c r="L18" s="2010"/>
      <c r="M18" s="2010"/>
      <c r="N18" s="2010"/>
      <c r="O18" s="2010"/>
      <c r="P18" s="2010"/>
      <c r="Q18" s="2010"/>
      <c r="R18" s="2010"/>
      <c r="S18" s="2010"/>
      <c r="T18" s="2010"/>
      <c r="U18" s="2010"/>
      <c r="V18" s="2010"/>
    </row>
    <row r="19" spans="1:26" ht="15">
      <c r="A19" s="267" t="s">
        <v>321</v>
      </c>
      <c r="B19" s="268" t="s">
        <v>322</v>
      </c>
      <c r="C19" s="269">
        <f ca="1">SUMIF(INDIRECT("'"&amp;C4&amp;"'"&amp;"!A:A"),结果表!B19,INDIRECT("'"&amp;C4&amp;"'"&amp;"!B:B"))</f>
        <v>13844</v>
      </c>
      <c r="D19" s="270">
        <f ca="1">SUMIF(INDIRECT("'"&amp;D4&amp;"'"&amp;"!A:A"),结果表!B19,INDIRECT("'"&amp;D4&amp;"'"&amp;"!B:B"))</f>
        <v>14151</v>
      </c>
      <c r="E19" s="267" t="s">
        <v>323</v>
      </c>
      <c r="F19" s="268" t="s">
        <v>322</v>
      </c>
      <c r="G19" s="271">
        <f ca="1">ROUND(C19*$C$18+D19*$D$18,0)</f>
        <v>13998</v>
      </c>
      <c r="H19" s="272" t="s">
        <v>324</v>
      </c>
      <c r="I19" s="310"/>
      <c r="J19" s="2010"/>
      <c r="K19" s="2010"/>
      <c r="L19" s="2010"/>
      <c r="M19" s="2010"/>
      <c r="N19" s="2010"/>
      <c r="O19" s="2010"/>
      <c r="P19" s="2010"/>
      <c r="Q19" s="2010"/>
      <c r="R19" s="2010"/>
      <c r="S19" s="2010"/>
      <c r="T19" s="2010"/>
      <c r="U19" s="2010"/>
      <c r="V19" s="2010"/>
    </row>
    <row r="20" spans="1:26" ht="15">
      <c r="A20" s="273"/>
      <c r="B20" s="274" t="s">
        <v>325</v>
      </c>
      <c r="C20" s="275">
        <f ca="1">SUMIF(INDIRECT("'"&amp;C4&amp;"'"&amp;"!A:A"),结果表!B20,INDIRECT("'"&amp;C4&amp;"'"&amp;"!B:B"))</f>
        <v>1893</v>
      </c>
      <c r="D20" s="276">
        <f ca="1">SUMIF(INDIRECT("'"&amp;D4&amp;"'"&amp;"!A:A"),结果表!B20,INDIRECT("'"&amp;D4&amp;"'"&amp;"!B:B"))</f>
        <v>1935</v>
      </c>
      <c r="E20" s="273"/>
      <c r="F20" s="274" t="s">
        <v>325</v>
      </c>
      <c r="G20" s="277">
        <f ca="1">ROUND(C20*$C$18+D20*$D$18,0)</f>
        <v>1914</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6861</v>
      </c>
      <c r="D21" s="150">
        <f ca="1">SUMIF(INDIRECT("'"&amp;D4&amp;"'"&amp;"!A:A"),结果表!B21,INDIRECT("'"&amp;D4&amp;"'"&amp;"!B:B"))</f>
        <v>7013</v>
      </c>
      <c r="E21" s="273"/>
      <c r="F21" s="279" t="s">
        <v>327</v>
      </c>
      <c r="G21" s="281">
        <f ca="1">ROUND(C21*$C$18+D21*$D$18,0)</f>
        <v>6937</v>
      </c>
      <c r="H21" s="1245" t="s">
        <v>326</v>
      </c>
      <c r="I21" s="310"/>
      <c r="J21" s="2010"/>
      <c r="K21" s="2010"/>
      <c r="L21" s="2010"/>
      <c r="M21" s="2010"/>
      <c r="N21" s="2010"/>
      <c r="O21" s="2010"/>
      <c r="P21" s="2010"/>
      <c r="Q21" s="2010"/>
      <c r="R21" s="2010"/>
      <c r="S21" s="2010"/>
      <c r="T21" s="2010"/>
      <c r="U21" s="2010"/>
      <c r="V21" s="2010"/>
    </row>
    <row r="22" spans="1:26" ht="15.75" thickBot="1">
      <c r="A22" s="126" t="s">
        <v>328</v>
      </c>
      <c r="B22" s="1246"/>
      <c r="C22" s="1247"/>
      <c r="D22" s="282">
        <f ca="1">IF(C19&lt;D19,D19/C19-1,C19/D19-1)</f>
        <v>2.2175671771164307E-2</v>
      </c>
      <c r="E22" s="283"/>
      <c r="F22" s="284"/>
      <c r="G22" s="285">
        <f ca="1">ROUND(G19/('数据-汇总表'!D3/666.67),0)</f>
        <v>463</v>
      </c>
      <c r="H22" s="286" t="s">
        <v>329</v>
      </c>
      <c r="I22" s="310"/>
      <c r="J22" s="2010"/>
      <c r="K22" s="2010"/>
      <c r="L22" s="2010"/>
      <c r="M22" s="2010"/>
      <c r="N22" s="2010"/>
      <c r="O22" s="2010"/>
      <c r="P22" s="2010"/>
      <c r="Q22" s="2010"/>
      <c r="R22" s="2010"/>
      <c r="S22" s="2010"/>
      <c r="T22" s="2010"/>
      <c r="U22" s="2010"/>
      <c r="V22" s="2010"/>
    </row>
    <row r="23" spans="1:26" ht="13.5"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393"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8">
      <c r="A25" s="3394"/>
      <c r="B25" s="1315" t="s">
        <v>331</v>
      </c>
      <c r="C25" s="289">
        <f>IF(B30=0,0,C30)</f>
        <v>0</v>
      </c>
      <c r="D25" s="290"/>
      <c r="E25" s="310"/>
      <c r="F25" s="310"/>
      <c r="G25" s="310"/>
      <c r="H25" s="310"/>
      <c r="I25" s="310"/>
      <c r="J25" s="2010"/>
      <c r="K25" s="1249" t="str">
        <f ca="1">项目基本情况!B16&amp;"国有建设用地使用权价格："&amp;O38&amp;"万元"</f>
        <v>出让国有建设用地使用权价格：13998万元</v>
      </c>
      <c r="L25" s="1250"/>
      <c r="M25" s="1250"/>
      <c r="N25" s="1250"/>
      <c r="O25" s="1251"/>
      <c r="P25" s="2010"/>
      <c r="Q25" s="2010"/>
      <c r="R25" s="2010"/>
      <c r="S25" s="2010"/>
      <c r="T25" s="2010"/>
      <c r="U25" s="2010"/>
      <c r="V25" s="2010"/>
    </row>
    <row r="26" spans="1:26" s="1248" customFormat="1" ht="18">
      <c r="A26" s="292" t="s">
        <v>332</v>
      </c>
      <c r="B26" s="293" t="s">
        <v>333</v>
      </c>
      <c r="C26" s="293" t="s">
        <v>334</v>
      </c>
      <c r="D26" s="294" t="s">
        <v>335</v>
      </c>
      <c r="E26" s="310"/>
      <c r="F26" s="310"/>
      <c r="G26" s="310"/>
      <c r="H26" s="310"/>
      <c r="I26" s="310"/>
      <c r="J26" s="2010"/>
      <c r="K26" s="1252" t="str">
        <f ca="1">"大写金额：人民币"&amp;NUMBERSTRING(INT(O38*10000),2)&amp;"元整"</f>
        <v>大写金额：人民币壹亿叁仟玖佰玖拾捌万元整</v>
      </c>
      <c r="L26" s="1246"/>
      <c r="M26" s="1246"/>
      <c r="N26" s="1246"/>
      <c r="O26" s="1245"/>
      <c r="P26" s="2010"/>
      <c r="Q26" s="2010"/>
      <c r="R26" s="2010"/>
      <c r="S26" s="2010"/>
      <c r="T26" s="2010"/>
      <c r="U26" s="2010"/>
      <c r="V26" s="2010"/>
      <c r="W26" s="291"/>
      <c r="X26" s="291"/>
      <c r="Y26" s="291"/>
      <c r="Z26" s="291"/>
    </row>
    <row r="27" spans="1:26" ht="18">
      <c r="A27" s="292">
        <f ca="1">G19/'数据-汇总表'!F27*10000</f>
        <v>2767.3547820792132</v>
      </c>
      <c r="B27" s="293"/>
      <c r="C27" s="293"/>
      <c r="D27" s="294"/>
      <c r="E27" s="310"/>
      <c r="F27" s="310"/>
      <c r="G27" s="310"/>
      <c r="H27" s="310"/>
      <c r="I27" s="310"/>
      <c r="J27" s="2010"/>
      <c r="K27" s="1252" t="str">
        <f ca="1">"单位面积地价："&amp;M38&amp;"元/平方米"</f>
        <v>单位面积地价：6938元/平方米</v>
      </c>
      <c r="L27" s="1246"/>
      <c r="M27" s="1246"/>
      <c r="N27" s="1246"/>
      <c r="O27" s="1245"/>
      <c r="P27" s="2010"/>
      <c r="Q27" s="2010"/>
      <c r="R27" s="2010"/>
      <c r="S27" s="2010"/>
      <c r="T27" s="2010"/>
      <c r="U27" s="2010"/>
      <c r="V27" s="2010"/>
    </row>
    <row r="28" spans="1:26" ht="18.75" customHeight="1">
      <c r="A28" s="292"/>
      <c r="B28" s="293"/>
      <c r="C28" s="293"/>
      <c r="D28" s="294"/>
      <c r="E28" s="310"/>
      <c r="F28" s="310"/>
      <c r="G28" s="310"/>
      <c r="H28" s="310"/>
      <c r="I28" s="310"/>
      <c r="J28" s="2010"/>
      <c r="K28" s="1252" t="str">
        <f ca="1">"楼面地价："&amp;N38&amp;"元/平方米"</f>
        <v>楼面地价：1914元/平方米</v>
      </c>
      <c r="L28" s="1246"/>
      <c r="M28" s="1246"/>
      <c r="N28" s="1246"/>
      <c r="O28" s="1245"/>
      <c r="P28" s="2010"/>
      <c r="V28" s="2010"/>
    </row>
    <row r="29" spans="1:26" ht="18">
      <c r="A29" s="292"/>
      <c r="B29" s="293"/>
      <c r="C29" s="293"/>
      <c r="D29" s="294"/>
      <c r="E29" s="310"/>
      <c r="F29" s="310"/>
      <c r="G29" s="310"/>
      <c r="H29" s="310"/>
      <c r="I29" s="310"/>
      <c r="J29" s="2010"/>
      <c r="K29" s="1252" t="str">
        <f ca="1">IF(OR(项目基本情况!E8="抵押价格",项目基本情况!E8="已注销及未注销"),"抵押价格："&amp;O39&amp;"万元","——")</f>
        <v>抵押价格：13998万元</v>
      </c>
      <c r="L29" s="1246"/>
      <c r="M29" s="1246"/>
      <c r="N29" s="1246"/>
      <c r="O29" s="1245"/>
      <c r="P29" s="2010"/>
      <c r="V29" s="2010"/>
    </row>
    <row r="30" spans="1:26" ht="18.75" thickBot="1">
      <c r="A30" s="3075" t="s">
        <v>336</v>
      </c>
      <c r="B30" s="308"/>
      <c r="C30" s="308"/>
      <c r="D30" s="309"/>
      <c r="E30" s="3076" t="s">
        <v>2960</v>
      </c>
      <c r="F30" s="310"/>
      <c r="G30" s="310"/>
      <c r="H30" s="310"/>
      <c r="I30" s="310"/>
      <c r="J30" s="2010"/>
      <c r="K30" s="1252" t="str">
        <f ca="1">IF(K29="——","——","大写金额：人民币"&amp;NUMBERSTRING(INT(O39*10000),2)&amp;"元整")</f>
        <v>大写金额：人民币壹亿叁仟玖佰玖拾捌万元整</v>
      </c>
      <c r="L30" s="1246"/>
      <c r="M30" s="1246"/>
      <c r="N30" s="1246"/>
      <c r="O30" s="1245"/>
      <c r="P30" s="2010"/>
      <c r="V30" s="2010"/>
    </row>
    <row r="31" spans="1:26" ht="24" customHeight="1" thickBot="1">
      <c r="A31" s="310"/>
      <c r="B31" s="310"/>
      <c r="C31" s="310"/>
      <c r="D31" s="310"/>
      <c r="E31" s="310"/>
      <c r="F31" s="310"/>
      <c r="G31" s="310"/>
      <c r="H31" s="310"/>
      <c r="I31" s="310"/>
      <c r="J31" s="2010"/>
      <c r="K31" s="2429" t="str">
        <f>IF(项目基本情况!E8="抵押价格","——","抵押担保权已注销时的抵押价格："&amp;O40&amp;"万元")</f>
        <v>——</v>
      </c>
      <c r="L31" s="2425"/>
      <c r="M31" s="2425"/>
      <c r="N31" s="2425"/>
      <c r="O31" s="2426"/>
      <c r="P31" s="2010"/>
      <c r="V31" s="2010"/>
    </row>
    <row r="32" spans="1:26" ht="18.75" thickBot="1">
      <c r="A32" s="267" t="s">
        <v>337</v>
      </c>
      <c r="B32" s="1374" t="s">
        <v>1688</v>
      </c>
      <c r="C32" s="1375">
        <f ca="1">G19-C24</f>
        <v>13998</v>
      </c>
      <c r="D32" s="1376" t="s">
        <v>1689</v>
      </c>
      <c r="E32" s="310"/>
      <c r="F32" s="310"/>
      <c r="G32" s="310"/>
      <c r="H32" s="310"/>
      <c r="I32" s="310"/>
      <c r="J32" s="2010"/>
      <c r="K32" s="2424" t="str">
        <f>IF(K31="——","——","大写金额：人民币"&amp;NUMBERSTRING(INT(O40*10000),2)&amp;"元整")</f>
        <v>——</v>
      </c>
      <c r="L32" s="2427"/>
      <c r="M32" s="2427"/>
      <c r="N32" s="2427"/>
      <c r="O32" s="2428"/>
      <c r="P32" s="2010"/>
      <c r="V32" s="2010"/>
    </row>
    <row r="33" spans="1:26" ht="18.75" thickBot="1">
      <c r="A33" s="297" t="s">
        <v>340</v>
      </c>
      <c r="B33" s="1377" t="s">
        <v>1690</v>
      </c>
      <c r="C33" s="263">
        <f ca="1">ROUND(C32*10000/'数据-汇总表'!E3,0)</f>
        <v>1914</v>
      </c>
      <c r="D33" s="1378" t="s">
        <v>1691</v>
      </c>
      <c r="E33" s="3393" t="s">
        <v>338</v>
      </c>
      <c r="F33" s="295" t="s">
        <v>339</v>
      </c>
      <c r="G33" s="296"/>
      <c r="H33" s="978"/>
      <c r="I33" s="1253"/>
      <c r="J33" s="2010"/>
      <c r="K33" s="1252" t="str">
        <f>IF(项目基本情况!E9="——","——","抵押净值："&amp;C46&amp;"万元")</f>
        <v>——</v>
      </c>
      <c r="L33" s="1246"/>
      <c r="M33" s="1246"/>
      <c r="N33" s="1246"/>
      <c r="O33" s="1245"/>
      <c r="P33" s="2010"/>
      <c r="V33" s="2010"/>
    </row>
    <row r="34" spans="1:26" s="1248" customFormat="1" ht="18.75" thickBot="1">
      <c r="A34" s="299"/>
      <c r="B34" s="1379" t="s">
        <v>1692</v>
      </c>
      <c r="C34" s="263">
        <f ca="1">ROUND(C32*10000/'数据-汇总表'!D3,0)</f>
        <v>6938</v>
      </c>
      <c r="D34" s="1380" t="s">
        <v>1691</v>
      </c>
      <c r="E34" s="3434"/>
      <c r="F34" s="127" t="s">
        <v>341</v>
      </c>
      <c r="G34" s="298"/>
      <c r="H34" s="105"/>
      <c r="I34" s="310"/>
      <c r="J34" s="2010"/>
      <c r="K34" s="1255" t="str">
        <f>IF(K33="——","——","大写金额：人民币"&amp;NUMBERSTRING(INT(O41*10000),2)&amp;"元整")</f>
        <v>——</v>
      </c>
      <c r="L34" s="1256"/>
      <c r="M34" s="1256"/>
      <c r="N34" s="1256"/>
      <c r="O34" s="1257"/>
      <c r="P34" s="2010"/>
      <c r="Q34" s="291"/>
      <c r="R34" s="291"/>
      <c r="S34" s="291"/>
      <c r="T34" s="291"/>
      <c r="U34" s="291"/>
      <c r="V34" s="2010"/>
      <c r="W34" s="291"/>
      <c r="X34" s="291"/>
      <c r="Y34" s="291"/>
      <c r="Z34" s="291"/>
    </row>
    <row r="35" spans="1:26" ht="15.75" thickBot="1">
      <c r="A35" s="283"/>
      <c r="B35" s="1381"/>
      <c r="C35" s="1382">
        <f ca="1">ROUND(C32/('数据-汇总表'!D3/666.67),0)</f>
        <v>463</v>
      </c>
      <c r="D35" s="1383" t="s">
        <v>1693</v>
      </c>
      <c r="E35" s="3435"/>
      <c r="F35" s="300" t="s">
        <v>342</v>
      </c>
      <c r="G35" s="980"/>
      <c r="H35" s="979" t="s">
        <v>343</v>
      </c>
      <c r="I35" s="310"/>
      <c r="J35" s="2010"/>
      <c r="K35" s="3408" t="s">
        <v>350</v>
      </c>
      <c r="L35" s="3408" t="s">
        <v>351</v>
      </c>
      <c r="M35" s="1258" t="s">
        <v>352</v>
      </c>
      <c r="N35" s="3408" t="s">
        <v>353</v>
      </c>
      <c r="O35" s="3408" t="s">
        <v>354</v>
      </c>
      <c r="P35" s="2010"/>
      <c r="V35" s="2010"/>
    </row>
    <row r="36" spans="1:26" ht="16.5" customHeight="1">
      <c r="A36" s="302" t="s">
        <v>344</v>
      </c>
      <c r="B36" s="303" t="s">
        <v>333</v>
      </c>
      <c r="C36" s="304" t="s">
        <v>345</v>
      </c>
      <c r="D36" s="304" t="s">
        <v>346</v>
      </c>
      <c r="E36" s="305" t="s">
        <v>347</v>
      </c>
      <c r="F36" s="310"/>
      <c r="G36" s="310"/>
      <c r="H36" s="310"/>
      <c r="I36" s="310"/>
      <c r="J36" s="2012"/>
      <c r="K36" s="3409"/>
      <c r="L36" s="3409"/>
      <c r="M36" s="1260" t="s">
        <v>355</v>
      </c>
      <c r="N36" s="3409"/>
      <c r="O36" s="3409"/>
      <c r="P36" s="2010"/>
      <c r="V36" s="2010"/>
    </row>
    <row r="37" spans="1:26" ht="16.5" customHeight="1" thickBot="1">
      <c r="A37" s="1254" t="s">
        <v>348</v>
      </c>
      <c r="B37" s="306"/>
      <c r="C37" s="293"/>
      <c r="D37" s="293"/>
      <c r="E37" s="294"/>
      <c r="F37" s="310"/>
      <c r="G37" s="310"/>
      <c r="H37" s="310"/>
      <c r="I37" s="310"/>
      <c r="J37" s="2012"/>
      <c r="K37" s="3410"/>
      <c r="L37" s="3410"/>
      <c r="M37" s="1261"/>
      <c r="N37" s="3410"/>
      <c r="O37" s="3410"/>
      <c r="P37" s="2010"/>
      <c r="V37" s="2010"/>
    </row>
    <row r="38" spans="1:26" ht="16.5" customHeight="1" thickBot="1">
      <c r="A38" s="1254" t="s">
        <v>349</v>
      </c>
      <c r="B38" s="306"/>
      <c r="C38" s="293"/>
      <c r="D38" s="293"/>
      <c r="E38" s="294"/>
      <c r="F38" s="310"/>
      <c r="G38" s="310"/>
      <c r="H38" s="310"/>
      <c r="I38" s="310"/>
      <c r="J38" s="2012"/>
      <c r="K38" s="1262">
        <f>'数据-汇总表'!D3</f>
        <v>20176.84</v>
      </c>
      <c r="L38" s="1263">
        <f>'数据-汇总表'!E3</f>
        <v>73123.75</v>
      </c>
      <c r="M38" s="1263">
        <f ca="1">C34</f>
        <v>6938</v>
      </c>
      <c r="N38" s="1263">
        <f ca="1">C33</f>
        <v>1914</v>
      </c>
      <c r="O38" s="1264">
        <f ca="1">C32</f>
        <v>13998</v>
      </c>
      <c r="P38" s="2010"/>
      <c r="V38" s="2010"/>
    </row>
    <row r="39" spans="1:26" ht="16.5" customHeight="1" thickBot="1">
      <c r="A39" s="1259"/>
      <c r="B39" s="307"/>
      <c r="C39" s="308"/>
      <c r="D39" s="308"/>
      <c r="E39" s="309"/>
      <c r="F39" s="310"/>
      <c r="G39" s="310"/>
      <c r="H39" s="310"/>
      <c r="I39" s="310"/>
      <c r="J39" s="2012"/>
      <c r="K39" s="3453" t="str">
        <f>MID(A44,3,LEN(A44)-2)</f>
        <v>抵押价格</v>
      </c>
      <c r="L39" s="3454"/>
      <c r="M39" s="3454"/>
      <c r="N39" s="3455"/>
      <c r="O39" s="1385">
        <f ca="1">C44</f>
        <v>13998</v>
      </c>
      <c r="P39" s="2010"/>
      <c r="V39" s="2010"/>
    </row>
    <row r="40" spans="1:26" ht="19.5" thickBot="1">
      <c r="A40" s="104" t="s">
        <v>873</v>
      </c>
      <c r="B40" s="310"/>
      <c r="C40" s="310"/>
      <c r="D40" s="310"/>
      <c r="E40" s="310"/>
      <c r="F40" s="310"/>
      <c r="G40" s="310"/>
      <c r="H40" s="310"/>
      <c r="I40" s="310"/>
      <c r="J40" s="2012"/>
      <c r="K40" s="3453" t="str">
        <f>MID(A45,3,LEN(A45)-2)</f>
        <v/>
      </c>
      <c r="L40" s="3454"/>
      <c r="M40" s="3454"/>
      <c r="N40" s="3455"/>
      <c r="O40" s="1385" t="str">
        <f>C45</f>
        <v>——</v>
      </c>
      <c r="P40" s="2010"/>
      <c r="V40" s="2010"/>
    </row>
    <row r="41" spans="1:26" ht="16.5" thickBot="1">
      <c r="A41" s="311" t="s">
        <v>356</v>
      </c>
      <c r="B41" s="312"/>
      <c r="C41" s="313" t="s">
        <v>357</v>
      </c>
      <c r="D41" s="314" t="s">
        <v>358</v>
      </c>
      <c r="E41" s="314" t="s">
        <v>359</v>
      </c>
      <c r="F41" s="315" t="s">
        <v>360</v>
      </c>
      <c r="G41" s="310"/>
      <c r="H41" s="310"/>
      <c r="I41" s="310"/>
      <c r="J41" s="2012"/>
      <c r="K41" s="3453" t="str">
        <f>MID(A46,3,LEN(A46)-2)</f>
        <v/>
      </c>
      <c r="L41" s="3454"/>
      <c r="M41" s="3454"/>
      <c r="N41" s="3455"/>
      <c r="O41" s="1385" t="str">
        <f>C46</f>
        <v>——</v>
      </c>
      <c r="P41" s="2010"/>
      <c r="V41" s="2010"/>
    </row>
    <row r="42" spans="1:26" ht="29.25">
      <c r="A42" s="3395" t="s">
        <v>2065</v>
      </c>
      <c r="B42" s="3396"/>
      <c r="C42" s="263">
        <f ca="1">C32</f>
        <v>13998</v>
      </c>
      <c r="D42" s="316">
        <f ca="1">C33</f>
        <v>1914</v>
      </c>
      <c r="E42" s="316">
        <f ca="1">C34</f>
        <v>6938</v>
      </c>
      <c r="F42" s="317">
        <f ca="1">C35</f>
        <v>463</v>
      </c>
      <c r="G42" s="310"/>
      <c r="H42" s="310"/>
      <c r="I42" s="318"/>
      <c r="J42" s="2012"/>
      <c r="K42" s="1265" t="s">
        <v>361</v>
      </c>
      <c r="L42" s="2029" t="s">
        <v>362</v>
      </c>
      <c r="M42" s="1266" t="s">
        <v>363</v>
      </c>
      <c r="N42" s="2030" t="s">
        <v>364</v>
      </c>
      <c r="O42" s="2031" t="s">
        <v>365</v>
      </c>
      <c r="P42" s="2010"/>
      <c r="V42" s="2010"/>
    </row>
    <row r="43" spans="1:26" ht="30">
      <c r="A43" s="3406" t="s">
        <v>2725</v>
      </c>
      <c r="B43" s="3407"/>
      <c r="C43" s="263">
        <f>IF(H33="正常操作",G33+G34+G35,G34+G35)</f>
        <v>0</v>
      </c>
      <c r="D43" s="316" t="s">
        <v>43</v>
      </c>
      <c r="E43" s="316" t="s">
        <v>44</v>
      </c>
      <c r="F43" s="317" t="s">
        <v>44</v>
      </c>
      <c r="G43" s="2818" t="s">
        <v>952</v>
      </c>
      <c r="H43" s="310"/>
      <c r="I43" s="318"/>
      <c r="J43" s="2012"/>
      <c r="K43" s="1267" t="str">
        <f>C4</f>
        <v>比较法-住宅、综合</v>
      </c>
      <c r="L43" s="1268">
        <f ca="1">IF(L42="估价结果/万元",C19,C20)</f>
        <v>13844</v>
      </c>
      <c r="M43" s="1269">
        <f>C18</f>
        <v>0.5</v>
      </c>
      <c r="N43" s="1270">
        <f ca="1">IF(N42="测算结果/万元",G19,G20)</f>
        <v>13998</v>
      </c>
      <c r="O43" s="1271">
        <f ca="1">IF(O42="最终结果/万元",C32,C33)</f>
        <v>13998</v>
      </c>
      <c r="P43" s="2010"/>
      <c r="V43" s="2010"/>
    </row>
    <row r="44" spans="1:26" ht="30.75" thickBot="1">
      <c r="A44" s="3395" t="str">
        <f>IF(OR(项目基本情况!E8="抵押价格",项目基本情况!E8="已注销及未注销"),"3.抵押价格","——")</f>
        <v>3.抵押价格</v>
      </c>
      <c r="B44" s="3396"/>
      <c r="C44" s="263">
        <f ca="1">IF(A44="——","——",C42-C43)</f>
        <v>13998</v>
      </c>
      <c r="D44" s="316">
        <f ca="1">ROUND(C44*10000/'数据-汇总表'!E3,0)</f>
        <v>1914</v>
      </c>
      <c r="E44" s="316">
        <f ca="1">ROUND(C44*10000/'数据-汇总表'!D3,0)</f>
        <v>6938</v>
      </c>
      <c r="F44" s="317">
        <f ca="1">ROUND(C44/('数据-汇总表'!D3/666.67),0)</f>
        <v>463</v>
      </c>
      <c r="G44" s="310"/>
      <c r="H44" s="310"/>
      <c r="I44" s="318"/>
      <c r="J44" s="2012"/>
      <c r="K44" s="1272" t="str">
        <f>D4</f>
        <v>剩余法-待开发</v>
      </c>
      <c r="L44" s="1273">
        <f ca="1">IF(L42="估价结果/万元",D19,D20)</f>
        <v>14151</v>
      </c>
      <c r="M44" s="1274">
        <f>D18</f>
        <v>0.5</v>
      </c>
      <c r="N44" s="1275"/>
      <c r="O44" s="1276"/>
      <c r="P44" s="2010"/>
      <c r="V44" s="2010"/>
    </row>
    <row r="45" spans="1:26" ht="15">
      <c r="A45" s="3401" t="str">
        <f>IF(项目基本情况!E8="已注销及未注销","4.抵押担保权已注销时的抵押价格",IF(项目基本情况!E8="已注销","3.抵押担保权已注销时的抵押价格","——"))</f>
        <v>——</v>
      </c>
      <c r="B45" s="3402"/>
      <c r="C45" s="1785"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5.75" thickBot="1">
      <c r="A46" s="3397" t="str">
        <f>IF(项目基本情况!E9="抵押净值",IF(A45="——","4.抵押净值","5.抵押净值"),"——")</f>
        <v>——</v>
      </c>
      <c r="B46" s="3398"/>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75">
      <c r="A47" s="320" t="s">
        <v>366</v>
      </c>
      <c r="B47" s="1277"/>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2.75">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2.75">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2.75">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2.75">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2.75">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2.75">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2.75">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2.75">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2.75">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2.75">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2.75">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2.75">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2.75">
      <c r="A61" s="256"/>
      <c r="B61" s="338"/>
      <c r="C61" s="339"/>
      <c r="D61" s="215"/>
      <c r="E61" s="215"/>
      <c r="F61" s="252"/>
      <c r="G61" s="256"/>
      <c r="H61" s="256"/>
      <c r="I61" s="256"/>
      <c r="J61" s="2013"/>
      <c r="K61" s="2010"/>
      <c r="L61" s="2010"/>
      <c r="M61" s="2010"/>
      <c r="N61" s="2010"/>
      <c r="O61" s="2010"/>
      <c r="P61" s="2010"/>
      <c r="Q61" s="2010"/>
      <c r="R61" s="2010"/>
      <c r="S61" s="2010"/>
      <c r="T61" s="2010"/>
      <c r="U61" s="2010"/>
      <c r="V61" s="2010"/>
    </row>
    <row r="62" spans="1:22" ht="18.75">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442" t="s">
        <v>374</v>
      </c>
      <c r="B63" s="3443"/>
      <c r="C63" s="3444"/>
      <c r="D63" s="340">
        <f ca="1">ROUND(C42*F63,0)</f>
        <v>13998</v>
      </c>
      <c r="E63" s="301" t="s">
        <v>375</v>
      </c>
      <c r="F63" s="341">
        <v>1</v>
      </c>
      <c r="G63" s="342" t="s">
        <v>376</v>
      </c>
      <c r="H63" s="310"/>
      <c r="I63" s="310"/>
      <c r="J63" s="2010"/>
      <c r="K63" s="2010"/>
      <c r="L63" s="2010"/>
      <c r="M63" s="2010"/>
      <c r="N63" s="2010"/>
      <c r="O63" s="2010"/>
      <c r="P63" s="310"/>
      <c r="Q63" s="2010"/>
      <c r="R63" s="2010"/>
      <c r="S63" s="2010"/>
      <c r="T63" s="2010"/>
      <c r="U63" s="2010"/>
      <c r="V63" s="2010"/>
    </row>
    <row r="64" spans="1:22" ht="14.25" customHeight="1">
      <c r="A64" s="3403" t="s">
        <v>378</v>
      </c>
      <c r="B64" s="3404"/>
      <c r="C64" s="3404"/>
      <c r="D64" s="3404"/>
      <c r="E64" s="3404"/>
      <c r="F64" s="3404"/>
      <c r="G64" s="3405"/>
      <c r="H64" s="1282"/>
      <c r="I64" s="946"/>
      <c r="J64" s="1972"/>
      <c r="K64" s="1544" t="s">
        <v>377</v>
      </c>
      <c r="L64" s="11"/>
      <c r="M64" s="11"/>
      <c r="N64" s="11"/>
      <c r="O64" s="11"/>
      <c r="P64" s="310"/>
      <c r="Q64" s="2010"/>
      <c r="R64" s="2010"/>
      <c r="S64" s="2010"/>
      <c r="T64" s="2010"/>
      <c r="U64" s="2010"/>
      <c r="V64" s="2010"/>
    </row>
    <row r="65" spans="1:22" ht="12" customHeight="1">
      <c r="A65" s="343" t="s">
        <v>380</v>
      </c>
      <c r="B65" s="344"/>
      <c r="C65" s="345"/>
      <c r="D65" s="346" t="s">
        <v>381</v>
      </c>
      <c r="E65" s="53" t="s">
        <v>382</v>
      </c>
      <c r="F65" s="347" t="s">
        <v>383</v>
      </c>
      <c r="G65" s="348" t="s">
        <v>384</v>
      </c>
      <c r="H65" s="1282"/>
      <c r="I65" s="946"/>
      <c r="J65" s="1972"/>
      <c r="K65" s="1283"/>
      <c r="L65" s="1284"/>
      <c r="M65" s="1284"/>
      <c r="N65" s="1316" t="s">
        <v>379</v>
      </c>
      <c r="O65" s="1317"/>
      <c r="P65" s="1318"/>
      <c r="Q65" s="2010"/>
      <c r="R65" s="2010"/>
      <c r="S65" s="2010"/>
      <c r="T65" s="2010"/>
      <c r="U65" s="2010"/>
      <c r="V65" s="2010"/>
    </row>
    <row r="66" spans="1:22" ht="25.5">
      <c r="A66" s="3399" t="s">
        <v>386</v>
      </c>
      <c r="B66" s="3400"/>
      <c r="C66" s="3400"/>
      <c r="D66" s="260">
        <f ca="1">IF(H66="情况1",0,IF(H66="情况2",D70,IF(H66="情况3",D71,IF(H66="情况4",D72))))</f>
        <v>733</v>
      </c>
      <c r="E66" s="991" t="str">
        <f>IF(H66="情况4","(销售额-原购置价)×税（费）率","销售额×税（费）率")</f>
        <v>销售额×税（费）率</v>
      </c>
      <c r="F66" s="349">
        <f>IF(H66="情况1","免征",'数据-取费表'!B41)</f>
        <v>5.5000000000000007E-2</v>
      </c>
      <c r="G66" s="350" t="s">
        <v>387</v>
      </c>
      <c r="H66" s="190" t="s">
        <v>388</v>
      </c>
      <c r="I66" s="1282"/>
      <c r="J66" s="2016"/>
      <c r="K66" s="1285">
        <v>1</v>
      </c>
      <c r="L66" s="3457" t="s">
        <v>385</v>
      </c>
      <c r="M66" s="3458"/>
      <c r="N66" s="2419"/>
      <c r="O66" s="2420"/>
      <c r="P66" s="2421"/>
      <c r="Q66" s="2010"/>
      <c r="R66" s="2010"/>
      <c r="S66" s="2010"/>
      <c r="T66" s="2010"/>
      <c r="U66" s="2010"/>
      <c r="V66" s="2010"/>
    </row>
    <row r="67" spans="1:22" ht="25.5" customHeight="1">
      <c r="A67" s="351" t="s">
        <v>390</v>
      </c>
      <c r="B67" s="3390" t="s">
        <v>391</v>
      </c>
      <c r="C67" s="3390"/>
      <c r="D67" s="352">
        <v>0</v>
      </c>
      <c r="E67" s="41" t="s">
        <v>392</v>
      </c>
      <c r="F67" s="62" t="s">
        <v>21</v>
      </c>
      <c r="G67" s="3445"/>
      <c r="H67" s="310"/>
      <c r="I67" s="1286"/>
      <c r="J67" s="2017"/>
      <c r="K67" s="1958">
        <v>2</v>
      </c>
      <c r="L67" s="3456" t="s">
        <v>389</v>
      </c>
      <c r="M67" s="3456"/>
      <c r="N67" s="1319">
        <f>'数据-取费表'!B2</f>
        <v>43692</v>
      </c>
      <c r="O67" s="1319"/>
      <c r="P67" s="1319"/>
      <c r="Q67" s="2010"/>
      <c r="R67" s="2010"/>
      <c r="S67" s="2010"/>
      <c r="T67" s="2010"/>
      <c r="U67" s="2010"/>
      <c r="V67" s="2010"/>
    </row>
    <row r="68" spans="1:22" ht="25.5" customHeight="1">
      <c r="A68" s="353"/>
      <c r="B68" s="3390" t="s">
        <v>394</v>
      </c>
      <c r="C68" s="3390"/>
      <c r="D68" s="354"/>
      <c r="E68" s="77"/>
      <c r="F68" s="355"/>
      <c r="G68" s="3446"/>
      <c r="H68" s="310"/>
      <c r="I68" s="1286"/>
      <c r="J68" s="2017"/>
      <c r="K68" s="1958">
        <v>3</v>
      </c>
      <c r="L68" s="3456" t="s">
        <v>393</v>
      </c>
      <c r="M68" s="3456"/>
      <c r="N68" s="1287">
        <f ca="1">C42</f>
        <v>13998</v>
      </c>
      <c r="O68" s="1287"/>
      <c r="P68" s="1287"/>
      <c r="Q68" s="2010"/>
      <c r="R68" s="2010"/>
      <c r="S68" s="2010"/>
      <c r="T68" s="2010"/>
      <c r="U68" s="2010"/>
      <c r="V68" s="2010"/>
    </row>
    <row r="69" spans="1:22" ht="12" customHeight="1">
      <c r="A69" s="356"/>
      <c r="B69" s="3390" t="s">
        <v>395</v>
      </c>
      <c r="C69" s="3390"/>
      <c r="D69" s="357"/>
      <c r="E69" s="73"/>
      <c r="F69" s="355"/>
      <c r="G69" s="3447"/>
      <c r="H69" s="310"/>
      <c r="I69" s="1286"/>
      <c r="J69" s="2017"/>
      <c r="K69" s="1288">
        <v>4</v>
      </c>
      <c r="L69" s="3461" t="s">
        <v>2878</v>
      </c>
      <c r="M69" s="3462"/>
      <c r="N69" s="1289">
        <f ca="1">C44</f>
        <v>13998</v>
      </c>
      <c r="O69" s="1289"/>
      <c r="P69" s="1289"/>
      <c r="Q69" s="2010"/>
      <c r="R69" s="2010"/>
      <c r="S69" s="2010"/>
      <c r="T69" s="2010"/>
      <c r="U69" s="2010"/>
      <c r="V69" s="2010"/>
    </row>
    <row r="70" spans="1:22" ht="24" customHeight="1">
      <c r="A70" s="358" t="s">
        <v>396</v>
      </c>
      <c r="B70" s="3390" t="s">
        <v>397</v>
      </c>
      <c r="C70" s="3390"/>
      <c r="D70" s="357">
        <f ca="1">ROUND(D63*'数据-取费表'!B41/(1+'数据-取费表'!C42),0)</f>
        <v>733</v>
      </c>
      <c r="E70" s="17" t="s">
        <v>398</v>
      </c>
      <c r="F70" s="359">
        <f>'数据-取费表'!B41</f>
        <v>5.5000000000000007E-2</v>
      </c>
      <c r="G70" s="360"/>
      <c r="H70" s="310"/>
      <c r="I70" s="1286"/>
      <c r="J70" s="2017"/>
      <c r="K70" s="3008"/>
      <c r="L70" s="3009"/>
      <c r="M70" s="3009"/>
      <c r="N70" s="3010" t="s">
        <v>2883</v>
      </c>
      <c r="O70" s="3009"/>
      <c r="P70" s="3011"/>
      <c r="Q70" s="2010"/>
      <c r="R70" s="2010"/>
      <c r="S70" s="2010"/>
      <c r="T70" s="2010"/>
      <c r="U70" s="2010"/>
      <c r="V70" s="2010"/>
    </row>
    <row r="71" spans="1:22" ht="12" customHeight="1">
      <c r="A71" s="358" t="s">
        <v>404</v>
      </c>
      <c r="B71" s="3391" t="s">
        <v>405</v>
      </c>
      <c r="C71" s="3392"/>
      <c r="D71" s="357">
        <f ca="1">ROUND(D63*'数据-取费表'!B41/(1+'数据-取费表'!C42),0)</f>
        <v>733</v>
      </c>
      <c r="E71" s="17" t="s">
        <v>398</v>
      </c>
      <c r="F71" s="359">
        <f>'数据-取费表'!B41</f>
        <v>5.5000000000000007E-2</v>
      </c>
      <c r="G71" s="360"/>
      <c r="H71" s="310"/>
      <c r="I71" s="1286"/>
      <c r="J71" s="2017"/>
      <c r="K71" s="3007" t="s">
        <v>399</v>
      </c>
      <c r="L71" s="3463" t="s">
        <v>400</v>
      </c>
      <c r="M71" s="3463"/>
      <c r="N71" s="3007" t="s">
        <v>401</v>
      </c>
      <c r="O71" s="3007" t="s">
        <v>402</v>
      </c>
      <c r="P71" s="3007" t="s">
        <v>403</v>
      </c>
      <c r="Q71" s="2010"/>
      <c r="R71" s="2010"/>
      <c r="S71" s="2010"/>
      <c r="T71" s="2010"/>
      <c r="U71" s="2010"/>
      <c r="V71" s="2010"/>
    </row>
    <row r="72" spans="1:22" ht="12" customHeight="1">
      <c r="A72" s="358" t="s">
        <v>407</v>
      </c>
      <c r="B72" s="3391" t="s">
        <v>408</v>
      </c>
      <c r="C72" s="3392"/>
      <c r="D72" s="357">
        <f ca="1">C86</f>
        <v>623</v>
      </c>
      <c r="E72" s="73" t="s">
        <v>409</v>
      </c>
      <c r="F72" s="359">
        <f>'数据-取费表'!B41</f>
        <v>5.5000000000000007E-2</v>
      </c>
      <c r="G72" s="360"/>
      <c r="H72" s="1292"/>
      <c r="I72" s="1286"/>
      <c r="J72" s="2017"/>
      <c r="K72" s="1958">
        <v>1</v>
      </c>
      <c r="L72" s="3438" t="s">
        <v>406</v>
      </c>
      <c r="M72" s="3438"/>
      <c r="N72" s="1290">
        <f ca="1">D66</f>
        <v>733</v>
      </c>
      <c r="O72" s="1841" t="str">
        <f>E66</f>
        <v>销售额×税（费）率</v>
      </c>
      <c r="P72" s="1291">
        <f>F66</f>
        <v>5.5000000000000007E-2</v>
      </c>
      <c r="Q72" s="2010"/>
      <c r="R72" s="2010"/>
      <c r="S72" s="2010"/>
      <c r="T72" s="2010"/>
      <c r="U72" s="2010"/>
      <c r="V72" s="2010"/>
    </row>
    <row r="73" spans="1:22" ht="24" customHeight="1">
      <c r="A73" s="3432" t="s">
        <v>411</v>
      </c>
      <c r="B73" s="3400"/>
      <c r="C73" s="3400"/>
      <c r="D73" s="361">
        <f>IF(H73="个人住宅",0,ROUND(D63*I73,0))</f>
        <v>0</v>
      </c>
      <c r="E73" s="17" t="s">
        <v>412</v>
      </c>
      <c r="F73" s="359" t="str">
        <f>IF(H73="正常",I73,"免征")</f>
        <v>免征</v>
      </c>
      <c r="G73" s="360"/>
      <c r="H73" s="190" t="s">
        <v>2450</v>
      </c>
      <c r="I73" s="359">
        <f>'数据-取费表'!B49</f>
        <v>5.0000000000000001E-4</v>
      </c>
      <c r="J73" s="2017"/>
      <c r="K73" s="1958">
        <v>2</v>
      </c>
      <c r="L73" s="3438" t="s">
        <v>410</v>
      </c>
      <c r="M73" s="3438"/>
      <c r="N73" s="1290">
        <f t="shared" ref="N73:P74" si="0">D73</f>
        <v>0</v>
      </c>
      <c r="O73" s="1841" t="str">
        <f t="shared" si="0"/>
        <v>销售额×税（费）率</v>
      </c>
      <c r="P73" s="1291" t="str">
        <f t="shared" si="0"/>
        <v>免征</v>
      </c>
      <c r="Q73" s="2010"/>
      <c r="R73" s="2010"/>
      <c r="S73" s="2010"/>
      <c r="T73" s="2010"/>
      <c r="U73" s="2010"/>
      <c r="V73" s="2010"/>
    </row>
    <row r="74" spans="1:22" ht="24.75">
      <c r="A74" s="3432" t="s">
        <v>415</v>
      </c>
      <c r="B74" s="3400"/>
      <c r="C74" s="3400"/>
      <c r="D74" s="361">
        <f ca="1">IF(H74="个人住宅",D75,D76)</f>
        <v>720</v>
      </c>
      <c r="E74" s="17" t="s">
        <v>416</v>
      </c>
      <c r="F74" s="359" t="str">
        <f>IF(H74="正常",F76,"免征")</f>
        <v>——</v>
      </c>
      <c r="G74" s="981" t="s">
        <v>417</v>
      </c>
      <c r="H74" s="362" t="s">
        <v>413</v>
      </c>
      <c r="I74" s="42"/>
      <c r="J74" s="2017"/>
      <c r="K74" s="1958">
        <v>3</v>
      </c>
      <c r="L74" s="3438" t="s">
        <v>414</v>
      </c>
      <c r="M74" s="3438"/>
      <c r="N74" s="1290">
        <f ca="1">D74</f>
        <v>720</v>
      </c>
      <c r="O74" s="1841" t="str">
        <f t="shared" si="0"/>
        <v>增值额×税（费）率</v>
      </c>
      <c r="P74" s="1293" t="str">
        <f t="shared" si="0"/>
        <v>——</v>
      </c>
      <c r="Q74" s="2010"/>
      <c r="R74" s="2010"/>
      <c r="S74" s="2010"/>
      <c r="T74" s="2010"/>
      <c r="U74" s="2010"/>
      <c r="V74" s="2010"/>
    </row>
    <row r="75" spans="1:22" ht="24">
      <c r="A75" s="358" t="s">
        <v>418</v>
      </c>
      <c r="B75" s="3388" t="s">
        <v>419</v>
      </c>
      <c r="C75" s="3418"/>
      <c r="D75" s="363">
        <v>0</v>
      </c>
      <c r="E75" s="41" t="s">
        <v>420</v>
      </c>
      <c r="F75" s="364"/>
      <c r="G75" s="360"/>
      <c r="H75" s="42"/>
      <c r="I75" s="42"/>
      <c r="J75" s="2017"/>
      <c r="K75" s="3000">
        <f>IF(H77="非个人房产","",4)</f>
        <v>4</v>
      </c>
      <c r="L75" s="3438" t="str">
        <f>IF(H77="非个人房产","——","个人所得税")</f>
        <v>个人所得税</v>
      </c>
      <c r="M75" s="3438"/>
      <c r="N75" s="1294">
        <f ca="1">D77</f>
        <v>140</v>
      </c>
      <c r="O75" s="1854" t="str">
        <f>E77</f>
        <v>销售额×税（费）率</v>
      </c>
      <c r="P75" s="1295">
        <f>F77</f>
        <v>0.01</v>
      </c>
      <c r="Q75" s="2010"/>
      <c r="R75" s="2010"/>
      <c r="S75" s="2010"/>
      <c r="T75" s="2010"/>
      <c r="U75" s="2010"/>
      <c r="V75" s="2010"/>
    </row>
    <row r="76" spans="1:22" ht="24.75">
      <c r="A76" s="358" t="s">
        <v>396</v>
      </c>
      <c r="B76" s="3388" t="s">
        <v>422</v>
      </c>
      <c r="C76" s="3389"/>
      <c r="D76" s="361">
        <f ca="1">IF(H76="转让取得",C99,C115)</f>
        <v>720</v>
      </c>
      <c r="E76" s="17" t="s">
        <v>423</v>
      </c>
      <c r="F76" s="53" t="s">
        <v>21</v>
      </c>
      <c r="G76" s="360"/>
      <c r="H76" s="362" t="s">
        <v>424</v>
      </c>
      <c r="I76" s="42"/>
      <c r="J76" s="2017"/>
      <c r="K76" s="3000" t="str">
        <f>IF(项目基本情况!K6="上海银行",IF(K75="",4,K75+1),"")</f>
        <v/>
      </c>
      <c r="L76" s="3449" t="str">
        <f>IF(项目基本情况!K6="上海银行","其他处置费用","")</f>
        <v/>
      </c>
      <c r="M76" s="3450"/>
      <c r="N76" s="1290" t="str">
        <f>IF(项目基本情况!K6="上海银行",N89,"")</f>
        <v/>
      </c>
      <c r="O76" s="3451" t="str">
        <f>IF(项目基本情况!K6="上海银行","包含处置中涉及的律师、诉讼、拍卖、评估等费用","")</f>
        <v/>
      </c>
      <c r="P76" s="3452"/>
      <c r="Q76" s="2010"/>
      <c r="R76" s="2010"/>
      <c r="S76" s="2010"/>
      <c r="T76" s="2010"/>
      <c r="U76" s="2010"/>
      <c r="V76" s="2010"/>
    </row>
    <row r="77" spans="1:22" ht="26.25" thickBot="1">
      <c r="A77" s="3440" t="s">
        <v>426</v>
      </c>
      <c r="B77" s="3441"/>
      <c r="C77" s="3441"/>
      <c r="D77" s="365">
        <f ca="1">IF(H77="非个人房产","——",IF(H77="个人住宅",0,ROUND(D63*I77,0)))</f>
        <v>140</v>
      </c>
      <c r="E77" s="366" t="str">
        <f>IF(H77="非个人房产","——","销售额×税（费）率")</f>
        <v>销售额×税（费）率</v>
      </c>
      <c r="F77" s="367">
        <f>IF(H77="非个人房产","——",IF(H77="个人住宅","免征",I77))</f>
        <v>0.01</v>
      </c>
      <c r="G77" s="982" t="s">
        <v>417</v>
      </c>
      <c r="H77" s="362" t="s">
        <v>2879</v>
      </c>
      <c r="I77" s="368">
        <v>0.01</v>
      </c>
      <c r="J77" s="2017"/>
      <c r="K77" s="3439">
        <f>IF(AND(K75="",K76=""),4,IF(项目基本情况!K6="上海银行",K76+1,K75+1))</f>
        <v>5</v>
      </c>
      <c r="L77" s="3438" t="s">
        <v>2880</v>
      </c>
      <c r="M77" s="3006" t="s">
        <v>421</v>
      </c>
      <c r="N77" s="1296"/>
      <c r="O77" s="1297">
        <f ca="1">SUMIF(N72:N76,"&lt;9e307")</f>
        <v>1593</v>
      </c>
      <c r="P77" s="1298"/>
      <c r="Q77" s="3004">
        <f ca="1">O77/N69</f>
        <v>0.11380197171024432</v>
      </c>
      <c r="R77" s="2010"/>
      <c r="S77" s="2010"/>
      <c r="T77" s="2010"/>
      <c r="U77" s="2010"/>
      <c r="V77" s="2010"/>
    </row>
    <row r="78" spans="1:22" ht="12" customHeight="1">
      <c r="A78" s="1299"/>
      <c r="B78" s="310"/>
      <c r="C78" s="310"/>
      <c r="D78" s="310"/>
      <c r="E78" s="42"/>
      <c r="F78" s="42"/>
      <c r="G78" s="42"/>
      <c r="H78" s="1001"/>
      <c r="I78" s="310"/>
      <c r="J78" s="2017"/>
      <c r="K78" s="3439"/>
      <c r="L78" s="3438"/>
      <c r="M78" s="3006" t="s">
        <v>425</v>
      </c>
      <c r="N78" s="1296"/>
      <c r="O78" s="1297" t="str">
        <f ca="1">NUMBERSTRING(INT(O77*10000),2)&amp;"元整"</f>
        <v>壹仟伍佰玖拾叁万元整</v>
      </c>
      <c r="P78" s="1298"/>
      <c r="Q78" s="2010"/>
      <c r="R78" s="2010"/>
      <c r="S78" s="2010"/>
      <c r="T78" s="2010"/>
      <c r="U78" s="2010"/>
      <c r="V78" s="2010"/>
    </row>
    <row r="79" spans="1:22" ht="13.5" thickBot="1">
      <c r="A79" s="3433" t="s">
        <v>427</v>
      </c>
      <c r="B79" s="3433"/>
      <c r="C79" s="3433"/>
      <c r="D79" s="3433"/>
      <c r="E79" s="3433"/>
      <c r="F79" s="42"/>
      <c r="G79" s="42"/>
      <c r="H79" s="1001"/>
      <c r="I79" s="310"/>
      <c r="J79" s="2017"/>
      <c r="K79" s="3459">
        <f>K77+1</f>
        <v>6</v>
      </c>
      <c r="L79" s="3438" t="s">
        <v>2881</v>
      </c>
      <c r="M79" s="3006" t="s">
        <v>421</v>
      </c>
      <c r="N79" s="1296"/>
      <c r="O79" s="1297">
        <f ca="1">N69-O77</f>
        <v>12405</v>
      </c>
      <c r="P79" s="1298"/>
      <c r="Q79" s="2010"/>
      <c r="R79" s="2010"/>
      <c r="S79" s="2010"/>
      <c r="T79" s="2010"/>
      <c r="U79" s="2010"/>
      <c r="V79" s="2010"/>
    </row>
    <row r="80" spans="1:22" ht="25.5">
      <c r="A80" s="3428" t="s">
        <v>428</v>
      </c>
      <c r="B80" s="3429"/>
      <c r="C80" s="992"/>
      <c r="D80" s="992" t="s">
        <v>429</v>
      </c>
      <c r="E80" s="369" t="s">
        <v>430</v>
      </c>
      <c r="F80" s="42"/>
      <c r="G80" s="42"/>
      <c r="H80" s="1001"/>
      <c r="I80" s="310"/>
      <c r="J80" s="2010"/>
      <c r="K80" s="3460"/>
      <c r="L80" s="3438"/>
      <c r="M80" s="3006" t="s">
        <v>425</v>
      </c>
      <c r="N80" s="1296"/>
      <c r="O80" s="1297" t="str">
        <f ca="1">NUMBERSTRING(INT(O79*10000),2)&amp;"元整"</f>
        <v>壹亿贰仟肆佰零伍万元整</v>
      </c>
      <c r="P80" s="1298"/>
      <c r="Q80" s="2010"/>
      <c r="R80" s="2010"/>
      <c r="S80" s="2010"/>
      <c r="T80" s="2010"/>
      <c r="U80" s="2010"/>
      <c r="V80" s="2010"/>
    </row>
    <row r="81" spans="1:26" ht="13.5" thickBot="1">
      <c r="A81" s="380" t="s">
        <v>1823</v>
      </c>
      <c r="B81" s="370" t="s">
        <v>431</v>
      </c>
      <c r="C81" s="371">
        <f ca="1">ROUND((C82+C83)/(1+'数据-取费表'!C42),0)</f>
        <v>13331</v>
      </c>
      <c r="D81" s="372"/>
      <c r="E81" s="373"/>
      <c r="F81" s="42"/>
      <c r="G81" s="42"/>
      <c r="H81" s="1001"/>
      <c r="I81" s="310"/>
      <c r="J81" s="2010"/>
      <c r="K81" s="3000">
        <f>K79+1</f>
        <v>7</v>
      </c>
      <c r="L81" s="3436" t="s">
        <v>2882</v>
      </c>
      <c r="M81" s="3437"/>
      <c r="N81" s="1300"/>
      <c r="O81" s="1301">
        <f ca="1">ROUND(O79*10000/'数据-汇总表'!E3,0)</f>
        <v>1696</v>
      </c>
      <c r="P81" s="1302"/>
      <c r="Q81" s="2010"/>
      <c r="R81" s="2010"/>
      <c r="S81" s="2010"/>
      <c r="T81" s="2010"/>
      <c r="U81" s="2010"/>
      <c r="V81" s="2010"/>
    </row>
    <row r="82" spans="1:26" ht="13.5" thickTop="1">
      <c r="A82" s="374" t="s">
        <v>1824</v>
      </c>
      <c r="B82" s="375" t="s">
        <v>432</v>
      </c>
      <c r="C82" s="376">
        <f ca="1">D63</f>
        <v>13998</v>
      </c>
      <c r="D82" s="377" t="s">
        <v>19</v>
      </c>
      <c r="E82" s="378"/>
      <c r="F82" s="42"/>
      <c r="G82" s="42"/>
      <c r="H82" s="1001"/>
      <c r="I82" s="310"/>
      <c r="J82" s="2010"/>
      <c r="K82" s="2010"/>
      <c r="L82" s="2010"/>
      <c r="M82" s="2010"/>
      <c r="N82" s="2010"/>
      <c r="O82" s="2010"/>
      <c r="P82" s="2010"/>
      <c r="Q82" s="2010"/>
      <c r="R82" s="2010"/>
      <c r="S82" s="2010"/>
      <c r="T82" s="2010"/>
      <c r="U82" s="2010"/>
      <c r="V82" s="2010"/>
    </row>
    <row r="83" spans="1:26" ht="12.75">
      <c r="A83" s="374" t="s">
        <v>1825</v>
      </c>
      <c r="B83" s="375" t="s">
        <v>433</v>
      </c>
      <c r="C83" s="379">
        <v>0</v>
      </c>
      <c r="D83" s="377"/>
      <c r="E83" s="378"/>
      <c r="F83" s="42"/>
      <c r="G83" s="42"/>
      <c r="H83" s="1001"/>
      <c r="I83" s="310"/>
      <c r="J83" s="2010"/>
      <c r="K83" s="3448" t="s">
        <v>2869</v>
      </c>
      <c r="L83" s="3012" t="s">
        <v>2870</v>
      </c>
      <c r="M83" s="3002">
        <f ca="1">IF(N69&gt;10000,N69*0.5%,IF(AND(N69&gt;1000,N69&lt;=10000),N69*1%,IF(AND(N69&gt;100,N69&lt;=1000),N69*3%,IF(AND(N69&gt;10,N69&lt;=100),N69*5%,N69*8%))))</f>
        <v>69.989999999999995</v>
      </c>
      <c r="N83" s="53">
        <f ca="1">ROUND(M83,1)</f>
        <v>70</v>
      </c>
      <c r="O83" s="3005"/>
      <c r="P83" s="2010"/>
      <c r="Q83" s="2010"/>
      <c r="R83" s="2010"/>
      <c r="S83" s="2010"/>
      <c r="T83" s="2010"/>
      <c r="U83" s="2010"/>
      <c r="V83" s="2010"/>
    </row>
    <row r="84" spans="1:26" ht="12.75">
      <c r="A84" s="380" t="s">
        <v>1826</v>
      </c>
      <c r="B84" s="381" t="s">
        <v>434</v>
      </c>
      <c r="C84" s="382">
        <v>2000</v>
      </c>
      <c r="D84" s="383" t="s">
        <v>19</v>
      </c>
      <c r="E84" s="3046" t="s">
        <v>2933</v>
      </c>
      <c r="F84" s="42"/>
      <c r="G84" s="42"/>
      <c r="H84" s="1001"/>
      <c r="I84" s="310"/>
      <c r="J84" s="2010"/>
      <c r="K84" s="3448"/>
      <c r="L84" s="3012" t="s">
        <v>2871</v>
      </c>
      <c r="M84" s="3002">
        <f ca="1">IF(N69&gt;2000,N69*0.5%,IF(AND(N69&gt;1000,N69&lt;=2000),N69*0.6%,IF(AND(N69&gt;500,N69&lt;=1000),N69*0.7%,IF(AND(N69&gt;200,N69&lt;=500),N69*0.8%,IF(AND(N69&gt;100,N69&lt;=200),N69*0.9%,IF(AND(N69&gt;50,N69&lt;=100),N69*1%,IF(AND(N69&gt;20,N69&lt;=50),N69*1.5%,IF(AND(N69&gt;10,N69&lt;=20),N69*2%,IF(AND(N69&gt;1,N69&lt;=10),N69*2.5%)))))))))</f>
        <v>69.989999999999995</v>
      </c>
      <c r="N84" s="53">
        <f ca="1">ROUND(M84,1)</f>
        <v>70</v>
      </c>
      <c r="O84" s="2010" t="s">
        <v>2872</v>
      </c>
      <c r="P84" s="2010"/>
      <c r="Q84" s="2010"/>
      <c r="R84" s="2010"/>
      <c r="S84" s="2010"/>
      <c r="T84" s="2010"/>
      <c r="U84" s="2010"/>
      <c r="V84" s="2010"/>
    </row>
    <row r="85" spans="1:26" ht="12.75">
      <c r="A85" s="380" t="s">
        <v>1827</v>
      </c>
      <c r="B85" s="381" t="s">
        <v>435</v>
      </c>
      <c r="C85" s="384">
        <f ca="1">C81-C84</f>
        <v>11331</v>
      </c>
      <c r="D85" s="377" t="s">
        <v>19</v>
      </c>
      <c r="E85" s="378"/>
      <c r="F85" s="42"/>
      <c r="G85" s="42"/>
      <c r="H85" s="1001"/>
      <c r="I85" s="310"/>
      <c r="J85" s="2010"/>
      <c r="K85" s="3448"/>
      <c r="L85" s="3012" t="s">
        <v>2873</v>
      </c>
      <c r="M85" s="3002">
        <f ca="1">IF(N69&gt;1000,N69*0.1%,IF(AND(N69&gt;500,N69&lt;=1000),N69*0.5%,IF(AND(N69&gt;50,N69&lt;=500),N69*1%,IF(AND(N69&gt;1,N69&lt;=50),N69*1.5%))))</f>
        <v>13.998000000000001</v>
      </c>
      <c r="N85" s="53">
        <f ca="1">ROUND(M85,1)</f>
        <v>14</v>
      </c>
      <c r="O85" s="2010" t="s">
        <v>2872</v>
      </c>
      <c r="P85" s="2010"/>
      <c r="Q85" s="2010"/>
      <c r="R85" s="2010"/>
      <c r="S85" s="2010"/>
      <c r="T85" s="2010"/>
      <c r="U85" s="2010"/>
      <c r="V85" s="2010"/>
    </row>
    <row r="86" spans="1:26" ht="13.5" thickBot="1">
      <c r="A86" s="385" t="s">
        <v>1828</v>
      </c>
      <c r="B86" s="386" t="s">
        <v>436</v>
      </c>
      <c r="C86" s="387">
        <f ca="1">IF(C85&lt;=0,0,ROUND(C85*D86,0))</f>
        <v>623</v>
      </c>
      <c r="D86" s="388">
        <f>'数据-取费表'!B41</f>
        <v>5.5000000000000007E-2</v>
      </c>
      <c r="E86" s="389"/>
      <c r="F86" s="42"/>
      <c r="G86" s="42"/>
      <c r="H86" s="1001"/>
      <c r="I86" s="310"/>
      <c r="J86" s="2010"/>
      <c r="K86" s="3448"/>
      <c r="L86" s="3012" t="s">
        <v>2874</v>
      </c>
      <c r="M86" s="3002">
        <f ca="1">N69*0.5%</f>
        <v>69.989999999999995</v>
      </c>
      <c r="N86" s="53">
        <f ca="1">IF(M86&gt;0.5,0.5,ROUND(M86,0))</f>
        <v>0.5</v>
      </c>
      <c r="O86" s="2010" t="s">
        <v>2875</v>
      </c>
      <c r="P86" s="2010"/>
      <c r="Q86" s="2010"/>
      <c r="R86" s="2010"/>
      <c r="S86" s="2010"/>
      <c r="T86" s="2010"/>
      <c r="U86" s="2010"/>
      <c r="V86" s="2010"/>
    </row>
    <row r="87" spans="1:26" s="1248" customFormat="1" ht="14.25" customHeight="1">
      <c r="A87" s="1303"/>
      <c r="B87" s="1304"/>
      <c r="C87" s="1305"/>
      <c r="D87" s="1306"/>
      <c r="E87" s="1307"/>
      <c r="F87" s="42"/>
      <c r="G87" s="42"/>
      <c r="H87" s="1001"/>
      <c r="I87" s="310"/>
      <c r="J87" s="2010"/>
      <c r="K87" s="3448"/>
      <c r="L87" s="3012" t="s">
        <v>2876</v>
      </c>
      <c r="M87" s="3002">
        <f ca="1">IF(N69&gt;=10000,(8.25+(N69-10000)*0.01%),IF(AND(N69&gt;=8000,N69&lt;10000),(7.85+(N69-8000)*0.02%),IF(AND(N69&gt;=5000,N69&lt;8000),(6.65+(N69-5000)*0.04%),IF(AND(N69&gt;=2000,N69&lt;5000),(4.25+(PN69-2000)*0.08%),IF(AND(N69&gt;=1000,N69&lt;2000),(2.75+(N69-1000)*0.15%),IF(AND(N69&gt;=100,N69&lt;1000),(0.5+(N69-100)*0.25%),IF(AND(N69&gt;0,N69&lt;100),N69*0.5%)))))))</f>
        <v>8.6498000000000008</v>
      </c>
      <c r="N87" s="53">
        <f ca="1">ROUND(M87*0.9,1)</f>
        <v>7.8</v>
      </c>
      <c r="O87" s="3005"/>
      <c r="P87" s="310"/>
      <c r="Q87" s="2010"/>
      <c r="R87" s="2010"/>
      <c r="S87" s="2010"/>
      <c r="T87" s="2010"/>
      <c r="U87" s="2010"/>
      <c r="V87" s="2010"/>
      <c r="W87" s="291"/>
      <c r="X87" s="291"/>
      <c r="Y87" s="291"/>
      <c r="Z87" s="291"/>
    </row>
    <row r="88" spans="1:26" s="1308" customFormat="1" ht="15" thickBot="1">
      <c r="A88" s="3430" t="s">
        <v>437</v>
      </c>
      <c r="B88" s="3431"/>
      <c r="C88" s="3431"/>
      <c r="D88" s="3431"/>
      <c r="E88" s="3431"/>
      <c r="F88" s="3431"/>
      <c r="G88" s="3431"/>
      <c r="H88" s="3431"/>
      <c r="I88" s="1309"/>
      <c r="J88" s="2018"/>
      <c r="K88" s="3448"/>
      <c r="L88" s="3012" t="s">
        <v>2877</v>
      </c>
      <c r="M88" s="3002">
        <f ca="1">IF(N69&gt;10000,N69*0.5%,IF(AND(N69&gt;5000,N69&lt;=10000),N69*1%,IF(AND(N69&gt;1000,N69&lt;=5000),N69*2%,IF(AND(N69&gt;200,N69&lt;=1000),N69*3%,N69*5%))))</f>
        <v>69.989999999999995</v>
      </c>
      <c r="N88" s="53">
        <f ca="1">ROUND(M88,1)</f>
        <v>70</v>
      </c>
      <c r="O88" s="3005"/>
      <c r="P88" s="11"/>
      <c r="Q88" s="2015"/>
      <c r="R88" s="2015"/>
      <c r="S88" s="2015"/>
      <c r="T88" s="2015"/>
      <c r="U88" s="2015"/>
      <c r="V88" s="2015"/>
      <c r="W88" s="2019"/>
      <c r="X88" s="2019"/>
      <c r="Y88" s="2019"/>
      <c r="Z88" s="2019"/>
    </row>
    <row r="89" spans="1:26" s="1308" customFormat="1" ht="14.25">
      <c r="A89" s="3428" t="s">
        <v>428</v>
      </c>
      <c r="B89" s="3429"/>
      <c r="C89" s="992"/>
      <c r="D89" s="992" t="s">
        <v>429</v>
      </c>
      <c r="E89" s="390" t="s">
        <v>438</v>
      </c>
      <c r="F89" s="391"/>
      <c r="G89" s="391"/>
      <c r="H89" s="392"/>
      <c r="I89" s="1310"/>
      <c r="J89" s="2020"/>
      <c r="K89" s="3448"/>
      <c r="L89" s="3012" t="s">
        <v>27</v>
      </c>
      <c r="M89" s="3003"/>
      <c r="N89" s="53">
        <f ca="1">ROUND(SUM(N83:N88),0)</f>
        <v>232</v>
      </c>
      <c r="O89" s="3013">
        <f ca="1">N89/N69</f>
        <v>1.6573796256608087E-2</v>
      </c>
      <c r="P89" s="2015"/>
      <c r="Q89" s="2015"/>
      <c r="R89" s="2015"/>
      <c r="S89" s="2015"/>
      <c r="T89" s="2015"/>
      <c r="U89" s="2015"/>
      <c r="V89" s="2015"/>
      <c r="W89" s="2019"/>
      <c r="X89" s="2019"/>
      <c r="Y89" s="2019"/>
      <c r="Z89" s="2019"/>
    </row>
    <row r="90" spans="1:26" s="1308" customFormat="1" ht="14.25">
      <c r="A90" s="380" t="s">
        <v>1823</v>
      </c>
      <c r="B90" s="381" t="s">
        <v>439</v>
      </c>
      <c r="C90" s="384">
        <f ca="1">ROUND(D63/(1+'数据-取费表'!C42),0)</f>
        <v>13331</v>
      </c>
      <c r="D90" s="377" t="s">
        <v>19</v>
      </c>
      <c r="E90" s="989"/>
      <c r="F90" s="988"/>
      <c r="G90" s="988"/>
      <c r="H90" s="393"/>
      <c r="I90" s="1310"/>
      <c r="J90" s="2020"/>
      <c r="K90" s="2015"/>
      <c r="L90" s="2015"/>
      <c r="M90" s="2015"/>
      <c r="N90" s="2015"/>
      <c r="O90" s="2015"/>
      <c r="P90" s="2015"/>
      <c r="Q90" s="2015"/>
      <c r="R90" s="2015"/>
      <c r="S90" s="2015"/>
      <c r="T90" s="2015"/>
      <c r="U90" s="2015"/>
      <c r="V90" s="2015"/>
      <c r="W90" s="2019"/>
      <c r="X90" s="2019"/>
      <c r="Y90" s="2019"/>
      <c r="Z90" s="2019"/>
    </row>
    <row r="91" spans="1:26" s="1308" customFormat="1" ht="14.25">
      <c r="A91" s="380" t="s">
        <v>1829</v>
      </c>
      <c r="B91" s="347" t="s">
        <v>440</v>
      </c>
      <c r="C91" s="384">
        <f ca="1">C92+C96</f>
        <v>2125</v>
      </c>
      <c r="D91" s="377" t="s">
        <v>19</v>
      </c>
      <c r="E91" s="989"/>
      <c r="F91" s="988"/>
      <c r="G91" s="988"/>
      <c r="H91" s="393"/>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4" t="s">
        <v>1830</v>
      </c>
      <c r="B92" s="375" t="s">
        <v>441</v>
      </c>
      <c r="C92" s="377">
        <f>ROUND(IF(G95="2016年5月1日后购买",C93/(1+'数据-取费表'!C30)+C94+C95,C93+C94+C95),0)</f>
        <v>2058</v>
      </c>
      <c r="D92" s="377" t="s">
        <v>19</v>
      </c>
      <c r="E92" s="989"/>
      <c r="F92" s="988"/>
      <c r="G92" s="988"/>
      <c r="H92" s="393"/>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25">
      <c r="A93" s="394" t="s">
        <v>1831</v>
      </c>
      <c r="B93" s="375" t="s">
        <v>442</v>
      </c>
      <c r="C93" s="395">
        <v>2000</v>
      </c>
      <c r="D93" s="377" t="s">
        <v>19</v>
      </c>
      <c r="E93" s="396" t="s">
        <v>443</v>
      </c>
      <c r="F93" s="397" t="s">
        <v>444</v>
      </c>
      <c r="G93" s="396" t="s">
        <v>445</v>
      </c>
      <c r="H93" s="398">
        <v>0</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4" t="s">
        <v>1832</v>
      </c>
      <c r="B94" s="399" t="s">
        <v>446</v>
      </c>
      <c r="C94" s="377">
        <f>IF(F93="购房发票",ROUND(C93*H93*5%,0),0)</f>
        <v>0</v>
      </c>
      <c r="D94" s="400">
        <v>0.05</v>
      </c>
      <c r="E94" s="3391" t="s">
        <v>447</v>
      </c>
      <c r="F94" s="3390"/>
      <c r="G94" s="3390"/>
      <c r="H94" s="3427"/>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4" t="s">
        <v>1833</v>
      </c>
      <c r="B95" s="375" t="s">
        <v>448</v>
      </c>
      <c r="C95" s="377">
        <f>ROUND(IF(G95="个人买卖住房",0,IF(G95="2016年5月1日前购买",C93*D95,C93*D95/(1+'数据-取费表'!C42))),0)</f>
        <v>58</v>
      </c>
      <c r="D95" s="401">
        <f>'数据-取费表'!B48+'数据-取费表'!B49</f>
        <v>3.0499999999999999E-2</v>
      </c>
      <c r="E95" s="26" t="s">
        <v>449</v>
      </c>
      <c r="F95" s="402"/>
      <c r="G95" s="403" t="s">
        <v>3334</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4" t="s">
        <v>1834</v>
      </c>
      <c r="B96" s="375" t="s">
        <v>450</v>
      </c>
      <c r="C96" s="404">
        <f ca="1">ROUND(D63*D96/(1+'数据-取费表'!C42),0)</f>
        <v>67</v>
      </c>
      <c r="D96" s="405">
        <f>'数据-取费表'!B43</f>
        <v>5.000000000000001E-3</v>
      </c>
      <c r="E96" s="3419" t="s">
        <v>2424</v>
      </c>
      <c r="F96" s="3420"/>
      <c r="G96" s="3420"/>
      <c r="H96" s="3421"/>
      <c r="I96" s="1311"/>
      <c r="J96" s="2021"/>
      <c r="K96" s="2015"/>
      <c r="L96" s="2015"/>
      <c r="M96" s="2015"/>
      <c r="N96" s="2015"/>
      <c r="O96" s="2015"/>
      <c r="P96" s="2015"/>
      <c r="Q96" s="2015"/>
      <c r="R96" s="2015"/>
      <c r="S96" s="2015"/>
      <c r="T96" s="2015"/>
      <c r="U96" s="2015"/>
      <c r="V96" s="2015"/>
      <c r="W96" s="2019"/>
      <c r="X96" s="2019"/>
      <c r="Y96" s="2019"/>
      <c r="Z96" s="2019"/>
    </row>
    <row r="97" spans="1:26" s="1308" customFormat="1" ht="14.25">
      <c r="A97" s="1599" t="s">
        <v>1835</v>
      </c>
      <c r="B97" s="381" t="s">
        <v>451</v>
      </c>
      <c r="C97" s="384">
        <f ca="1">C90-C91</f>
        <v>11206</v>
      </c>
      <c r="D97" s="377" t="s">
        <v>19</v>
      </c>
      <c r="E97" s="989"/>
      <c r="F97" s="988"/>
      <c r="G97" s="988"/>
      <c r="H97" s="393"/>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1836</v>
      </c>
      <c r="B98" s="381" t="s">
        <v>452</v>
      </c>
      <c r="C98" s="406">
        <f ca="1">IF(C97&lt;=0,0,C97/C91)</f>
        <v>5.273411764705882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75" thickBot="1">
      <c r="A99" s="1600" t="s">
        <v>1837</v>
      </c>
      <c r="B99" s="386" t="s">
        <v>453</v>
      </c>
      <c r="C99" s="407">
        <f ca="1">ROUND(IF(C97&lt;=0,0,IF(C98&gt;=200%,C97*60%-C91*35%,IF(C98&gt;=100%,C97*50%-C91*15%,IF(C98&gt;=50%,C97*40%-C91*5%,IF(C98&lt;50%,C97*30%,0))))),0)</f>
        <v>5980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5" thickBot="1">
      <c r="A101" s="3430" t="s">
        <v>454</v>
      </c>
      <c r="B101" s="3431"/>
      <c r="C101" s="3431"/>
      <c r="D101" s="3431"/>
      <c r="E101" s="3431"/>
      <c r="F101" s="3431"/>
      <c r="G101" s="3431"/>
      <c r="H101" s="3431"/>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4.25">
      <c r="A102" s="3428" t="s">
        <v>428</v>
      </c>
      <c r="B102" s="3429"/>
      <c r="C102" s="992"/>
      <c r="D102" s="992"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4.25">
      <c r="A103" s="380" t="s">
        <v>1823</v>
      </c>
      <c r="B103" s="381" t="s">
        <v>439</v>
      </c>
      <c r="C103" s="384">
        <f ca="1">ROUND(D63/(1+'数据-取费表'!C42),0)</f>
        <v>13331</v>
      </c>
      <c r="D103" s="377" t="s">
        <v>19</v>
      </c>
      <c r="E103" s="989"/>
      <c r="F103" s="988"/>
      <c r="G103" s="988"/>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4.25">
      <c r="A104" s="380" t="s">
        <v>1829</v>
      </c>
      <c r="B104" s="347" t="s">
        <v>440</v>
      </c>
      <c r="C104" s="384">
        <f ca="1">IF(H106="仅含出让金",C105+C108+C109+C110+C111+C112,C105+C109+C110+C111+C112)</f>
        <v>10931</v>
      </c>
      <c r="D104" s="414"/>
      <c r="E104" s="989"/>
      <c r="F104" s="988"/>
      <c r="G104" s="988"/>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4.25">
      <c r="A105" s="394" t="s">
        <v>1830</v>
      </c>
      <c r="B105" s="375" t="s">
        <v>455</v>
      </c>
      <c r="C105" s="404">
        <f>C106+C107</f>
        <v>9876</v>
      </c>
      <c r="D105" s="405"/>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14.25">
      <c r="A106" s="394" t="s">
        <v>1831</v>
      </c>
      <c r="B106" s="375" t="s">
        <v>456</v>
      </c>
      <c r="C106" s="415">
        <f>经济技术指标!E45</f>
        <v>9584</v>
      </c>
      <c r="D106" s="405"/>
      <c r="E106" s="416" t="s">
        <v>457</v>
      </c>
      <c r="F106" s="984"/>
      <c r="G106" s="417" t="s">
        <v>458</v>
      </c>
      <c r="H106" s="418" t="s">
        <v>2434</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4.25">
      <c r="A107" s="394" t="s">
        <v>1832</v>
      </c>
      <c r="B107" s="375" t="s">
        <v>448</v>
      </c>
      <c r="C107" s="404">
        <f>ROUND(C106*D107,0)</f>
        <v>292</v>
      </c>
      <c r="D107" s="405">
        <f>'数据-取费表'!B48+'数据-取费表'!B49</f>
        <v>3.0499999999999999E-2</v>
      </c>
      <c r="E107" s="416" t="s">
        <v>459</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4.25">
      <c r="A108" s="394" t="s">
        <v>1834</v>
      </c>
      <c r="B108" s="375" t="s">
        <v>460</v>
      </c>
      <c r="C108" s="415"/>
      <c r="D108" s="405"/>
      <c r="E108" s="416"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1838</v>
      </c>
      <c r="B109" s="375" t="s">
        <v>461</v>
      </c>
      <c r="C109" s="404">
        <f>IF(H109="——",IF(F1="现房",'剩余法-现房'!C18,'剩余法-待开发'!C18),I109)</f>
        <v>0</v>
      </c>
      <c r="D109" s="405"/>
      <c r="E109" s="3422" t="s">
        <v>462</v>
      </c>
      <c r="F109" s="3420"/>
      <c r="G109" s="3420"/>
      <c r="H109" s="1923" t="s">
        <v>2277</v>
      </c>
      <c r="I109" s="1924">
        <v>0</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1839</v>
      </c>
      <c r="B110" s="375" t="s">
        <v>463</v>
      </c>
      <c r="C110" s="404">
        <f>ROUND((C105+C108+C109)*D110,0)</f>
        <v>988</v>
      </c>
      <c r="D110" s="405">
        <v>0.1</v>
      </c>
      <c r="E110" s="3422" t="s">
        <v>464</v>
      </c>
      <c r="F110" s="3420"/>
      <c r="G110" s="3420"/>
      <c r="H110" s="3421"/>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1840</v>
      </c>
      <c r="B111" s="375" t="s">
        <v>450</v>
      </c>
      <c r="C111" s="404">
        <f ca="1">ROUND(D63*D111/(1+'数据-取费表'!C42),0)</f>
        <v>67</v>
      </c>
      <c r="D111" s="405">
        <f>'数据-取费表'!B43</f>
        <v>5.000000000000001E-3</v>
      </c>
      <c r="E111" s="3419" t="s">
        <v>2424</v>
      </c>
      <c r="F111" s="3420"/>
      <c r="G111" s="3420"/>
      <c r="H111" s="3421"/>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1841</v>
      </c>
      <c r="B112" s="375" t="s">
        <v>465</v>
      </c>
      <c r="C112" s="404">
        <f>ROUND(C108*D112,0)</f>
        <v>0</v>
      </c>
      <c r="D112" s="405">
        <v>0.2</v>
      </c>
      <c r="E112" s="3422" t="s">
        <v>2448</v>
      </c>
      <c r="F112" s="3420"/>
      <c r="G112" s="3420"/>
      <c r="H112" s="3421"/>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4.25">
      <c r="A113" s="1599" t="s">
        <v>1835</v>
      </c>
      <c r="B113" s="381" t="s">
        <v>451</v>
      </c>
      <c r="C113" s="384">
        <f ca="1">ROUND(C103-C104,0)</f>
        <v>2400</v>
      </c>
      <c r="D113" s="377" t="s">
        <v>19</v>
      </c>
      <c r="E113" s="989"/>
      <c r="F113" s="988"/>
      <c r="G113" s="988"/>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1836</v>
      </c>
      <c r="B114" s="381" t="s">
        <v>452</v>
      </c>
      <c r="C114" s="406">
        <f ca="1">IF(C113&lt;=0,0,C113/C104)</f>
        <v>0.21955905223675784</v>
      </c>
      <c r="D114" s="377"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8"/>
      <c r="G114" s="988"/>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75" thickBot="1">
      <c r="A115" s="1600" t="s">
        <v>1837</v>
      </c>
      <c r="B115" s="386" t="s">
        <v>453</v>
      </c>
      <c r="C115" s="407">
        <f ca="1">ROUND(IF(C113&lt;=0,0,IF(C114&gt;=200%,C113*60%-C104*35%,IF(C114&gt;=100%,C113*50%-C104*15%,IF(C114&gt;=50%,C113*40%-C104*5%,IF(C114&lt;50%,C113*30%,0))))),0)</f>
        <v>720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I48" sqref="I48"/>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2" t="s">
        <v>467</v>
      </c>
      <c r="B2" s="507">
        <f>F68</f>
        <v>13844</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1684</v>
      </c>
      <c r="B3" s="509">
        <f>ROUND(B2*10000/'数据-汇总表'!E3,0)</f>
        <v>1893</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30" s="1330" customFormat="1" ht="28.5" customHeight="1">
      <c r="A4" s="510" t="s">
        <v>520</v>
      </c>
      <c r="B4" s="426">
        <f>IF(B48="单位面积地价",C50,ROUND(B2*10000/'数据-汇总表'!D3,0))</f>
        <v>6861</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30" s="1330" customFormat="1" ht="28.5" customHeight="1" thickBot="1">
      <c r="A5" s="428"/>
      <c r="B5" s="429">
        <f>ROUND(B2/('数据-汇总表'!D3/666.67),0)</f>
        <v>457</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7"/>
    </row>
    <row r="6" spans="1:30" ht="20.25">
      <c r="A6" s="511" t="s">
        <v>521</v>
      </c>
      <c r="B6" s="512"/>
      <c r="C6" s="3473" t="s">
        <v>522</v>
      </c>
      <c r="D6" s="3474"/>
      <c r="E6" s="3473" t="s">
        <v>523</v>
      </c>
      <c r="F6" s="3474"/>
      <c r="G6" s="3473" t="s">
        <v>524</v>
      </c>
      <c r="H6" s="3474"/>
      <c r="I6" s="3473" t="s">
        <v>525</v>
      </c>
      <c r="J6" s="3474"/>
      <c r="K6" s="513" t="s">
        <v>526</v>
      </c>
      <c r="L6" s="2115"/>
      <c r="M6" s="2114"/>
      <c r="N6" s="2114"/>
      <c r="O6" s="2116"/>
      <c r="P6" s="3475" t="s">
        <v>527</v>
      </c>
      <c r="Q6" s="3476"/>
      <c r="R6" s="3481" t="s">
        <v>523</v>
      </c>
      <c r="S6" s="3482"/>
      <c r="T6" s="3481" t="s">
        <v>524</v>
      </c>
      <c r="U6" s="3482"/>
      <c r="V6" s="3468" t="s">
        <v>525</v>
      </c>
      <c r="W6" s="3468"/>
      <c r="X6" s="1550"/>
      <c r="Y6" s="3481" t="s">
        <v>527</v>
      </c>
      <c r="Z6" s="3482"/>
      <c r="AA6" s="3470" t="s">
        <v>523</v>
      </c>
      <c r="AB6" s="3471" t="s">
        <v>524</v>
      </c>
      <c r="AC6" s="3470" t="s">
        <v>525</v>
      </c>
    </row>
    <row r="7" spans="1:30" ht="20.25">
      <c r="A7" s="514"/>
      <c r="B7" s="515"/>
      <c r="C7" s="3489" t="s">
        <v>2922</v>
      </c>
      <c r="D7" s="3490"/>
      <c r="E7" s="3489" t="str">
        <f>土地案例!A3</f>
        <v>柳东新区曙光大道西段南片区B-1-3、B-5-1地块</v>
      </c>
      <c r="F7" s="3490"/>
      <c r="G7" s="3489" t="str">
        <f>土地案例!A4</f>
        <v>柳东新区职教园东侧A-2-2、A-4-2地块</v>
      </c>
      <c r="H7" s="3490"/>
      <c r="I7" s="3489" t="str">
        <f>土地案例!A20</f>
        <v>柳东新区三门江片区会展南路与南寨路交叉口西北角S-05-29地块</v>
      </c>
      <c r="J7" s="3490"/>
      <c r="K7" s="513"/>
      <c r="L7" s="2115"/>
      <c r="M7" s="2114"/>
      <c r="N7" s="2114"/>
      <c r="O7" s="2116"/>
      <c r="P7" s="3477"/>
      <c r="Q7" s="3478"/>
      <c r="R7" s="3483"/>
      <c r="S7" s="3484"/>
      <c r="T7" s="3483"/>
      <c r="U7" s="3484"/>
      <c r="V7" s="3468"/>
      <c r="W7" s="3468"/>
      <c r="X7" s="1550"/>
      <c r="Y7" s="3483"/>
      <c r="Z7" s="3484"/>
      <c r="AA7" s="3471"/>
      <c r="AB7" s="3471"/>
      <c r="AC7" s="3471"/>
    </row>
    <row r="8" spans="1:30" ht="21" thickBot="1">
      <c r="A8" s="514"/>
      <c r="B8" s="515"/>
      <c r="C8" s="3491" t="s">
        <v>2926</v>
      </c>
      <c r="D8" s="3492"/>
      <c r="E8" s="3491" t="s">
        <v>2926</v>
      </c>
      <c r="F8" s="3492"/>
      <c r="G8" s="3487" t="s">
        <v>2926</v>
      </c>
      <c r="H8" s="3488"/>
      <c r="I8" s="3487" t="s">
        <v>2926</v>
      </c>
      <c r="J8" s="3488"/>
      <c r="K8" s="513" t="s">
        <v>528</v>
      </c>
      <c r="L8" s="2115"/>
      <c r="M8" s="2114"/>
      <c r="N8" s="2114"/>
      <c r="O8" s="2116"/>
      <c r="P8" s="3479"/>
      <c r="Q8" s="3480"/>
      <c r="R8" s="3483"/>
      <c r="S8" s="3484"/>
      <c r="T8" s="3485"/>
      <c r="U8" s="3486"/>
      <c r="V8" s="3468"/>
      <c r="W8" s="3468"/>
      <c r="X8" s="1550"/>
      <c r="Y8" s="3485"/>
      <c r="Z8" s="3486"/>
      <c r="AA8" s="3472"/>
      <c r="AB8" s="3472"/>
      <c r="AC8" s="3472"/>
    </row>
    <row r="9" spans="1:30" s="1214" customFormat="1" ht="21" thickBot="1">
      <c r="A9" s="2863"/>
      <c r="B9" s="3263" t="s">
        <v>529</v>
      </c>
      <c r="C9" s="2862">
        <f>'数据-取费表'!B2</f>
        <v>43692</v>
      </c>
      <c r="D9" s="519">
        <v>100</v>
      </c>
      <c r="E9" s="520" t="str">
        <f>土地案例!H3</f>
        <v>2019-05-29</v>
      </c>
      <c r="F9" s="521">
        <f>SUMIF(72:72,YEAR(E9)&amp;"-"&amp;INT((MONTH(E9)+2)/3),73:73)</f>
        <v>100</v>
      </c>
      <c r="G9" s="522" t="str">
        <f>土地案例!H4</f>
        <v>2019-05-29</v>
      </c>
      <c r="H9" s="519">
        <f>SUMIF(72:72,YEAR(G9)&amp;"-"&amp;INT((MONTH(G9)+2)/3),73:73)</f>
        <v>100</v>
      </c>
      <c r="I9" s="522" t="str">
        <f>土地案例!H20</f>
        <v>2017-03-29</v>
      </c>
      <c r="J9" s="519">
        <f>SUMIF(72:72,YEAR(I9)&amp;"-"&amp;INT((MONTH(I9)+2)/3),73:73)</f>
        <v>100</v>
      </c>
      <c r="K9" s="523"/>
      <c r="L9" s="2117"/>
      <c r="M9" s="2114"/>
      <c r="N9" s="2114"/>
      <c r="O9" s="2118"/>
      <c r="P9" s="3498" t="s">
        <v>530</v>
      </c>
      <c r="Q9" s="3500"/>
      <c r="R9" s="1551" t="s">
        <v>8</v>
      </c>
      <c r="S9" s="1552">
        <f t="shared" ref="S9:S17" si="0">F9</f>
        <v>100</v>
      </c>
      <c r="T9" s="1551" t="s">
        <v>8</v>
      </c>
      <c r="U9" s="1552">
        <f t="shared" ref="U9:U17" si="1">H9</f>
        <v>100</v>
      </c>
      <c r="V9" s="1551" t="s">
        <v>8</v>
      </c>
      <c r="W9" s="1552">
        <f t="shared" ref="W9:W17" si="2">J9</f>
        <v>100</v>
      </c>
      <c r="X9" s="1553"/>
      <c r="Y9" s="3498" t="s">
        <v>530</v>
      </c>
      <c r="Z9" s="3499"/>
      <c r="AA9" s="1554">
        <f>D9/F9</f>
        <v>1</v>
      </c>
      <c r="AB9" s="1554">
        <f>D9/H9</f>
        <v>1</v>
      </c>
      <c r="AC9" s="1554">
        <f>D9/J9</f>
        <v>1</v>
      </c>
    </row>
    <row r="10" spans="1:30" s="1214" customFormat="1" ht="21" thickBot="1">
      <c r="A10" s="2864"/>
      <c r="B10" s="2871" t="s">
        <v>531</v>
      </c>
      <c r="C10" s="855" t="s">
        <v>532</v>
      </c>
      <c r="D10" s="519">
        <v>100</v>
      </c>
      <c r="E10" s="524" t="s">
        <v>3184</v>
      </c>
      <c r="F10" s="521">
        <f>SUMIF(75:75,E10,76:76)-SUMIF(75:75,C10,76:76)+100</f>
        <v>100</v>
      </c>
      <c r="G10" s="524" t="s">
        <v>3184</v>
      </c>
      <c r="H10" s="519">
        <f>SUMIF(75:75,G10,76:76)-SUMIF(75:75,C10,76:76)+100</f>
        <v>100</v>
      </c>
      <c r="I10" s="524" t="s">
        <v>3184</v>
      </c>
      <c r="J10" s="519">
        <f>SUMIF(75:75,I10,76:76)-SUMIF(75:75,C10,76:76)+100</f>
        <v>100</v>
      </c>
      <c r="K10" s="523"/>
      <c r="L10" s="2117"/>
      <c r="M10" s="2114"/>
      <c r="N10" s="2114"/>
      <c r="O10" s="2118"/>
      <c r="P10" s="3498" t="s">
        <v>533</v>
      </c>
      <c r="Q10" s="3499"/>
      <c r="R10" s="1551" t="s">
        <v>8</v>
      </c>
      <c r="S10" s="1552">
        <f t="shared" si="0"/>
        <v>100</v>
      </c>
      <c r="T10" s="1551" t="s">
        <v>8</v>
      </c>
      <c r="U10" s="1552">
        <f t="shared" si="1"/>
        <v>100</v>
      </c>
      <c r="V10" s="1551" t="s">
        <v>8</v>
      </c>
      <c r="W10" s="1552">
        <f t="shared" si="2"/>
        <v>100</v>
      </c>
      <c r="X10" s="1553"/>
      <c r="Y10" s="3498" t="s">
        <v>533</v>
      </c>
      <c r="Z10" s="3499"/>
      <c r="AA10" s="1554">
        <f t="shared" ref="AA10:AA47" si="3">D10/F10</f>
        <v>1</v>
      </c>
      <c r="AB10" s="1554">
        <f t="shared" ref="AB10:AB47" si="4">D10/H10</f>
        <v>1</v>
      </c>
      <c r="AC10" s="1554">
        <f t="shared" ref="AC10:AC47" si="5">D10/J10</f>
        <v>1</v>
      </c>
    </row>
    <row r="11" spans="1:30" s="1214" customFormat="1" ht="20.25">
      <c r="A11" s="2865"/>
      <c r="B11" s="2872" t="s">
        <v>2751</v>
      </c>
      <c r="C11" s="2860" t="s">
        <v>923</v>
      </c>
      <c r="D11" s="253">
        <v>100</v>
      </c>
      <c r="E11" s="2860" t="s">
        <v>923</v>
      </c>
      <c r="F11" s="253">
        <f>SUMIF(77:77,E11,78:78)-SUMIF(77:77,C11,78:78)+100</f>
        <v>100</v>
      </c>
      <c r="G11" s="2860" t="s">
        <v>923</v>
      </c>
      <c r="H11" s="253">
        <f>SUMIF(77:77,G11,78:78)-SUMIF(77:77,C11,78:78)+100</f>
        <v>100</v>
      </c>
      <c r="I11" s="2860" t="s">
        <v>923</v>
      </c>
      <c r="J11" s="253">
        <f>SUMIF(77:77,I11,78:78)-SUMIF(77:77,C11,78:78)+100</f>
        <v>100</v>
      </c>
      <c r="K11" s="523"/>
      <c r="L11" s="2117"/>
      <c r="M11" s="2114"/>
      <c r="N11" s="2114"/>
      <c r="O11" s="2119"/>
      <c r="P11" s="3467" t="s">
        <v>535</v>
      </c>
      <c r="Q11" s="1145" t="str">
        <f t="shared" ref="Q11:Q17" si="6">B11</f>
        <v>用途</v>
      </c>
      <c r="R11" s="1551" t="s">
        <v>8</v>
      </c>
      <c r="S11" s="1552">
        <f t="shared" si="0"/>
        <v>100</v>
      </c>
      <c r="T11" s="1551" t="s">
        <v>8</v>
      </c>
      <c r="U11" s="1552">
        <f t="shared" si="1"/>
        <v>100</v>
      </c>
      <c r="V11" s="1551" t="s">
        <v>8</v>
      </c>
      <c r="W11" s="1552">
        <f t="shared" si="2"/>
        <v>100</v>
      </c>
      <c r="X11" s="1553"/>
      <c r="Y11" s="3413" t="s">
        <v>536</v>
      </c>
      <c r="Z11" s="1144" t="str">
        <f t="shared" ref="Z11:Z17" si="7">Q11</f>
        <v>用途</v>
      </c>
      <c r="AA11" s="1554">
        <f t="shared" si="3"/>
        <v>1</v>
      </c>
      <c r="AB11" s="1554">
        <f t="shared" si="4"/>
        <v>1</v>
      </c>
      <c r="AC11" s="1554">
        <f t="shared" si="5"/>
        <v>1</v>
      </c>
    </row>
    <row r="12" spans="1:30" s="1332" customFormat="1" ht="27">
      <c r="A12" s="2866"/>
      <c r="B12" s="2871" t="s">
        <v>2752</v>
      </c>
      <c r="C12" s="908">
        <v>70</v>
      </c>
      <c r="D12" s="254">
        <v>100</v>
      </c>
      <c r="E12" s="528" t="s">
        <v>3298</v>
      </c>
      <c r="F12" s="254">
        <f>ROUND(100/'数据-取费表'!G16,0)</f>
        <v>100</v>
      </c>
      <c r="G12" s="529" t="s">
        <v>3298</v>
      </c>
      <c r="H12" s="254">
        <f>ROUND(100/'数据-取费表'!G16,0)</f>
        <v>100</v>
      </c>
      <c r="I12" s="529" t="s">
        <v>3298</v>
      </c>
      <c r="J12" s="254">
        <f>ROUND(100/'数据-取费表'!G16,0)</f>
        <v>100</v>
      </c>
      <c r="K12" s="530"/>
      <c r="L12" s="2120"/>
      <c r="M12" s="2114"/>
      <c r="N12" s="2114"/>
      <c r="O12" s="2121"/>
      <c r="P12" s="3467"/>
      <c r="Q12" s="1145" t="str">
        <f t="shared" si="6"/>
        <v>土地使用年限（年）</v>
      </c>
      <c r="R12" s="1551" t="s">
        <v>8</v>
      </c>
      <c r="S12" s="1552">
        <f t="shared" si="0"/>
        <v>100</v>
      </c>
      <c r="T12" s="1551" t="s">
        <v>8</v>
      </c>
      <c r="U12" s="1552">
        <f t="shared" si="1"/>
        <v>100</v>
      </c>
      <c r="V12" s="1551" t="s">
        <v>8</v>
      </c>
      <c r="W12" s="1552">
        <f t="shared" si="2"/>
        <v>100</v>
      </c>
      <c r="X12" s="1553"/>
      <c r="Y12" s="3413"/>
      <c r="Z12" s="1144" t="str">
        <f t="shared" si="7"/>
        <v>土地使用年限（年）</v>
      </c>
      <c r="AA12" s="1554">
        <f t="shared" si="3"/>
        <v>1</v>
      </c>
      <c r="AB12" s="1554">
        <f t="shared" si="4"/>
        <v>1</v>
      </c>
      <c r="AC12" s="1554">
        <f t="shared" si="5"/>
        <v>1</v>
      </c>
    </row>
    <row r="13" spans="1:30" ht="20.25">
      <c r="A13" s="2867"/>
      <c r="B13" s="2871" t="s">
        <v>2753</v>
      </c>
      <c r="C13" s="3242">
        <v>2.5</v>
      </c>
      <c r="D13" s="254">
        <v>100</v>
      </c>
      <c r="E13" s="532">
        <v>2.3199999999999998</v>
      </c>
      <c r="F13" s="254">
        <f>LOOKUP(E13,82:82,83:83)-LOOKUP(C13,82:82,83:83)+100</f>
        <v>100</v>
      </c>
      <c r="G13" s="533">
        <v>3.5</v>
      </c>
      <c r="H13" s="254">
        <f>LOOKUP(G13,82:82,83:83)-LOOKUP(C13,82:82,83:83)+100</f>
        <v>98</v>
      </c>
      <c r="I13" s="532">
        <v>2.5</v>
      </c>
      <c r="J13" s="254">
        <f>LOOKUP(I13,82:82,83:83)-LOOKUP(C13,82:82,83:83)+100</f>
        <v>100</v>
      </c>
      <c r="K13" s="534">
        <v>2</v>
      </c>
      <c r="L13" s="2122"/>
      <c r="M13" s="2114"/>
      <c r="N13" s="2114"/>
      <c r="O13" s="2123"/>
      <c r="P13" s="3467"/>
      <c r="Q13" s="1145" t="str">
        <f t="shared" si="6"/>
        <v>容积率</v>
      </c>
      <c r="R13" s="1551" t="s">
        <v>8</v>
      </c>
      <c r="S13" s="1552">
        <f t="shared" si="0"/>
        <v>100</v>
      </c>
      <c r="T13" s="1551" t="s">
        <v>8</v>
      </c>
      <c r="U13" s="1552">
        <f t="shared" si="1"/>
        <v>98</v>
      </c>
      <c r="V13" s="1551" t="s">
        <v>8</v>
      </c>
      <c r="W13" s="1552">
        <f t="shared" si="2"/>
        <v>100</v>
      </c>
      <c r="X13" s="1553"/>
      <c r="Y13" s="3413"/>
      <c r="Z13" s="1144" t="str">
        <f t="shared" si="7"/>
        <v>容积率</v>
      </c>
      <c r="AA13" s="1554">
        <f t="shared" si="3"/>
        <v>1</v>
      </c>
      <c r="AB13" s="1554">
        <f t="shared" si="4"/>
        <v>1.0204081632653061</v>
      </c>
      <c r="AC13" s="1554">
        <f t="shared" si="5"/>
        <v>1</v>
      </c>
    </row>
    <row r="14" spans="1:30" s="1214" customFormat="1" ht="20.25">
      <c r="A14" s="2864"/>
      <c r="B14" s="2873" t="s">
        <v>2754</v>
      </c>
      <c r="C14" s="3262" t="s">
        <v>3320</v>
      </c>
      <c r="D14" s="537">
        <v>100</v>
      </c>
      <c r="E14" s="1368" t="s">
        <v>3250</v>
      </c>
      <c r="F14" s="254">
        <f>SUMIF(84:84,E14,85:85)-SUMIF(84:84,C14,85:85)+100</f>
        <v>100</v>
      </c>
      <c r="G14" s="1368" t="s">
        <v>3250</v>
      </c>
      <c r="H14" s="254">
        <f>SUMIF(84:84,G14,85:85)-SUMIF(84:84,C14,85:85)+100</f>
        <v>100</v>
      </c>
      <c r="I14" s="1368" t="s">
        <v>3250</v>
      </c>
      <c r="J14" s="254">
        <f>SUMIF(84:84,I14,85:85)-SUMIF(84:84,C14,85:85)+100</f>
        <v>100</v>
      </c>
      <c r="K14" s="530"/>
      <c r="L14" s="2117"/>
      <c r="M14" s="2114"/>
      <c r="N14" s="2114"/>
      <c r="O14" s="2119"/>
      <c r="P14" s="3467"/>
      <c r="Q14" s="1145" t="str">
        <f t="shared" si="6"/>
        <v>配建</v>
      </c>
      <c r="R14" s="1551" t="s">
        <v>8</v>
      </c>
      <c r="S14" s="1552">
        <f t="shared" si="0"/>
        <v>100</v>
      </c>
      <c r="T14" s="1551" t="s">
        <v>8</v>
      </c>
      <c r="U14" s="1552">
        <f t="shared" si="1"/>
        <v>100</v>
      </c>
      <c r="V14" s="1551" t="s">
        <v>8</v>
      </c>
      <c r="W14" s="1552">
        <f t="shared" si="2"/>
        <v>100</v>
      </c>
      <c r="X14" s="1553"/>
      <c r="Y14" s="3413"/>
      <c r="Z14" s="1144" t="str">
        <f t="shared" si="7"/>
        <v>配建</v>
      </c>
      <c r="AA14" s="1554">
        <f>D14/F14</f>
        <v>1</v>
      </c>
      <c r="AB14" s="1554">
        <f>D14/H14</f>
        <v>1</v>
      </c>
      <c r="AC14" s="1554">
        <f>D14/J14</f>
        <v>1</v>
      </c>
    </row>
    <row r="15" spans="1:30" ht="20.25">
      <c r="A15" s="2868"/>
      <c r="B15" s="2874">
        <v>111</v>
      </c>
      <c r="C15" s="910"/>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467"/>
      <c r="Q15" s="1145">
        <f t="shared" si="6"/>
        <v>111</v>
      </c>
      <c r="R15" s="1551" t="s">
        <v>8</v>
      </c>
      <c r="S15" s="1552">
        <f t="shared" si="0"/>
        <v>100</v>
      </c>
      <c r="T15" s="1551" t="s">
        <v>8</v>
      </c>
      <c r="U15" s="1552">
        <f t="shared" si="1"/>
        <v>100</v>
      </c>
      <c r="V15" s="1551" t="s">
        <v>8</v>
      </c>
      <c r="W15" s="1552">
        <f t="shared" si="2"/>
        <v>100</v>
      </c>
      <c r="X15" s="1553"/>
      <c r="Y15" s="3413"/>
      <c r="Z15" s="1144">
        <f t="shared" si="7"/>
        <v>111</v>
      </c>
      <c r="AA15" s="1554">
        <f>D15/F15</f>
        <v>1</v>
      </c>
      <c r="AB15" s="1554">
        <f>D15/H15</f>
        <v>1</v>
      </c>
      <c r="AC15" s="1554">
        <f>D15/J15</f>
        <v>1</v>
      </c>
    </row>
    <row r="16" spans="1:30" ht="21" thickBot="1">
      <c r="A16" s="2869"/>
      <c r="B16" s="2875">
        <v>111</v>
      </c>
      <c r="C16" s="913"/>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467"/>
      <c r="Q16" s="1145">
        <f t="shared" si="6"/>
        <v>111</v>
      </c>
      <c r="R16" s="1551" t="s">
        <v>8</v>
      </c>
      <c r="S16" s="1552">
        <f t="shared" si="0"/>
        <v>100</v>
      </c>
      <c r="T16" s="1551" t="s">
        <v>8</v>
      </c>
      <c r="U16" s="1552">
        <f t="shared" si="1"/>
        <v>100</v>
      </c>
      <c r="V16" s="1551" t="s">
        <v>8</v>
      </c>
      <c r="W16" s="1552">
        <f t="shared" si="2"/>
        <v>100</v>
      </c>
      <c r="X16" s="1553"/>
      <c r="Y16" s="3413"/>
      <c r="Z16" s="1144">
        <f t="shared" si="7"/>
        <v>111</v>
      </c>
      <c r="AA16" s="1554">
        <f>D16/F16</f>
        <v>1</v>
      </c>
      <c r="AB16" s="1554">
        <f>D16/H16</f>
        <v>1</v>
      </c>
      <c r="AC16" s="1554">
        <f>D16/J16</f>
        <v>1</v>
      </c>
    </row>
    <row r="17" spans="1:29" ht="20.25">
      <c r="A17" s="2861" t="s">
        <v>2749</v>
      </c>
      <c r="B17" s="577" t="s">
        <v>295</v>
      </c>
      <c r="C17" s="547" t="str">
        <f>估价对象房地状况!C15</f>
        <v>一般</v>
      </c>
      <c r="D17" s="550">
        <v>100</v>
      </c>
      <c r="E17" s="551"/>
      <c r="F17" s="548">
        <f>SUMIF(90:90,E18,91:91)-SUMIF(90:90,C18,91:91)+100</f>
        <v>105</v>
      </c>
      <c r="G17" s="549"/>
      <c r="H17" s="548">
        <f>SUMIF(90:90,G18,91:91)-SUMIF(90:90,C18,91:91)+100</f>
        <v>105</v>
      </c>
      <c r="I17" s="551"/>
      <c r="J17" s="548">
        <f>SUMIF(90:90,I18,91:91)-SUMIF(90:90,C18,91:91)+100</f>
        <v>105</v>
      </c>
      <c r="K17" s="534">
        <v>5</v>
      </c>
      <c r="L17" s="2124"/>
      <c r="M17" s="2114"/>
      <c r="N17" s="2114"/>
      <c r="O17" s="2123"/>
      <c r="P17" s="3501" t="s">
        <v>540</v>
      </c>
      <c r="Q17" s="1555" t="str">
        <f t="shared" si="6"/>
        <v>居住社区成熟度</v>
      </c>
      <c r="R17" s="1556" t="s">
        <v>8</v>
      </c>
      <c r="S17" s="1557">
        <f t="shared" si="0"/>
        <v>105</v>
      </c>
      <c r="T17" s="1556" t="s">
        <v>8</v>
      </c>
      <c r="U17" s="1557">
        <f t="shared" si="1"/>
        <v>105</v>
      </c>
      <c r="V17" s="1556" t="s">
        <v>8</v>
      </c>
      <c r="W17" s="1557">
        <f t="shared" si="2"/>
        <v>105</v>
      </c>
      <c r="X17" s="1550"/>
      <c r="Y17" s="3501" t="s">
        <v>540</v>
      </c>
      <c r="Z17" s="1558" t="str">
        <f t="shared" si="7"/>
        <v>居住社区成熟度</v>
      </c>
      <c r="AA17" s="1559">
        <f t="shared" si="3"/>
        <v>0.95238095238095233</v>
      </c>
      <c r="AB17" s="1559">
        <f t="shared" si="4"/>
        <v>0.95238095238095233</v>
      </c>
      <c r="AC17" s="1559">
        <f t="shared" si="5"/>
        <v>0.95238095238095233</v>
      </c>
    </row>
    <row r="18" spans="1:29" ht="20.25">
      <c r="A18" s="531"/>
      <c r="B18" s="552"/>
      <c r="C18" s="553" t="s">
        <v>3028</v>
      </c>
      <c r="D18" s="556"/>
      <c r="E18" s="553" t="s">
        <v>3031</v>
      </c>
      <c r="F18" s="554"/>
      <c r="G18" s="553" t="s">
        <v>3031</v>
      </c>
      <c r="H18" s="558"/>
      <c r="I18" s="553" t="s">
        <v>3031</v>
      </c>
      <c r="J18" s="554"/>
      <c r="K18" s="530"/>
      <c r="L18" s="2124"/>
      <c r="M18" s="2114"/>
      <c r="N18" s="2114"/>
      <c r="O18" s="2123"/>
      <c r="P18" s="3502"/>
      <c r="Q18" s="1555"/>
      <c r="R18" s="1556"/>
      <c r="S18" s="1557"/>
      <c r="T18" s="1556"/>
      <c r="U18" s="1557"/>
      <c r="V18" s="1556"/>
      <c r="W18" s="1557"/>
      <c r="X18" s="1550"/>
      <c r="Y18" s="3502"/>
      <c r="Z18" s="1558"/>
      <c r="AA18" s="1559">
        <v>1</v>
      </c>
      <c r="AB18" s="1559">
        <v>1</v>
      </c>
      <c r="AC18" s="1559">
        <v>1</v>
      </c>
    </row>
    <row r="19" spans="1:29" ht="20.25">
      <c r="A19" s="531"/>
      <c r="B19" s="559" t="s">
        <v>541</v>
      </c>
      <c r="C19" s="560" t="str">
        <f>估价对象房地状况!C16</f>
        <v>一般</v>
      </c>
      <c r="D19" s="562">
        <v>100</v>
      </c>
      <c r="E19" s="563"/>
      <c r="F19" s="558">
        <f>SUMIF(92:92,E20,93:93)-SUMIF(92:92,C20,93:93)+100</f>
        <v>105</v>
      </c>
      <c r="G19" s="561"/>
      <c r="H19" s="564">
        <f>SUMIF(92:92,G20,93:93)-SUMIF(92:92,C20,93:93)+100</f>
        <v>105</v>
      </c>
      <c r="I19" s="563"/>
      <c r="J19" s="564">
        <f>SUMIF(92:92,I20,93:93)-SUMIF(92:92,C20,93:93)+100</f>
        <v>105</v>
      </c>
      <c r="K19" s="534">
        <v>5</v>
      </c>
      <c r="L19" s="2124"/>
      <c r="M19" s="2114"/>
      <c r="N19" s="2114"/>
      <c r="O19" s="2123"/>
      <c r="P19" s="3502"/>
      <c r="Q19" s="1555" t="str">
        <f>B19</f>
        <v>商业繁华度</v>
      </c>
      <c r="R19" s="1556" t="s">
        <v>8</v>
      </c>
      <c r="S19" s="1557">
        <f>F19</f>
        <v>105</v>
      </c>
      <c r="T19" s="1556" t="s">
        <v>8</v>
      </c>
      <c r="U19" s="1557">
        <f>H19</f>
        <v>105</v>
      </c>
      <c r="V19" s="1556" t="s">
        <v>8</v>
      </c>
      <c r="W19" s="1557">
        <f>J19</f>
        <v>105</v>
      </c>
      <c r="X19" s="1550"/>
      <c r="Y19" s="3502"/>
      <c r="Z19" s="1558" t="str">
        <f>Q19</f>
        <v>商业繁华度</v>
      </c>
      <c r="AA19" s="1559">
        <f t="shared" si="3"/>
        <v>0.95238095238095233</v>
      </c>
      <c r="AB19" s="1559">
        <f t="shared" si="4"/>
        <v>0.95238095238095233</v>
      </c>
      <c r="AC19" s="1559">
        <f t="shared" si="5"/>
        <v>0.95238095238095233</v>
      </c>
    </row>
    <row r="20" spans="1:29" ht="20.25">
      <c r="A20" s="531"/>
      <c r="B20" s="565"/>
      <c r="C20" s="553" t="s">
        <v>3028</v>
      </c>
      <c r="D20" s="562"/>
      <c r="E20" s="553" t="s">
        <v>3031</v>
      </c>
      <c r="F20" s="558"/>
      <c r="G20" s="553" t="s">
        <v>3031</v>
      </c>
      <c r="H20" s="554"/>
      <c r="I20" s="553" t="s">
        <v>3031</v>
      </c>
      <c r="J20" s="554"/>
      <c r="K20" s="530"/>
      <c r="L20" s="2124"/>
      <c r="M20" s="2114"/>
      <c r="N20" s="2114"/>
      <c r="O20" s="2123"/>
      <c r="P20" s="3502"/>
      <c r="Q20" s="1555"/>
      <c r="R20" s="1556"/>
      <c r="S20" s="1557"/>
      <c r="T20" s="1556"/>
      <c r="U20" s="1557"/>
      <c r="V20" s="1556"/>
      <c r="W20" s="1557"/>
      <c r="X20" s="1550"/>
      <c r="Y20" s="3502"/>
      <c r="Z20" s="1558"/>
      <c r="AA20" s="1559">
        <v>1</v>
      </c>
      <c r="AB20" s="1559">
        <v>1</v>
      </c>
      <c r="AC20" s="1559">
        <v>1</v>
      </c>
    </row>
    <row r="21" spans="1:29" ht="20.25">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v>2</v>
      </c>
      <c r="L21" s="2124"/>
      <c r="M21" s="2114"/>
      <c r="N21" s="2114"/>
      <c r="O21" s="2123"/>
      <c r="P21" s="3502"/>
      <c r="Q21" s="1555" t="str">
        <f>B21</f>
        <v>办公集聚程度</v>
      </c>
      <c r="R21" s="1556" t="s">
        <v>8</v>
      </c>
      <c r="S21" s="1557">
        <f>F21</f>
        <v>100</v>
      </c>
      <c r="T21" s="1556" t="s">
        <v>8</v>
      </c>
      <c r="U21" s="1557">
        <f>H21</f>
        <v>100</v>
      </c>
      <c r="V21" s="1556" t="s">
        <v>8</v>
      </c>
      <c r="W21" s="1557">
        <f>J21</f>
        <v>100</v>
      </c>
      <c r="X21" s="1550"/>
      <c r="Y21" s="3502"/>
      <c r="Z21" s="1558" t="str">
        <f>Q21</f>
        <v>办公集聚程度</v>
      </c>
      <c r="AA21" s="1559">
        <f t="shared" si="3"/>
        <v>1</v>
      </c>
      <c r="AB21" s="1559">
        <f t="shared" si="4"/>
        <v>1</v>
      </c>
      <c r="AC21" s="1559">
        <f t="shared" si="5"/>
        <v>1</v>
      </c>
    </row>
    <row r="22" spans="1:29" ht="20.25">
      <c r="A22" s="531"/>
      <c r="B22" s="565"/>
      <c r="C22" s="553"/>
      <c r="D22" s="556"/>
      <c r="E22" s="553"/>
      <c r="F22" s="554"/>
      <c r="G22" s="555"/>
      <c r="H22" s="554"/>
      <c r="I22" s="557"/>
      <c r="J22" s="554"/>
      <c r="K22" s="530"/>
      <c r="L22" s="2124"/>
      <c r="M22" s="2114"/>
      <c r="N22" s="2114"/>
      <c r="O22" s="2123"/>
      <c r="P22" s="3502"/>
      <c r="Q22" s="1555"/>
      <c r="R22" s="1556"/>
      <c r="S22" s="1557"/>
      <c r="T22" s="1556"/>
      <c r="U22" s="1557"/>
      <c r="V22" s="1556"/>
      <c r="W22" s="1557"/>
      <c r="X22" s="1550"/>
      <c r="Y22" s="3502"/>
      <c r="Z22" s="1558"/>
      <c r="AA22" s="1559">
        <v>1</v>
      </c>
      <c r="AB22" s="1559">
        <v>1</v>
      </c>
      <c r="AC22" s="1559">
        <v>1</v>
      </c>
    </row>
    <row r="23" spans="1:29" ht="20.25">
      <c r="A23" s="531"/>
      <c r="B23" s="559" t="s">
        <v>543</v>
      </c>
      <c r="C23" s="572" t="str">
        <f>估价对象房地状况!C18</f>
        <v>一般</v>
      </c>
      <c r="D23" s="562">
        <v>100</v>
      </c>
      <c r="E23" s="563"/>
      <c r="F23" s="564">
        <f>SUMIF(96:96,E24,97:97)-SUMIF(96:96,C24,97:97)+100</f>
        <v>105</v>
      </c>
      <c r="G23" s="561"/>
      <c r="H23" s="558">
        <f>SUMIF(96:96,G24,97:97)-SUMIF(96:96,C24,97:97)+100</f>
        <v>105</v>
      </c>
      <c r="I23" s="563"/>
      <c r="J23" s="558">
        <f>SUMIF(96:96,I24,97:97)-SUMIF(96:96,C24,97:97)+100</f>
        <v>105</v>
      </c>
      <c r="K23" s="534">
        <v>5</v>
      </c>
      <c r="L23" s="2124"/>
      <c r="M23" s="2114"/>
      <c r="N23" s="2114"/>
      <c r="O23" s="2123"/>
      <c r="P23" s="3502"/>
      <c r="Q23" s="1555" t="str">
        <f>B23</f>
        <v>交通便捷度</v>
      </c>
      <c r="R23" s="1556" t="s">
        <v>8</v>
      </c>
      <c r="S23" s="1557">
        <f>F23</f>
        <v>105</v>
      </c>
      <c r="T23" s="1556" t="s">
        <v>8</v>
      </c>
      <c r="U23" s="1557">
        <f>H23</f>
        <v>105</v>
      </c>
      <c r="V23" s="1556" t="s">
        <v>8</v>
      </c>
      <c r="W23" s="1557">
        <f>J23</f>
        <v>105</v>
      </c>
      <c r="X23" s="1550"/>
      <c r="Y23" s="3502"/>
      <c r="Z23" s="1558" t="str">
        <f>Q23</f>
        <v>交通便捷度</v>
      </c>
      <c r="AA23" s="1559">
        <f t="shared" si="3"/>
        <v>0.95238095238095233</v>
      </c>
      <c r="AB23" s="1559">
        <f t="shared" si="4"/>
        <v>0.95238095238095233</v>
      </c>
      <c r="AC23" s="1559">
        <f t="shared" si="5"/>
        <v>0.95238095238095233</v>
      </c>
    </row>
    <row r="24" spans="1:29" ht="20.25">
      <c r="A24" s="531"/>
      <c r="B24" s="577"/>
      <c r="C24" s="553" t="s">
        <v>3028</v>
      </c>
      <c r="D24" s="556"/>
      <c r="E24" s="553" t="s">
        <v>3031</v>
      </c>
      <c r="F24" s="554"/>
      <c r="G24" s="553" t="s">
        <v>3031</v>
      </c>
      <c r="H24" s="554"/>
      <c r="I24" s="553" t="s">
        <v>3031</v>
      </c>
      <c r="J24" s="554"/>
      <c r="K24" s="530"/>
      <c r="L24" s="2124"/>
      <c r="M24" s="2114"/>
      <c r="N24" s="2114"/>
      <c r="O24" s="2123"/>
      <c r="P24" s="3502"/>
      <c r="Q24" s="1555"/>
      <c r="R24" s="1556"/>
      <c r="S24" s="1557"/>
      <c r="T24" s="1556"/>
      <c r="U24" s="1557"/>
      <c r="V24" s="1556"/>
      <c r="W24" s="1557"/>
      <c r="X24" s="1550"/>
      <c r="Y24" s="3502"/>
      <c r="Z24" s="1558"/>
      <c r="AA24" s="1559">
        <v>1</v>
      </c>
      <c r="AB24" s="1559">
        <v>1</v>
      </c>
      <c r="AC24" s="1559">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4"/>
      <c r="M25" s="2114"/>
      <c r="N25" s="2114"/>
      <c r="O25" s="2123"/>
      <c r="P25" s="3502"/>
      <c r="Q25" s="1555" t="str">
        <f t="shared" ref="Q25:Q39" si="8">B25</f>
        <v>区域土地利用方向</v>
      </c>
      <c r="R25" s="1556" t="s">
        <v>8</v>
      </c>
      <c r="S25" s="1557">
        <f>F25</f>
        <v>100</v>
      </c>
      <c r="T25" s="1556" t="s">
        <v>8</v>
      </c>
      <c r="U25" s="1557">
        <f>H25</f>
        <v>100</v>
      </c>
      <c r="V25" s="1556" t="s">
        <v>8</v>
      </c>
      <c r="W25" s="1557">
        <f>J25</f>
        <v>100</v>
      </c>
      <c r="X25" s="1550"/>
      <c r="Y25" s="3502"/>
      <c r="Z25" s="1558" t="str">
        <f>Q25</f>
        <v>区域土地利用方向</v>
      </c>
      <c r="AA25" s="1559">
        <f t="shared" si="3"/>
        <v>1</v>
      </c>
      <c r="AB25" s="1559">
        <f t="shared" si="4"/>
        <v>1</v>
      </c>
      <c r="AC25" s="1559">
        <f t="shared" si="5"/>
        <v>1</v>
      </c>
    </row>
    <row r="26" spans="1:29" ht="20.25">
      <c r="A26" s="514"/>
      <c r="B26" s="1005"/>
      <c r="C26" s="553" t="s">
        <v>3031</v>
      </c>
      <c r="D26" s="556"/>
      <c r="E26" s="553" t="s">
        <v>3031</v>
      </c>
      <c r="F26" s="554"/>
      <c r="G26" s="553" t="s">
        <v>3031</v>
      </c>
      <c r="H26" s="554"/>
      <c r="I26" s="553" t="s">
        <v>3031</v>
      </c>
      <c r="J26" s="554"/>
      <c r="K26" s="530"/>
      <c r="L26" s="2124"/>
      <c r="M26" s="2114"/>
      <c r="N26" s="2114"/>
      <c r="O26" s="2123"/>
      <c r="P26" s="3502"/>
      <c r="Q26" s="1555"/>
      <c r="R26" s="1556"/>
      <c r="S26" s="1557"/>
      <c r="T26" s="1556"/>
      <c r="U26" s="1557"/>
      <c r="V26" s="1556"/>
      <c r="W26" s="1557"/>
      <c r="X26" s="1550"/>
      <c r="Y26" s="3502"/>
      <c r="Z26" s="1558"/>
      <c r="AA26" s="1559"/>
      <c r="AB26" s="1559"/>
      <c r="AC26" s="1559"/>
    </row>
    <row r="27" spans="1:29" ht="27">
      <c r="A27" s="514"/>
      <c r="B27" s="577" t="s">
        <v>545</v>
      </c>
      <c r="C27" s="560" t="str">
        <f>估价对象房地状况!C20</f>
        <v>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4"/>
      <c r="M27" s="2114"/>
      <c r="N27" s="2114"/>
      <c r="O27" s="2123"/>
      <c r="P27" s="3502"/>
      <c r="Q27" s="1555" t="str">
        <f t="shared" si="8"/>
        <v>自然及人文环境状况</v>
      </c>
      <c r="R27" s="1556" t="s">
        <v>8</v>
      </c>
      <c r="S27" s="1557">
        <f>F27</f>
        <v>100</v>
      </c>
      <c r="T27" s="1556" t="s">
        <v>8</v>
      </c>
      <c r="U27" s="1557">
        <f>H27</f>
        <v>100</v>
      </c>
      <c r="V27" s="1556" t="s">
        <v>8</v>
      </c>
      <c r="W27" s="1557">
        <f>J27</f>
        <v>100</v>
      </c>
      <c r="X27" s="1550"/>
      <c r="Y27" s="3502"/>
      <c r="Z27" s="1558" t="str">
        <f>Q27</f>
        <v>自然及人文环境状况</v>
      </c>
      <c r="AA27" s="1559">
        <f t="shared" si="3"/>
        <v>1</v>
      </c>
      <c r="AB27" s="1559">
        <f t="shared" si="4"/>
        <v>1</v>
      </c>
      <c r="AC27" s="1559">
        <f t="shared" si="5"/>
        <v>1</v>
      </c>
    </row>
    <row r="28" spans="1:29" ht="20.25">
      <c r="A28" s="514"/>
      <c r="B28" s="565"/>
      <c r="C28" s="553" t="s">
        <v>3031</v>
      </c>
      <c r="D28" s="556"/>
      <c r="E28" s="553" t="s">
        <v>3031</v>
      </c>
      <c r="F28" s="554"/>
      <c r="G28" s="553" t="s">
        <v>3031</v>
      </c>
      <c r="H28" s="554"/>
      <c r="I28" s="553" t="s">
        <v>3031</v>
      </c>
      <c r="J28" s="554"/>
      <c r="K28" s="530"/>
      <c r="L28" s="2124"/>
      <c r="M28" s="2114"/>
      <c r="N28" s="2114"/>
      <c r="O28" s="2123"/>
      <c r="P28" s="3502"/>
      <c r="Q28" s="1555"/>
      <c r="R28" s="1556"/>
      <c r="S28" s="1557"/>
      <c r="T28" s="1556"/>
      <c r="U28" s="1557"/>
      <c r="V28" s="1556"/>
      <c r="W28" s="1557"/>
      <c r="X28" s="1550"/>
      <c r="Y28" s="3502"/>
      <c r="Z28" s="1558"/>
      <c r="AA28" s="1559">
        <v>1</v>
      </c>
      <c r="AB28" s="1559">
        <v>1</v>
      </c>
      <c r="AC28" s="1559">
        <v>1</v>
      </c>
    </row>
    <row r="29" spans="1:29" s="1214" customFormat="1" ht="20.25">
      <c r="A29" s="576"/>
      <c r="B29" s="2552" t="s">
        <v>2543</v>
      </c>
      <c r="C29" s="572" t="str">
        <f>估价对象房地状况!C21</f>
        <v>一般</v>
      </c>
      <c r="D29" s="562">
        <v>100</v>
      </c>
      <c r="E29" s="563"/>
      <c r="F29" s="558">
        <f>SUMIF(102:102,E30,103:103)-SUMIF(102:102,C30,103:103)+100</f>
        <v>102</v>
      </c>
      <c r="G29" s="561"/>
      <c r="H29" s="558">
        <f>SUMIF(102:102,G30,103:103)-SUMIF(102:102,C30,103:103)+100</f>
        <v>102</v>
      </c>
      <c r="I29" s="563"/>
      <c r="J29" s="558">
        <f>SUMIF(102:102,I30,103:103)-SUMIF(102:102,C30,103:103)+100</f>
        <v>102</v>
      </c>
      <c r="K29" s="534">
        <v>2</v>
      </c>
      <c r="L29" s="2117"/>
      <c r="M29" s="2114"/>
      <c r="N29" s="2114"/>
      <c r="O29" s="2119"/>
      <c r="P29" s="3502"/>
      <c r="Q29" s="1145" t="str">
        <f t="shared" si="8"/>
        <v>公共配套设施</v>
      </c>
      <c r="R29" s="1551" t="s">
        <v>8</v>
      </c>
      <c r="S29" s="1552">
        <f>F29</f>
        <v>102</v>
      </c>
      <c r="T29" s="1551" t="s">
        <v>8</v>
      </c>
      <c r="U29" s="1552">
        <f>H29</f>
        <v>102</v>
      </c>
      <c r="V29" s="1551" t="s">
        <v>8</v>
      </c>
      <c r="W29" s="1552">
        <f>J29</f>
        <v>102</v>
      </c>
      <c r="X29" s="1553"/>
      <c r="Y29" s="3502"/>
      <c r="Z29" s="1144" t="str">
        <f>Q29</f>
        <v>公共配套设施</v>
      </c>
      <c r="AA29" s="1559">
        <f>D29/F29</f>
        <v>0.98039215686274506</v>
      </c>
      <c r="AB29" s="1559">
        <f>D29/H29</f>
        <v>0.98039215686274506</v>
      </c>
      <c r="AC29" s="1559">
        <f>D29/J29</f>
        <v>0.98039215686274506</v>
      </c>
    </row>
    <row r="30" spans="1:29" s="1214" customFormat="1" ht="20.25">
      <c r="A30" s="576"/>
      <c r="B30" s="565"/>
      <c r="C30" s="578" t="s">
        <v>3028</v>
      </c>
      <c r="D30" s="556"/>
      <c r="E30" s="553" t="s">
        <v>3031</v>
      </c>
      <c r="F30" s="554"/>
      <c r="G30" s="553" t="s">
        <v>3031</v>
      </c>
      <c r="H30" s="554"/>
      <c r="I30" s="553" t="s">
        <v>3031</v>
      </c>
      <c r="J30" s="554"/>
      <c r="K30" s="530"/>
      <c r="L30" s="2117"/>
      <c r="M30" s="2114"/>
      <c r="N30" s="2114"/>
      <c r="O30" s="2119"/>
      <c r="P30" s="3502"/>
      <c r="Q30" s="1145"/>
      <c r="R30" s="1551"/>
      <c r="S30" s="1552"/>
      <c r="T30" s="1551"/>
      <c r="U30" s="1552"/>
      <c r="V30" s="1551"/>
      <c r="W30" s="1552"/>
      <c r="X30" s="1553"/>
      <c r="Y30" s="3502"/>
      <c r="Z30" s="1144"/>
      <c r="AA30" s="1559">
        <v>1</v>
      </c>
      <c r="AB30" s="1559">
        <v>1</v>
      </c>
      <c r="AC30" s="1559">
        <v>1</v>
      </c>
    </row>
    <row r="31" spans="1:29" s="1214" customFormat="1" ht="20.25">
      <c r="A31" s="576"/>
      <c r="B31" s="2552" t="s">
        <v>2544</v>
      </c>
      <c r="C31" s="572" t="str">
        <f>估价对象房地状况!C22</f>
        <v>六通</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7"/>
      <c r="M31" s="2114"/>
      <c r="N31" s="2114"/>
      <c r="O31" s="2119"/>
      <c r="P31" s="3502"/>
      <c r="Q31" s="2539" t="str">
        <f t="shared" ref="Q31" si="9">B31</f>
        <v>基础设施水平</v>
      </c>
      <c r="R31" s="1551" t="s">
        <v>8</v>
      </c>
      <c r="S31" s="1552">
        <f>F31</f>
        <v>100</v>
      </c>
      <c r="T31" s="1551" t="s">
        <v>8</v>
      </c>
      <c r="U31" s="1552">
        <f>H31</f>
        <v>100</v>
      </c>
      <c r="V31" s="1551" t="s">
        <v>8</v>
      </c>
      <c r="W31" s="1552">
        <f>J31</f>
        <v>100</v>
      </c>
      <c r="X31" s="1553"/>
      <c r="Y31" s="3502"/>
      <c r="Z31" s="2536" t="str">
        <f>Q31</f>
        <v>基础设施水平</v>
      </c>
      <c r="AA31" s="1559">
        <f>D31/F31</f>
        <v>1</v>
      </c>
      <c r="AB31" s="1559">
        <f>D31/H31</f>
        <v>1</v>
      </c>
      <c r="AC31" s="1559">
        <f>D31/J31</f>
        <v>1</v>
      </c>
    </row>
    <row r="32" spans="1:29" s="1214" customFormat="1" ht="20.25">
      <c r="A32" s="576"/>
      <c r="B32" s="565"/>
      <c r="C32" s="578" t="s">
        <v>3277</v>
      </c>
      <c r="D32" s="556"/>
      <c r="E32" s="578" t="s">
        <v>3277</v>
      </c>
      <c r="F32" s="554"/>
      <c r="G32" s="578" t="s">
        <v>3277</v>
      </c>
      <c r="H32" s="554"/>
      <c r="I32" s="578" t="s">
        <v>3277</v>
      </c>
      <c r="J32" s="554"/>
      <c r="K32" s="530"/>
      <c r="L32" s="2117"/>
      <c r="M32" s="2114"/>
      <c r="N32" s="2114"/>
      <c r="O32" s="2119"/>
      <c r="P32" s="3502"/>
      <c r="Q32" s="2539"/>
      <c r="R32" s="1551"/>
      <c r="S32" s="1552"/>
      <c r="T32" s="1551"/>
      <c r="U32" s="1552"/>
      <c r="V32" s="1551"/>
      <c r="W32" s="1552"/>
      <c r="X32" s="1553"/>
      <c r="Y32" s="3502"/>
      <c r="Z32" s="2536"/>
      <c r="AA32" s="1559">
        <v>1</v>
      </c>
      <c r="AB32" s="1559">
        <v>1</v>
      </c>
      <c r="AC32" s="1559">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4"/>
      <c r="M33" s="2114"/>
      <c r="N33" s="2114"/>
      <c r="O33" s="2123"/>
      <c r="P33" s="3502"/>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502"/>
      <c r="Z33" s="1558" t="str">
        <f t="shared" ref="Z33:Z47" si="13">Q33</f>
        <v>临街状况</v>
      </c>
      <c r="AA33" s="1559">
        <f t="shared" si="3"/>
        <v>1</v>
      </c>
      <c r="AB33" s="1559">
        <f t="shared" si="4"/>
        <v>1</v>
      </c>
      <c r="AC33" s="1559">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4"/>
      <c r="M34" s="2114"/>
      <c r="N34" s="2114"/>
      <c r="O34" s="2123"/>
      <c r="P34" s="3502"/>
      <c r="Q34" s="1555" t="str">
        <f t="shared" si="8"/>
        <v>毗邻道路的类型与等级</v>
      </c>
      <c r="R34" s="1556" t="s">
        <v>8</v>
      </c>
      <c r="S34" s="1557">
        <f t="shared" si="10"/>
        <v>100</v>
      </c>
      <c r="T34" s="1556" t="s">
        <v>8</v>
      </c>
      <c r="U34" s="1557">
        <f t="shared" si="11"/>
        <v>100</v>
      </c>
      <c r="V34" s="1556" t="s">
        <v>8</v>
      </c>
      <c r="W34" s="1557">
        <f t="shared" si="12"/>
        <v>100</v>
      </c>
      <c r="X34" s="1550"/>
      <c r="Y34" s="3502"/>
      <c r="Z34" s="1558" t="str">
        <f t="shared" si="13"/>
        <v>毗邻道路的类型与等级</v>
      </c>
      <c r="AA34" s="1559">
        <f t="shared" si="3"/>
        <v>1</v>
      </c>
      <c r="AB34" s="1559">
        <f t="shared" si="4"/>
        <v>1</v>
      </c>
      <c r="AC34" s="1559">
        <f t="shared" si="5"/>
        <v>1</v>
      </c>
    </row>
    <row r="35" spans="1:29" ht="20.25">
      <c r="A35" s="531"/>
      <c r="B35" s="565"/>
      <c r="C35" s="553"/>
      <c r="D35" s="556"/>
      <c r="E35" s="575"/>
      <c r="F35" s="554"/>
      <c r="G35" s="553"/>
      <c r="H35" s="554"/>
      <c r="I35" s="575"/>
      <c r="J35" s="554"/>
      <c r="K35" s="580"/>
      <c r="L35" s="2124"/>
      <c r="M35" s="2114"/>
      <c r="N35" s="2114"/>
      <c r="O35" s="2123"/>
      <c r="P35" s="3502"/>
      <c r="Q35" s="1555"/>
      <c r="R35" s="1556"/>
      <c r="S35" s="1557"/>
      <c r="T35" s="1556"/>
      <c r="U35" s="1557"/>
      <c r="V35" s="1556"/>
      <c r="W35" s="1557"/>
      <c r="X35" s="1550"/>
      <c r="Y35" s="3502"/>
      <c r="Z35" s="1558"/>
      <c r="AA35" s="1559">
        <v>1</v>
      </c>
      <c r="AB35" s="1559">
        <v>1</v>
      </c>
      <c r="AC35" s="1559">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502"/>
      <c r="Q36" s="1555" t="str">
        <f t="shared" si="8"/>
        <v>土地级别</v>
      </c>
      <c r="R36" s="1556" t="s">
        <v>8</v>
      </c>
      <c r="S36" s="1557">
        <f t="shared" si="10"/>
        <v>100</v>
      </c>
      <c r="T36" s="1556" t="s">
        <v>8</v>
      </c>
      <c r="U36" s="1557">
        <f t="shared" si="11"/>
        <v>100</v>
      </c>
      <c r="V36" s="1556" t="s">
        <v>8</v>
      </c>
      <c r="W36" s="1557">
        <f t="shared" si="12"/>
        <v>100</v>
      </c>
      <c r="X36" s="1550"/>
      <c r="Y36" s="3502"/>
      <c r="Z36" s="1558" t="str">
        <f t="shared" si="13"/>
        <v>土地级别</v>
      </c>
      <c r="AA36" s="1559">
        <f t="shared" si="3"/>
        <v>1</v>
      </c>
      <c r="AB36" s="1559">
        <f t="shared" si="4"/>
        <v>1</v>
      </c>
      <c r="AC36" s="1559">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502"/>
      <c r="Q37" s="1555">
        <f t="shared" si="8"/>
        <v>111</v>
      </c>
      <c r="R37" s="1556" t="s">
        <v>8</v>
      </c>
      <c r="S37" s="1557">
        <f t="shared" si="10"/>
        <v>100</v>
      </c>
      <c r="T37" s="1556" t="s">
        <v>8</v>
      </c>
      <c r="U37" s="1557">
        <f t="shared" si="11"/>
        <v>100</v>
      </c>
      <c r="V37" s="1556" t="s">
        <v>8</v>
      </c>
      <c r="W37" s="1557">
        <f t="shared" si="12"/>
        <v>100</v>
      </c>
      <c r="X37" s="1550"/>
      <c r="Y37" s="3502"/>
      <c r="Z37" s="1558">
        <f t="shared" si="13"/>
        <v>111</v>
      </c>
      <c r="AA37" s="1559">
        <f t="shared" si="3"/>
        <v>1</v>
      </c>
      <c r="AB37" s="1559">
        <f t="shared" si="4"/>
        <v>1</v>
      </c>
      <c r="AC37" s="1559">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503" t="s">
        <v>550</v>
      </c>
      <c r="Q38" s="1555">
        <f t="shared" si="8"/>
        <v>111</v>
      </c>
      <c r="R38" s="1556" t="s">
        <v>8</v>
      </c>
      <c r="S38" s="1557">
        <f t="shared" si="10"/>
        <v>100</v>
      </c>
      <c r="T38" s="1556" t="s">
        <v>8</v>
      </c>
      <c r="U38" s="1557">
        <f t="shared" si="11"/>
        <v>100</v>
      </c>
      <c r="V38" s="1556" t="s">
        <v>8</v>
      </c>
      <c r="W38" s="1557">
        <f t="shared" si="12"/>
        <v>100</v>
      </c>
      <c r="X38" s="1550"/>
      <c r="Y38" s="3504" t="s">
        <v>550</v>
      </c>
      <c r="Z38" s="1558">
        <f t="shared" si="13"/>
        <v>111</v>
      </c>
      <c r="AA38" s="1559">
        <f t="shared" si="3"/>
        <v>1</v>
      </c>
      <c r="AB38" s="1559">
        <f t="shared" si="4"/>
        <v>1</v>
      </c>
      <c r="AC38" s="1559">
        <f t="shared" si="5"/>
        <v>1</v>
      </c>
    </row>
    <row r="39" spans="1:29" s="1333"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504"/>
      <c r="Q39" s="1555">
        <f t="shared" si="8"/>
        <v>111</v>
      </c>
      <c r="R39" s="1560" t="s">
        <v>8</v>
      </c>
      <c r="S39" s="1561">
        <f t="shared" si="10"/>
        <v>100</v>
      </c>
      <c r="T39" s="1560" t="s">
        <v>8</v>
      </c>
      <c r="U39" s="1561">
        <f t="shared" si="11"/>
        <v>100</v>
      </c>
      <c r="V39" s="1560" t="s">
        <v>8</v>
      </c>
      <c r="W39" s="1561">
        <f t="shared" si="12"/>
        <v>100</v>
      </c>
      <c r="X39" s="1562"/>
      <c r="Y39" s="3504"/>
      <c r="Z39" s="1563">
        <f t="shared" si="13"/>
        <v>111</v>
      </c>
      <c r="AA39" s="1559">
        <f t="shared" si="3"/>
        <v>1</v>
      </c>
      <c r="AB39" s="1559">
        <f t="shared" si="4"/>
        <v>1</v>
      </c>
      <c r="AC39" s="1559">
        <f t="shared" si="5"/>
        <v>1</v>
      </c>
    </row>
    <row r="40" spans="1:29" ht="20.25">
      <c r="A40" s="2859" t="s">
        <v>2750</v>
      </c>
      <c r="B40" s="3256" t="s">
        <v>552</v>
      </c>
      <c r="C40" s="595">
        <f>'数据-基础表'!A3</f>
        <v>20176.84</v>
      </c>
      <c r="D40" s="596">
        <v>100</v>
      </c>
      <c r="E40" s="595">
        <f>土地案例!E3</f>
        <v>56796.86</v>
      </c>
      <c r="F40" s="596">
        <f>LOOKUP(E40,119:119,120:120)-LOOKUP(C40,119:119,120:120)+100</f>
        <v>102</v>
      </c>
      <c r="G40" s="595">
        <f>土地案例!E4</f>
        <v>66908.990000000005</v>
      </c>
      <c r="H40" s="596">
        <f>LOOKUP(G40,119:119,120:120)-LOOKUP(C40,119:119,120:120)+100</f>
        <v>102</v>
      </c>
      <c r="I40" s="597">
        <f>土地案例!E20</f>
        <v>94612.57</v>
      </c>
      <c r="J40" s="596">
        <f>LOOKUP(I40,119:119,120:120)-LOOKUP(C40,119:119,120:120)+100</f>
        <v>104</v>
      </c>
      <c r="K40" s="580"/>
      <c r="L40" s="2124"/>
      <c r="M40" s="2114"/>
      <c r="N40" s="2114"/>
      <c r="O40" s="2123"/>
      <c r="P40" s="3504"/>
      <c r="Q40" s="1555" t="str">
        <f>B40</f>
        <v>宗地面积</v>
      </c>
      <c r="R40" s="1556" t="s">
        <v>8</v>
      </c>
      <c r="S40" s="1557">
        <f t="shared" si="10"/>
        <v>102</v>
      </c>
      <c r="T40" s="1556" t="s">
        <v>8</v>
      </c>
      <c r="U40" s="1557">
        <f t="shared" si="11"/>
        <v>102</v>
      </c>
      <c r="V40" s="1556" t="s">
        <v>8</v>
      </c>
      <c r="W40" s="1557">
        <f t="shared" si="12"/>
        <v>104</v>
      </c>
      <c r="X40" s="1550"/>
      <c r="Y40" s="3504"/>
      <c r="Z40" s="1558" t="str">
        <f t="shared" si="13"/>
        <v>宗地面积</v>
      </c>
      <c r="AA40" s="1559">
        <f t="shared" si="3"/>
        <v>0.98039215686274506</v>
      </c>
      <c r="AB40" s="1559">
        <f t="shared" si="4"/>
        <v>0.98039215686274506</v>
      </c>
      <c r="AC40" s="1559">
        <f t="shared" si="5"/>
        <v>0.96153846153846156</v>
      </c>
    </row>
    <row r="41" spans="1:29" ht="20.25">
      <c r="A41" s="593"/>
      <c r="B41" s="3243" t="s">
        <v>553</v>
      </c>
      <c r="C41" s="598" t="s">
        <v>3284</v>
      </c>
      <c r="D41" s="539">
        <v>100</v>
      </c>
      <c r="E41" s="598" t="s">
        <v>3284</v>
      </c>
      <c r="F41" s="539">
        <f>SUMIF(121:121,E41,122:122)-SUMIF(121:121,C41,122:122)+100</f>
        <v>100</v>
      </c>
      <c r="G41" s="598" t="s">
        <v>3284</v>
      </c>
      <c r="H41" s="539">
        <f>SUMIF(121:121,G41,122:122)-SUMIF(121:121,C41,122:122)+100</f>
        <v>100</v>
      </c>
      <c r="I41" s="598" t="s">
        <v>3284</v>
      </c>
      <c r="J41" s="539">
        <f>SUMIF(121:121,I41,122:122)-SUMIF(121:121,C41,122:122)+100</f>
        <v>100</v>
      </c>
      <c r="K41" s="583">
        <v>2</v>
      </c>
      <c r="L41" s="2124"/>
      <c r="M41" s="2114"/>
      <c r="N41" s="2114"/>
      <c r="O41" s="2123"/>
      <c r="P41" s="3504"/>
      <c r="Q41" s="1555" t="str">
        <f t="shared" ref="Q41:Q47" si="14">B41</f>
        <v>宗地形状</v>
      </c>
      <c r="R41" s="1556" t="s">
        <v>8</v>
      </c>
      <c r="S41" s="1557">
        <f t="shared" si="10"/>
        <v>100</v>
      </c>
      <c r="T41" s="1556" t="s">
        <v>8</v>
      </c>
      <c r="U41" s="1557">
        <f t="shared" si="11"/>
        <v>100</v>
      </c>
      <c r="V41" s="1556" t="s">
        <v>8</v>
      </c>
      <c r="W41" s="1557">
        <f t="shared" si="12"/>
        <v>100</v>
      </c>
      <c r="X41" s="1550"/>
      <c r="Y41" s="3504"/>
      <c r="Z41" s="1558" t="str">
        <f t="shared" si="13"/>
        <v>宗地形状</v>
      </c>
      <c r="AA41" s="1559">
        <f t="shared" si="3"/>
        <v>1</v>
      </c>
      <c r="AB41" s="1559">
        <f t="shared" si="4"/>
        <v>1</v>
      </c>
      <c r="AC41" s="1559">
        <f t="shared" si="5"/>
        <v>1</v>
      </c>
    </row>
    <row r="42" spans="1:29" ht="20.25">
      <c r="A42" s="593"/>
      <c r="B42" s="526" t="s">
        <v>554</v>
      </c>
      <c r="C42" s="598" t="s">
        <v>3295</v>
      </c>
      <c r="D42" s="539">
        <v>100</v>
      </c>
      <c r="E42" s="598" t="s">
        <v>3295</v>
      </c>
      <c r="F42" s="539">
        <f>SUMIF(123:123,E42,124:124)-SUMIF(123:123,C42,124:124)+100</f>
        <v>100</v>
      </c>
      <c r="G42" s="598" t="s">
        <v>3295</v>
      </c>
      <c r="H42" s="539">
        <f>SUMIF(123:123,G42,124:124)-SUMIF(123:123,C42,124:124)+100</f>
        <v>100</v>
      </c>
      <c r="I42" s="598" t="s">
        <v>3295</v>
      </c>
      <c r="J42" s="539">
        <f>SUMIF(123:123,I42,124:124)-SUMIF(123:123,C42,124:124)+100</f>
        <v>100</v>
      </c>
      <c r="K42" s="583"/>
      <c r="L42" s="2124"/>
      <c r="M42" s="2114"/>
      <c r="N42" s="2114"/>
      <c r="O42" s="2123"/>
      <c r="P42" s="3504"/>
      <c r="Q42" s="1555" t="str">
        <f t="shared" si="14"/>
        <v>临街宽度及深度</v>
      </c>
      <c r="R42" s="1556" t="s">
        <v>8</v>
      </c>
      <c r="S42" s="1557">
        <f t="shared" si="10"/>
        <v>100</v>
      </c>
      <c r="T42" s="1556" t="s">
        <v>8</v>
      </c>
      <c r="U42" s="1557">
        <f t="shared" si="11"/>
        <v>100</v>
      </c>
      <c r="V42" s="1556" t="s">
        <v>8</v>
      </c>
      <c r="W42" s="1557">
        <f t="shared" si="12"/>
        <v>100</v>
      </c>
      <c r="X42" s="1550"/>
      <c r="Y42" s="3504"/>
      <c r="Z42" s="1558" t="str">
        <f t="shared" si="13"/>
        <v>临街宽度及深度</v>
      </c>
      <c r="AA42" s="1559">
        <f t="shared" si="3"/>
        <v>1</v>
      </c>
      <c r="AB42" s="1559">
        <f t="shared" si="4"/>
        <v>1</v>
      </c>
      <c r="AC42" s="1559">
        <f t="shared" si="5"/>
        <v>1</v>
      </c>
    </row>
    <row r="43" spans="1:29" s="1214" customFormat="1" ht="20.25">
      <c r="A43" s="599"/>
      <c r="B43" s="3244" t="s">
        <v>2420</v>
      </c>
      <c r="C43" s="600" t="s">
        <v>3292</v>
      </c>
      <c r="D43" s="254">
        <v>100</v>
      </c>
      <c r="E43" s="600" t="s">
        <v>3292</v>
      </c>
      <c r="F43" s="539">
        <f>SUMIF(125:125,E43,126:126)-SUMIF(125:125,C43,126:126)+100</f>
        <v>100</v>
      </c>
      <c r="G43" s="600" t="s">
        <v>3292</v>
      </c>
      <c r="H43" s="539">
        <f>SUMIF(125:125,G43,126:126)-SUMIF(125:125,C43,126:126)+100</f>
        <v>100</v>
      </c>
      <c r="I43" s="600" t="s">
        <v>3292</v>
      </c>
      <c r="J43" s="539">
        <f>SUMIF(125:125,I43,126:126)-SUMIF(125:125,C43,126:126)+100</f>
        <v>100</v>
      </c>
      <c r="K43" s="583">
        <v>2</v>
      </c>
      <c r="L43" s="2117"/>
      <c r="M43" s="2114"/>
      <c r="N43" s="2114"/>
      <c r="O43" s="2119"/>
      <c r="P43" s="3504"/>
      <c r="Q43" s="1555" t="str">
        <f t="shared" si="14"/>
        <v>宗地开发程度</v>
      </c>
      <c r="R43" s="1551" t="s">
        <v>8</v>
      </c>
      <c r="S43" s="1552">
        <f t="shared" si="10"/>
        <v>100</v>
      </c>
      <c r="T43" s="1551" t="s">
        <v>8</v>
      </c>
      <c r="U43" s="1552">
        <f t="shared" si="11"/>
        <v>100</v>
      </c>
      <c r="V43" s="1551" t="s">
        <v>8</v>
      </c>
      <c r="W43" s="1552">
        <f t="shared" si="12"/>
        <v>100</v>
      </c>
      <c r="X43" s="1553"/>
      <c r="Y43" s="3504"/>
      <c r="Z43" s="1144" t="str">
        <f t="shared" si="13"/>
        <v>宗地开发程度</v>
      </c>
      <c r="AA43" s="1554">
        <f t="shared" si="3"/>
        <v>1</v>
      </c>
      <c r="AB43" s="1554">
        <f t="shared" si="4"/>
        <v>1</v>
      </c>
      <c r="AC43" s="1554">
        <f t="shared" si="5"/>
        <v>1</v>
      </c>
    </row>
    <row r="44" spans="1:29" ht="20.25">
      <c r="A44" s="593"/>
      <c r="B44" s="3243" t="s">
        <v>555</v>
      </c>
      <c r="C44" s="598" t="s">
        <v>3031</v>
      </c>
      <c r="D44" s="539">
        <v>100</v>
      </c>
      <c r="E44" s="598" t="s">
        <v>3031</v>
      </c>
      <c r="F44" s="539">
        <f>SUMIF(127:127,E44,128:128)-SUMIF(127:127,C44,128:128)+100</f>
        <v>100</v>
      </c>
      <c r="G44" s="598" t="s">
        <v>3031</v>
      </c>
      <c r="H44" s="539">
        <f>SUMIF(127:127,G44,128:128)-SUMIF(127:127,C44,128:128)+100</f>
        <v>100</v>
      </c>
      <c r="I44" s="598" t="s">
        <v>3031</v>
      </c>
      <c r="J44" s="539">
        <f>SUMIF(127:127,I44,128:128)-SUMIF(127:127,C44,128:128)+100</f>
        <v>100</v>
      </c>
      <c r="K44" s="583">
        <v>2</v>
      </c>
      <c r="L44" s="2124"/>
      <c r="M44" s="2114"/>
      <c r="N44" s="2114"/>
      <c r="O44" s="2123"/>
      <c r="P44" s="3504" t="s">
        <v>550</v>
      </c>
      <c r="Q44" s="1555" t="str">
        <f t="shared" si="14"/>
        <v>工程地质条件</v>
      </c>
      <c r="R44" s="1556" t="s">
        <v>8</v>
      </c>
      <c r="S44" s="1557">
        <f t="shared" si="10"/>
        <v>100</v>
      </c>
      <c r="T44" s="1556" t="s">
        <v>8</v>
      </c>
      <c r="U44" s="1557">
        <f t="shared" si="11"/>
        <v>100</v>
      </c>
      <c r="V44" s="1556" t="s">
        <v>8</v>
      </c>
      <c r="W44" s="1557">
        <f t="shared" si="12"/>
        <v>100</v>
      </c>
      <c r="X44" s="1550"/>
      <c r="Y44" s="3504" t="s">
        <v>550</v>
      </c>
      <c r="Z44" s="1558" t="str">
        <f t="shared" si="13"/>
        <v>工程地质条件</v>
      </c>
      <c r="AA44" s="1559">
        <f t="shared" si="3"/>
        <v>1</v>
      </c>
      <c r="AB44" s="1559">
        <f t="shared" si="4"/>
        <v>1</v>
      </c>
      <c r="AC44" s="1559">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504"/>
      <c r="Q45" s="1555">
        <f t="shared" si="14"/>
        <v>111</v>
      </c>
      <c r="R45" s="1556" t="s">
        <v>8</v>
      </c>
      <c r="S45" s="1557">
        <f t="shared" si="10"/>
        <v>100</v>
      </c>
      <c r="T45" s="1556" t="s">
        <v>8</v>
      </c>
      <c r="U45" s="1557">
        <f t="shared" si="11"/>
        <v>100</v>
      </c>
      <c r="V45" s="1556" t="s">
        <v>8</v>
      </c>
      <c r="W45" s="1557">
        <f t="shared" si="12"/>
        <v>100</v>
      </c>
      <c r="X45" s="1550"/>
      <c r="Y45" s="3504"/>
      <c r="Z45" s="1558">
        <f t="shared" si="13"/>
        <v>111</v>
      </c>
      <c r="AA45" s="1559">
        <f t="shared" si="3"/>
        <v>1</v>
      </c>
      <c r="AB45" s="1559">
        <f t="shared" si="4"/>
        <v>1</v>
      </c>
      <c r="AC45" s="1559">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504"/>
      <c r="Q46" s="1555">
        <f t="shared" si="14"/>
        <v>111</v>
      </c>
      <c r="R46" s="1556" t="s">
        <v>8</v>
      </c>
      <c r="S46" s="1557">
        <f t="shared" si="10"/>
        <v>100</v>
      </c>
      <c r="T46" s="1556" t="s">
        <v>8</v>
      </c>
      <c r="U46" s="1557">
        <f t="shared" si="11"/>
        <v>100</v>
      </c>
      <c r="V46" s="1556" t="s">
        <v>8</v>
      </c>
      <c r="W46" s="1557">
        <f t="shared" si="12"/>
        <v>100</v>
      </c>
      <c r="X46" s="1550"/>
      <c r="Y46" s="3504"/>
      <c r="Z46" s="1558">
        <f t="shared" si="13"/>
        <v>111</v>
      </c>
      <c r="AA46" s="1559">
        <f t="shared" si="3"/>
        <v>1</v>
      </c>
      <c r="AB46" s="1559">
        <f t="shared" si="4"/>
        <v>1</v>
      </c>
      <c r="AC46" s="1559">
        <f t="shared" si="5"/>
        <v>1</v>
      </c>
    </row>
    <row r="47" spans="1:29" s="1333"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504"/>
      <c r="Q47" s="1555">
        <f t="shared" si="14"/>
        <v>111</v>
      </c>
      <c r="R47" s="1560" t="s">
        <v>8</v>
      </c>
      <c r="S47" s="1561">
        <f t="shared" si="10"/>
        <v>100</v>
      </c>
      <c r="T47" s="1560" t="s">
        <v>8</v>
      </c>
      <c r="U47" s="1561">
        <f t="shared" si="11"/>
        <v>100</v>
      </c>
      <c r="V47" s="1560" t="s">
        <v>8</v>
      </c>
      <c r="W47" s="1561">
        <f t="shared" si="12"/>
        <v>100</v>
      </c>
      <c r="X47" s="1562"/>
      <c r="Y47" s="3504"/>
      <c r="Z47" s="1563">
        <f t="shared" si="13"/>
        <v>111</v>
      </c>
      <c r="AA47" s="1559">
        <f t="shared" si="3"/>
        <v>1</v>
      </c>
      <c r="AB47" s="1559">
        <f t="shared" si="4"/>
        <v>1</v>
      </c>
      <c r="AC47" s="1559">
        <f t="shared" si="5"/>
        <v>1</v>
      </c>
    </row>
    <row r="48" spans="1:29" ht="20.25">
      <c r="A48" s="606" t="s">
        <v>556</v>
      </c>
      <c r="B48" s="607" t="s">
        <v>3185</v>
      </c>
      <c r="C48" s="608" t="s">
        <v>1</v>
      </c>
      <c r="D48" s="609"/>
      <c r="E48" s="3255">
        <f>ROUND(土地案例!L3,0)</f>
        <v>3278</v>
      </c>
      <c r="F48" s="611"/>
      <c r="G48" s="612">
        <f>土地案例!L4</f>
        <v>3007</v>
      </c>
      <c r="H48" s="613"/>
      <c r="I48" s="610">
        <f>ROUND(土地案例!L20,0)</f>
        <v>3611</v>
      </c>
      <c r="J48" s="613"/>
      <c r="K48" s="1334"/>
      <c r="L48" s="2126"/>
      <c r="M48" s="2114"/>
      <c r="N48" s="2114"/>
      <c r="O48" s="2127"/>
      <c r="P48" s="3467" t="str">
        <f>A48</f>
        <v>成交单价</v>
      </c>
      <c r="Q48" s="3467"/>
      <c r="R48" s="3468">
        <f>E48</f>
        <v>3278</v>
      </c>
      <c r="S48" s="3468"/>
      <c r="T48" s="3468">
        <f>G48</f>
        <v>3007</v>
      </c>
      <c r="U48" s="3468"/>
      <c r="V48" s="3468">
        <f>I48</f>
        <v>3611</v>
      </c>
      <c r="W48" s="3468"/>
      <c r="X48" s="1542"/>
      <c r="Y48" s="1564"/>
      <c r="Z48" s="1542"/>
      <c r="AA48" s="1542"/>
      <c r="AB48" s="1542"/>
      <c r="AC48" s="1542"/>
    </row>
    <row r="49" spans="1:29" ht="21" thickBot="1">
      <c r="A49" s="614" t="s">
        <v>2688</v>
      </c>
      <c r="B49" s="615"/>
      <c r="C49" s="616">
        <f>R50</f>
        <v>2737</v>
      </c>
      <c r="D49" s="617"/>
      <c r="E49" s="616">
        <f>R49</f>
        <v>2722</v>
      </c>
      <c r="F49" s="618"/>
      <c r="G49" s="619">
        <f>T49</f>
        <v>2548</v>
      </c>
      <c r="H49" s="617"/>
      <c r="I49" s="616">
        <f>V49</f>
        <v>2941</v>
      </c>
      <c r="J49" s="617"/>
      <c r="K49" s="1335"/>
      <c r="L49" s="2126"/>
      <c r="M49" s="2114"/>
      <c r="N49" s="2114"/>
      <c r="O49" s="2127"/>
      <c r="P49" s="3467" t="str">
        <f>A49</f>
        <v>比较价格（元/平方米）</v>
      </c>
      <c r="Q49" s="3467"/>
      <c r="R49" s="3469">
        <f>ROUND(PRODUCT(R48,AA9:AA47),0)</f>
        <v>2722</v>
      </c>
      <c r="S49" s="3469"/>
      <c r="T49" s="3469">
        <f>ROUND(PRODUCT(T48,AB9:AB47),0)</f>
        <v>2548</v>
      </c>
      <c r="U49" s="3469"/>
      <c r="V49" s="3469">
        <f>ROUND(PRODUCT(V48,AC9:AC47),0)</f>
        <v>2941</v>
      </c>
      <c r="W49" s="3469"/>
      <c r="X49" s="1542"/>
      <c r="Y49" s="1542"/>
      <c r="Z49" s="1542"/>
      <c r="AA49" s="1542"/>
      <c r="AB49" s="1542"/>
      <c r="AC49" s="1542"/>
    </row>
    <row r="50" spans="1:29" ht="21" thickBot="1">
      <c r="A50" s="620" t="s">
        <v>2928</v>
      </c>
      <c r="B50" s="621"/>
      <c r="C50" s="622">
        <f>R50</f>
        <v>2737</v>
      </c>
      <c r="D50" s="622"/>
      <c r="E50" s="622"/>
      <c r="F50" s="622"/>
      <c r="G50" s="622"/>
      <c r="H50" s="622"/>
      <c r="I50" s="622"/>
      <c r="J50" s="622"/>
      <c r="K50" s="1336"/>
      <c r="L50" s="2126"/>
      <c r="M50" s="2114"/>
      <c r="N50" s="2114"/>
      <c r="O50" s="2127"/>
      <c r="P50" s="3464" t="str">
        <f>A50</f>
        <v>估价对象XX用房的比较价格（楼面单价，元/平方米）</v>
      </c>
      <c r="Q50" s="3465"/>
      <c r="R50" s="3466">
        <f>ROUND(AVERAGE(R49:V49),0)</f>
        <v>2737</v>
      </c>
      <c r="S50" s="3466"/>
      <c r="T50" s="3466"/>
      <c r="U50" s="3466"/>
      <c r="V50" s="3466"/>
      <c r="W50" s="3466"/>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f>IF(E48&lt;E49,E49/E48-1,E48/E49-1)</f>
        <v>0.20426157237325504</v>
      </c>
      <c r="F53" s="626" t="str">
        <f>IF(OR(E53&gt;=0.3,E53&lt;=-0.3),"超过30%","")</f>
        <v/>
      </c>
      <c r="G53" s="625">
        <f>IF(G48&lt;G49,G49/G48-1,G48/G49-1)</f>
        <v>0.18014128728414436</v>
      </c>
      <c r="H53" s="626" t="str">
        <f>IF(OR(G53&gt;=0.3,G53&lt;=-0.3),"超过30%","")</f>
        <v/>
      </c>
      <c r="I53" s="625">
        <f>IF(I48&lt;I49,I49/I48-1,I48/I49-1)</f>
        <v>0.2278136688201291</v>
      </c>
      <c r="J53" s="626"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f>IF(E49&lt;G49,G49/E49-1,E49/G49-1)</f>
        <v>6.8288854003139665E-2</v>
      </c>
      <c r="F54" s="626" t="str">
        <f>IF(OR(E54&gt;=0.2,E54&lt;=-0.2),"超过20%","")</f>
        <v/>
      </c>
      <c r="G54" s="625">
        <f>IF(G49&lt;I49,I49/G49-1,G49/I49-1)</f>
        <v>0.15423861852433274</v>
      </c>
      <c r="H54" s="626" t="str">
        <f>IF(OR(G54&gt;=0.2,G54&lt;=-0.2),"超过20%","")</f>
        <v/>
      </c>
      <c r="I54" s="625">
        <f>IF(I49&lt;E49,E49/I49-1,I49/E49-1)</f>
        <v>8.045554739162375E-2</v>
      </c>
      <c r="J54" s="626"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3" t="s">
        <v>559</v>
      </c>
      <c r="D55" s="627"/>
      <c r="E55" s="625">
        <f>IF(E48&lt;G48,G48/E48-1,E48/G48-1)</f>
        <v>9.0123046225473846E-2</v>
      </c>
      <c r="F55" s="626" t="str">
        <f>IF(OR(E55&gt;=0.3,E55&lt;=-0.3),"超过30%","")</f>
        <v/>
      </c>
      <c r="G55" s="625">
        <f>IF(G48&lt;I48,I48/G48-1,G48/I48-1)</f>
        <v>0.20086464915197877</v>
      </c>
      <c r="H55" s="626" t="str">
        <f>IF(OR(G55&gt;=0.3,G55&lt;=-0.3),"超过30%","")</f>
        <v/>
      </c>
      <c r="I55" s="625">
        <f>IF(I48&lt;E48,E48/I48-1,I48/E48-1)</f>
        <v>0.10158633312995735</v>
      </c>
      <c r="J55" s="626"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8" t="s">
        <v>560</v>
      </c>
      <c r="B57" s="629" t="s">
        <v>561</v>
      </c>
      <c r="C57" s="1543" t="s">
        <v>1724</v>
      </c>
      <c r="D57" s="2209" t="s">
        <v>2291</v>
      </c>
      <c r="E57" s="630" t="s">
        <v>562</v>
      </c>
      <c r="F57" s="631" t="s">
        <v>563</v>
      </c>
      <c r="G57" s="3493" t="s">
        <v>2279</v>
      </c>
      <c r="H57" s="3494"/>
      <c r="I57" s="1538" t="s">
        <v>1722</v>
      </c>
      <c r="J57" s="1538" t="str">
        <f>项目基本情况!F41</f>
        <v>广西省柳州市</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2.75">
      <c r="A58" s="632" t="s">
        <v>564</v>
      </c>
      <c r="B58" s="633">
        <f>C50</f>
        <v>2737</v>
      </c>
      <c r="C58" s="634">
        <v>1</v>
      </c>
      <c r="D58" s="2210">
        <v>1</v>
      </c>
      <c r="E58" s="634">
        <f>'数据-汇总表'!E8+'数据-汇总表'!E9</f>
        <v>50582.6</v>
      </c>
      <c r="F58" s="635">
        <f t="shared" ref="F58:F67" si="15">ROUND(B58*E58/10000,0)</f>
        <v>13844</v>
      </c>
      <c r="G58" s="3495"/>
      <c r="H58" s="3496"/>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6" t="s">
        <v>565</v>
      </c>
      <c r="B59" s="637">
        <f>ROUND($C$50*C59*D59,0)</f>
        <v>0</v>
      </c>
      <c r="C59" s="377">
        <f t="shared" ref="C59:C67" si="16">IF($C$57="北京市系数",I59,J59)</f>
        <v>0</v>
      </c>
      <c r="D59" s="2211">
        <v>0.25</v>
      </c>
      <c r="E59" s="638">
        <v>0</v>
      </c>
      <c r="F59" s="635">
        <f t="shared" si="15"/>
        <v>0</v>
      </c>
      <c r="G59" s="3497" t="s">
        <v>2280</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6" t="s">
        <v>566</v>
      </c>
      <c r="B60" s="637">
        <f t="shared" ref="B60:B67" si="17">ROUND($C$50*C60*D60,0)</f>
        <v>0</v>
      </c>
      <c r="C60" s="377">
        <f t="shared" si="16"/>
        <v>0</v>
      </c>
      <c r="D60" s="2211">
        <v>0.25</v>
      </c>
      <c r="E60" s="638">
        <v>0</v>
      </c>
      <c r="F60" s="635">
        <f t="shared" si="15"/>
        <v>0</v>
      </c>
      <c r="G60" s="3497"/>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6" t="s">
        <v>567</v>
      </c>
      <c r="B61" s="637">
        <f t="shared" si="17"/>
        <v>0</v>
      </c>
      <c r="C61" s="377">
        <f t="shared" si="16"/>
        <v>0</v>
      </c>
      <c r="D61" s="2211">
        <v>0.25</v>
      </c>
      <c r="E61" s="638">
        <v>0</v>
      </c>
      <c r="F61" s="635">
        <f t="shared" si="15"/>
        <v>0</v>
      </c>
      <c r="G61" s="3497"/>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2.75">
      <c r="A62" s="636" t="s">
        <v>568</v>
      </c>
      <c r="B62" s="637">
        <f t="shared" si="17"/>
        <v>0</v>
      </c>
      <c r="C62" s="377">
        <f t="shared" si="16"/>
        <v>0</v>
      </c>
      <c r="D62" s="2211">
        <v>0.25</v>
      </c>
      <c r="E62" s="638">
        <v>0</v>
      </c>
      <c r="F62" s="635">
        <f t="shared" si="15"/>
        <v>0</v>
      </c>
      <c r="G62" s="3497"/>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2.75">
      <c r="A63" s="2313" t="s">
        <v>2324</v>
      </c>
      <c r="B63" s="637">
        <f t="shared" si="17"/>
        <v>0</v>
      </c>
      <c r="C63" s="377">
        <f t="shared" si="16"/>
        <v>0</v>
      </c>
      <c r="D63" s="2211">
        <v>0.25</v>
      </c>
      <c r="E63" s="640">
        <f>'数据-汇总表'!E11</f>
        <v>0</v>
      </c>
      <c r="F63" s="635">
        <f t="shared" si="15"/>
        <v>0</v>
      </c>
      <c r="G63" s="1927" t="s">
        <v>2281</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2.75">
      <c r="A64" s="636" t="s">
        <v>569</v>
      </c>
      <c r="B64" s="637">
        <f t="shared" si="17"/>
        <v>0</v>
      </c>
      <c r="C64" s="377">
        <f t="shared" si="16"/>
        <v>0</v>
      </c>
      <c r="D64" s="2211">
        <v>0.25</v>
      </c>
      <c r="E64" s="640">
        <f>'数据-汇总表'!E12</f>
        <v>0</v>
      </c>
      <c r="F64" s="635">
        <f t="shared" si="15"/>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2.75">
      <c r="A65" s="636" t="s">
        <v>570</v>
      </c>
      <c r="B65" s="637">
        <f t="shared" si="17"/>
        <v>0</v>
      </c>
      <c r="C65" s="377">
        <f t="shared" si="16"/>
        <v>0</v>
      </c>
      <c r="D65" s="2211">
        <v>0.25</v>
      </c>
      <c r="E65" s="640">
        <f>'数据-汇总表'!E13</f>
        <v>20961.669999999998</v>
      </c>
      <c r="F65" s="635">
        <f t="shared" si="15"/>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2.75">
      <c r="A66" s="636" t="s">
        <v>571</v>
      </c>
      <c r="B66" s="637">
        <f t="shared" si="17"/>
        <v>0</v>
      </c>
      <c r="C66" s="377">
        <f t="shared" si="16"/>
        <v>0</v>
      </c>
      <c r="D66" s="2211">
        <v>0.25</v>
      </c>
      <c r="E66" s="640">
        <f>'数据-汇总表'!E14</f>
        <v>0</v>
      </c>
      <c r="F66" s="635">
        <f t="shared" si="15"/>
        <v>0</v>
      </c>
      <c r="G66" s="1927" t="s">
        <v>2280</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ht="13.5" thickBot="1">
      <c r="A67" s="636" t="s">
        <v>572</v>
      </c>
      <c r="B67" s="637">
        <f t="shared" si="17"/>
        <v>0</v>
      </c>
      <c r="C67" s="377">
        <f t="shared" si="16"/>
        <v>0</v>
      </c>
      <c r="D67" s="2211">
        <v>0.25</v>
      </c>
      <c r="E67" s="640">
        <f>'数据-汇总表'!E15</f>
        <v>0</v>
      </c>
      <c r="F67" s="635">
        <f t="shared" si="15"/>
        <v>0</v>
      </c>
      <c r="G67" s="1929" t="s">
        <v>2281</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ht="13.5" thickBot="1">
      <c r="A68" s="641" t="s">
        <v>573</v>
      </c>
      <c r="B68" s="642" t="s">
        <v>17</v>
      </c>
      <c r="C68" s="642" t="s">
        <v>18</v>
      </c>
      <c r="D68" s="642" t="s">
        <v>2292</v>
      </c>
      <c r="E68" s="642">
        <f>IF(B48="楼面地价",SUM(E58:E67),'数据-汇总表'!D3)</f>
        <v>71544.26999999999</v>
      </c>
      <c r="F68" s="643">
        <f>IF(B48="楼面地价",SUM(F58:F67),ROUND(C50*E68/10000,0))</f>
        <v>13844</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2019-8-1</v>
      </c>
      <c r="D70" s="2751">
        <f>EDATE(C70,-3)</f>
        <v>43586</v>
      </c>
      <c r="E70" s="2751">
        <f t="shared" ref="E70:N70" si="18">EDATE(D70,-3)</f>
        <v>43497</v>
      </c>
      <c r="F70" s="2751">
        <f t="shared" si="18"/>
        <v>43405</v>
      </c>
      <c r="G70" s="2751">
        <f t="shared" si="18"/>
        <v>43313</v>
      </c>
      <c r="H70" s="2751">
        <f t="shared" si="18"/>
        <v>43221</v>
      </c>
      <c r="I70" s="2751">
        <f t="shared" si="18"/>
        <v>43132</v>
      </c>
      <c r="J70" s="2751">
        <f t="shared" si="18"/>
        <v>43040</v>
      </c>
      <c r="K70" s="2751">
        <f t="shared" si="18"/>
        <v>42948</v>
      </c>
      <c r="L70" s="2751">
        <f t="shared" si="18"/>
        <v>42856</v>
      </c>
      <c r="M70" s="2751">
        <f t="shared" si="18"/>
        <v>42767</v>
      </c>
      <c r="N70" s="2751">
        <f t="shared" si="18"/>
        <v>42675</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5">
      <c r="A72" s="2529" t="s">
        <v>2527</v>
      </c>
      <c r="B72" s="2530"/>
      <c r="C72" s="2747" t="str">
        <f>YEAR(C70)&amp;"-"&amp;ROUNDUP(MONTH(C70)/3,0)</f>
        <v>2019-3</v>
      </c>
      <c r="D72" s="2753" t="str">
        <f>YEAR(D70)&amp;"-"&amp;ROUNDUP(MONTH(D70)/3,0)</f>
        <v>2019-2</v>
      </c>
      <c r="E72" s="2753" t="str">
        <f t="shared" ref="E72:N72" si="19">YEAR(E70)&amp;"-"&amp;ROUNDUP(MONTH(E70)/3,0)</f>
        <v>2019-1</v>
      </c>
      <c r="F72" s="2753" t="str">
        <f t="shared" si="19"/>
        <v>2018-4</v>
      </c>
      <c r="G72" s="2753" t="str">
        <f t="shared" si="19"/>
        <v>2018-3</v>
      </c>
      <c r="H72" s="2753" t="str">
        <f t="shared" si="19"/>
        <v>2018-2</v>
      </c>
      <c r="I72" s="2753" t="str">
        <f t="shared" si="19"/>
        <v>2018-1</v>
      </c>
      <c r="J72" s="2753" t="str">
        <f t="shared" si="19"/>
        <v>2017-4</v>
      </c>
      <c r="K72" s="2753" t="str">
        <f t="shared" si="19"/>
        <v>2017-3</v>
      </c>
      <c r="L72" s="2753" t="str">
        <f t="shared" si="19"/>
        <v>2017-2</v>
      </c>
      <c r="M72" s="2753" t="str">
        <f t="shared" si="19"/>
        <v>2017-1</v>
      </c>
      <c r="N72" s="2753" t="str">
        <f t="shared" si="19"/>
        <v>2016-4</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2642</v>
      </c>
      <c r="B73" s="478" t="str">
        <f>"北京市平均增长率"&amp;TEXT(SUMIF(基准地价!N21:N25,A73,基准地价!P21:P25),"0.00%")</f>
        <v>北京市平均增长率2.04%</v>
      </c>
      <c r="C73" s="892">
        <v>100</v>
      </c>
      <c r="D73" s="729">
        <v>100</v>
      </c>
      <c r="E73" s="729">
        <v>100</v>
      </c>
      <c r="F73" s="729">
        <v>100</v>
      </c>
      <c r="G73" s="729">
        <v>100</v>
      </c>
      <c r="H73" s="729">
        <v>100</v>
      </c>
      <c r="I73" s="729">
        <v>100</v>
      </c>
      <c r="J73" s="729">
        <v>100</v>
      </c>
      <c r="K73" s="729">
        <v>100</v>
      </c>
      <c r="L73" s="729">
        <v>100</v>
      </c>
      <c r="M73" s="729">
        <v>100</v>
      </c>
      <c r="N73" s="729">
        <v>100</v>
      </c>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2641</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5">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4" customFormat="1" ht="15.75"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c r="A77" s="663" t="s">
        <v>577</v>
      </c>
      <c r="B77" s="664" t="s">
        <v>534</v>
      </c>
      <c r="C77" s="3259" t="s">
        <v>3294</v>
      </c>
      <c r="D77" s="59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0"/>
      <c r="D78" s="670"/>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7.75"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v>
      </c>
      <c r="H81" s="681" t="str">
        <f t="shared" si="20"/>
        <v>（含）-</v>
      </c>
      <c r="I81" s="681" t="str">
        <f t="shared" si="20"/>
        <v>（含）-</v>
      </c>
      <c r="J81" s="681" t="str">
        <f t="shared" si="20"/>
        <v>（含）-</v>
      </c>
      <c r="K81" s="681" t="str">
        <f t="shared" si="20"/>
        <v>（含）-</v>
      </c>
      <c r="L81" s="681" t="str">
        <f t="shared" si="20"/>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8"/>
      <c r="B82" s="682"/>
      <c r="C82" s="540">
        <v>0</v>
      </c>
      <c r="D82" s="540">
        <v>1</v>
      </c>
      <c r="E82" s="540">
        <v>2</v>
      </c>
      <c r="F82" s="540">
        <v>3</v>
      </c>
      <c r="G82" s="540">
        <v>4</v>
      </c>
      <c r="H82" s="540"/>
      <c r="I82" s="540"/>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48"/>
      <c r="O83" s="2148"/>
      <c r="P83" s="2147"/>
      <c r="Q83" s="2140"/>
      <c r="R83" s="2127"/>
      <c r="S83" s="2127"/>
      <c r="T83" s="2127"/>
      <c r="U83" s="2127"/>
      <c r="V83" s="2127"/>
      <c r="W83" s="2127"/>
      <c r="X83" s="2127"/>
      <c r="Y83" s="2127"/>
      <c r="Z83" s="2127"/>
      <c r="AA83" s="2127"/>
      <c r="AB83" s="2127"/>
      <c r="AC83" s="2127"/>
    </row>
    <row r="84" spans="1:29" s="1333" customFormat="1" ht="15.75" thickTop="1">
      <c r="A84" s="686"/>
      <c r="B84" s="672" t="str">
        <f>B14</f>
        <v>配建</v>
      </c>
      <c r="C84" s="3226" t="s">
        <v>3249</v>
      </c>
      <c r="D84" s="1369" t="s">
        <v>3250</v>
      </c>
      <c r="E84" s="1370"/>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6"/>
      <c r="B85" s="677"/>
      <c r="C85" s="691">
        <v>100</v>
      </c>
      <c r="D85" s="670">
        <v>110</v>
      </c>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3" customFormat="1" ht="15.75"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3" customFormat="1" ht="15.75"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3" customFormat="1" ht="15.75"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3" customFormat="1" ht="15.75"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5.75" thickBot="1">
      <c r="A91" s="668"/>
      <c r="B91" s="677"/>
      <c r="C91" s="678">
        <v>100</v>
      </c>
      <c r="D91" s="678">
        <f>C91-$K17</f>
        <v>95</v>
      </c>
      <c r="E91" s="678">
        <f>D91-$K17</f>
        <v>90</v>
      </c>
      <c r="F91" s="678">
        <f>E91-$K17</f>
        <v>85</v>
      </c>
      <c r="G91" s="678">
        <f>F91-$K17</f>
        <v>80</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7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8">
        <v>100</v>
      </c>
      <c r="D93" s="678">
        <f>C93-$K19</f>
        <v>95</v>
      </c>
      <c r="E93" s="678">
        <f>D93-$K19</f>
        <v>90</v>
      </c>
      <c r="F93" s="678">
        <f>E93-$K19</f>
        <v>85</v>
      </c>
      <c r="G93" s="678">
        <f>F93-$K19</f>
        <v>80</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7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78">
        <v>100</v>
      </c>
      <c r="D95" s="678">
        <f>C95-$K21</f>
        <v>98</v>
      </c>
      <c r="E95" s="678">
        <f>D95-$K21</f>
        <v>96</v>
      </c>
      <c r="F95" s="678">
        <f>E95-$K21</f>
        <v>94</v>
      </c>
      <c r="G95" s="678">
        <f>F95-$K21</f>
        <v>92</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7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78">
        <v>100</v>
      </c>
      <c r="D97" s="678">
        <f>C97-$K23</f>
        <v>95</v>
      </c>
      <c r="E97" s="678">
        <f>D97-$K23</f>
        <v>90</v>
      </c>
      <c r="F97" s="678">
        <f>E97-$K23</f>
        <v>85</v>
      </c>
      <c r="G97" s="678">
        <f>F97-$K23</f>
        <v>80</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4" customFormat="1" ht="27.75"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4" customFormat="1" ht="15.75" thickBot="1">
      <c r="A99" s="708"/>
      <c r="B99" s="677"/>
      <c r="C99" s="711">
        <v>100</v>
      </c>
      <c r="D99" s="678">
        <f>C99-$K25</f>
        <v>100</v>
      </c>
      <c r="E99" s="678">
        <f>D99-$K25</f>
        <v>100</v>
      </c>
      <c r="F99" s="678">
        <f>E99-$K25</f>
        <v>100</v>
      </c>
      <c r="G99" s="678">
        <f>F99-$K25</f>
        <v>100</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4" customFormat="1" ht="27.75"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4"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3" customFormat="1" ht="15.75" thickTop="1">
      <c r="A102" s="686"/>
      <c r="B102" s="1878" t="s">
        <v>2543</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3"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Top="1">
      <c r="A104" s="686"/>
      <c r="B104" s="2558" t="s">
        <v>2545</v>
      </c>
      <c r="C104" s="2559" t="s">
        <v>2546</v>
      </c>
      <c r="D104" s="2559" t="s">
        <v>2547</v>
      </c>
      <c r="E104" s="2559" t="s">
        <v>2548</v>
      </c>
      <c r="F104" s="2559" t="s">
        <v>2549</v>
      </c>
      <c r="G104" s="2559" t="s">
        <v>2550</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3" customFormat="1" ht="15.75" thickBot="1">
      <c r="A105" s="686"/>
      <c r="B105" s="680"/>
      <c r="C105" s="678">
        <v>100</v>
      </c>
      <c r="D105" s="678">
        <f>C105-$K31</f>
        <v>98</v>
      </c>
      <c r="E105" s="678">
        <f>D105-$K31</f>
        <v>96</v>
      </c>
      <c r="F105" s="678">
        <f>E105-$K31</f>
        <v>94</v>
      </c>
      <c r="G105" s="678">
        <f>F105-$K31</f>
        <v>92</v>
      </c>
      <c r="H105" s="682"/>
      <c r="I105" s="682"/>
      <c r="J105" s="682"/>
      <c r="K105" s="682"/>
      <c r="L105" s="682"/>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8"/>
      <c r="B108" s="672" t="s">
        <v>548</v>
      </c>
      <c r="C108" s="687"/>
      <c r="D108" s="687"/>
      <c r="E108" s="687"/>
      <c r="F108" s="687"/>
      <c r="G108" s="687"/>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5"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3" customFormat="1" ht="15"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3" customFormat="1" ht="15.75"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ht="28.5">
      <c r="A118" s="663" t="s">
        <v>551</v>
      </c>
      <c r="B118" s="664" t="s">
        <v>593</v>
      </c>
      <c r="C118" s="703" t="str">
        <f t="shared" ref="C118:L118" si="25">C119&amp;"(含)"&amp;"-"&amp;D119</f>
        <v>0(含)-20000</v>
      </c>
      <c r="D118" s="703" t="str">
        <f t="shared" si="25"/>
        <v>20000(含)-40000</v>
      </c>
      <c r="E118" s="703" t="str">
        <f t="shared" si="25"/>
        <v>40000(含)-80000</v>
      </c>
      <c r="F118" s="703" t="str">
        <f t="shared" si="25"/>
        <v>80000(含)-100000</v>
      </c>
      <c r="G118" s="703" t="str">
        <f t="shared" si="25"/>
        <v>100000(含)-120000</v>
      </c>
      <c r="H118" s="703" t="str">
        <f t="shared" si="25"/>
        <v>120000(含)-</v>
      </c>
      <c r="I118" s="703" t="str">
        <f t="shared" si="25"/>
        <v>(含)-</v>
      </c>
      <c r="J118" s="3038" t="str">
        <f t="shared" si="25"/>
        <v>(含)-</v>
      </c>
      <c r="K118" s="3038" t="str">
        <f t="shared" si="25"/>
        <v>(含)-</v>
      </c>
      <c r="L118" s="3039" t="str">
        <f t="shared" si="25"/>
        <v>(含)-</v>
      </c>
      <c r="M118" s="3040"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8"/>
      <c r="B119" s="680"/>
      <c r="C119" s="729">
        <v>0</v>
      </c>
      <c r="D119" s="729">
        <v>20000</v>
      </c>
      <c r="E119" s="729">
        <v>40000</v>
      </c>
      <c r="F119" s="729">
        <v>80000</v>
      </c>
      <c r="G119" s="729">
        <v>100000</v>
      </c>
      <c r="H119" s="729">
        <v>120000</v>
      </c>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8"/>
      <c r="B120" s="677"/>
      <c r="C120" s="699">
        <v>100</v>
      </c>
      <c r="D120" s="725">
        <v>102</v>
      </c>
      <c r="E120" s="725">
        <v>104</v>
      </c>
      <c r="F120" s="725">
        <v>106</v>
      </c>
      <c r="G120" s="725">
        <v>108</v>
      </c>
      <c r="H120" s="725">
        <v>110</v>
      </c>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3234" t="s">
        <v>3283</v>
      </c>
      <c r="D121" s="3234" t="s">
        <v>3285</v>
      </c>
      <c r="E121" s="3234" t="s">
        <v>3286</v>
      </c>
      <c r="F121" s="3234" t="s">
        <v>3287</v>
      </c>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3226" t="s">
        <v>3296</v>
      </c>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7"/>
      <c r="B125" s="1878" t="s">
        <v>2421</v>
      </c>
      <c r="C125" s="1369" t="s">
        <v>3288</v>
      </c>
      <c r="D125" s="1369" t="s">
        <v>3289</v>
      </c>
      <c r="E125" s="1369" t="s">
        <v>3290</v>
      </c>
      <c r="F125" s="1369" t="s">
        <v>3291</v>
      </c>
      <c r="G125" s="1369" t="s">
        <v>3293</v>
      </c>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3"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3226" t="s">
        <v>3297</v>
      </c>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5"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5.75"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3" customFormat="1" ht="15"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3" customFormat="1" ht="15.75"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1901</v>
      </c>
      <c r="B36" s="1636" t="s">
        <v>1902</v>
      </c>
    </row>
    <row r="37" spans="1:9" ht="28.5" customHeight="1">
      <c r="A37" s="1636"/>
      <c r="B37" s="3288" t="str">
        <f>项目基本情况!B1</f>
        <v>广西省柳州市阳和工业新区出让国有建设用地使用权抵押价格预评估</v>
      </c>
      <c r="C37" s="3288"/>
      <c r="D37" s="3288"/>
      <c r="E37" s="3288"/>
      <c r="F37" s="3288"/>
      <c r="G37" s="3288"/>
      <c r="H37" s="3288"/>
      <c r="I37" s="3288"/>
    </row>
    <row r="38" spans="1:9">
      <c r="A38" s="1638"/>
      <c r="B38" s="1638"/>
    </row>
    <row r="39" spans="1:9">
      <c r="A39" s="1636" t="s">
        <v>1901</v>
      </c>
      <c r="B39" s="1636" t="s">
        <v>2044</v>
      </c>
    </row>
    <row r="40" spans="1:9">
      <c r="A40" s="1636"/>
      <c r="B40" s="1636" t="str">
        <f>项目基本情况!B5</f>
        <v>柳州市瀚丰房地产开发有限公司</v>
      </c>
    </row>
    <row r="41" spans="1:9">
      <c r="A41" s="1636"/>
      <c r="B41" s="1636"/>
    </row>
    <row r="42" spans="1:9">
      <c r="A42" s="1636" t="s">
        <v>1901</v>
      </c>
      <c r="B42" s="1636" t="s">
        <v>2045</v>
      </c>
    </row>
    <row r="43" spans="1:9">
      <c r="A43" s="1636"/>
      <c r="B43" s="1636" t="s">
        <v>1903</v>
      </c>
    </row>
    <row r="44" spans="1:9">
      <c r="A44" s="1636"/>
      <c r="B44" s="1636"/>
    </row>
    <row r="45" spans="1:9">
      <c r="A45" s="1636" t="s">
        <v>1901</v>
      </c>
      <c r="B45" s="1636" t="s">
        <v>2043</v>
      </c>
    </row>
    <row r="46" spans="1:9" s="1636" customFormat="1" ht="12.75">
      <c r="B46" s="1636" t="str">
        <f>项目基本情况!K4</f>
        <v>土地估价师、土地估价师</v>
      </c>
    </row>
    <row r="47" spans="1:9">
      <c r="A47" s="1636"/>
      <c r="B47" s="1636"/>
    </row>
    <row r="48" spans="1:9">
      <c r="A48" s="1636" t="s">
        <v>1901</v>
      </c>
      <c r="B48" s="1636" t="s">
        <v>2046</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outlinePr summaryBelow="0" summaryRight="0"/>
    <pageSetUpPr autoPageBreaks="0" fitToPage="1"/>
  </sheetPr>
  <dimension ref="A1:O25"/>
  <sheetViews>
    <sheetView topLeftCell="A202" workbookViewId="0">
      <selection activeCell="O4" sqref="O4"/>
    </sheetView>
  </sheetViews>
  <sheetFormatPr defaultRowHeight="12.75"/>
  <cols>
    <col min="1" max="1" width="48" style="3203" customWidth="1"/>
    <col min="2" max="2" width="6.25" style="3203" customWidth="1"/>
    <col min="3" max="3" width="13.875" style="3203" customWidth="1"/>
    <col min="4" max="4" width="7.875" style="3203" customWidth="1"/>
    <col min="5" max="6" width="13.875" style="3203" customWidth="1"/>
    <col min="7" max="7" width="17" style="3203" customWidth="1"/>
    <col min="8" max="8" width="9" style="3203" customWidth="1"/>
    <col min="9" max="9" width="27.75" style="3203" customWidth="1"/>
    <col min="10" max="11" width="10.625" style="3203" customWidth="1"/>
    <col min="12" max="12" width="14.375" style="3203" customWidth="1"/>
    <col min="13" max="13" width="6.25" style="3203" customWidth="1"/>
    <col min="14" max="14" width="7.875" style="3203" customWidth="1"/>
    <col min="15" max="256" width="9" style="3203"/>
    <col min="257" max="257" width="48" style="3203" customWidth="1"/>
    <col min="258" max="258" width="6.25" style="3203" customWidth="1"/>
    <col min="259" max="259" width="13.875" style="3203" customWidth="1"/>
    <col min="260" max="260" width="7.875" style="3203" customWidth="1"/>
    <col min="261" max="262" width="13.875" style="3203" customWidth="1"/>
    <col min="263" max="263" width="17" style="3203" customWidth="1"/>
    <col min="264" max="264" width="9" style="3203" customWidth="1"/>
    <col min="265" max="265" width="27.75" style="3203" customWidth="1"/>
    <col min="266" max="267" width="10.625" style="3203" customWidth="1"/>
    <col min="268" max="268" width="14.375" style="3203" customWidth="1"/>
    <col min="269" max="269" width="6.25" style="3203" customWidth="1"/>
    <col min="270" max="270" width="7.875" style="3203" customWidth="1"/>
    <col min="271" max="512" width="9" style="3203"/>
    <col min="513" max="513" width="48" style="3203" customWidth="1"/>
    <col min="514" max="514" width="6.25" style="3203" customWidth="1"/>
    <col min="515" max="515" width="13.875" style="3203" customWidth="1"/>
    <col min="516" max="516" width="7.875" style="3203" customWidth="1"/>
    <col min="517" max="518" width="13.875" style="3203" customWidth="1"/>
    <col min="519" max="519" width="17" style="3203" customWidth="1"/>
    <col min="520" max="520" width="9" style="3203" customWidth="1"/>
    <col min="521" max="521" width="27.75" style="3203" customWidth="1"/>
    <col min="522" max="523" width="10.625" style="3203" customWidth="1"/>
    <col min="524" max="524" width="14.375" style="3203" customWidth="1"/>
    <col min="525" max="525" width="6.25" style="3203" customWidth="1"/>
    <col min="526" max="526" width="7.875" style="3203" customWidth="1"/>
    <col min="527" max="768" width="9" style="3203"/>
    <col min="769" max="769" width="48" style="3203" customWidth="1"/>
    <col min="770" max="770" width="6.25" style="3203" customWidth="1"/>
    <col min="771" max="771" width="13.875" style="3203" customWidth="1"/>
    <col min="772" max="772" width="7.875" style="3203" customWidth="1"/>
    <col min="773" max="774" width="13.875" style="3203" customWidth="1"/>
    <col min="775" max="775" width="17" style="3203" customWidth="1"/>
    <col min="776" max="776" width="9" style="3203" customWidth="1"/>
    <col min="777" max="777" width="27.75" style="3203" customWidth="1"/>
    <col min="778" max="779" width="10.625" style="3203" customWidth="1"/>
    <col min="780" max="780" width="14.375" style="3203" customWidth="1"/>
    <col min="781" max="781" width="6.25" style="3203" customWidth="1"/>
    <col min="782" max="782" width="7.875" style="3203" customWidth="1"/>
    <col min="783" max="1024" width="9" style="3203"/>
    <col min="1025" max="1025" width="48" style="3203" customWidth="1"/>
    <col min="1026" max="1026" width="6.25" style="3203" customWidth="1"/>
    <col min="1027" max="1027" width="13.875" style="3203" customWidth="1"/>
    <col min="1028" max="1028" width="7.875" style="3203" customWidth="1"/>
    <col min="1029" max="1030" width="13.875" style="3203" customWidth="1"/>
    <col min="1031" max="1031" width="17" style="3203" customWidth="1"/>
    <col min="1032" max="1032" width="9" style="3203" customWidth="1"/>
    <col min="1033" max="1033" width="27.75" style="3203" customWidth="1"/>
    <col min="1034" max="1035" width="10.625" style="3203" customWidth="1"/>
    <col min="1036" max="1036" width="14.375" style="3203" customWidth="1"/>
    <col min="1037" max="1037" width="6.25" style="3203" customWidth="1"/>
    <col min="1038" max="1038" width="7.875" style="3203" customWidth="1"/>
    <col min="1039" max="1280" width="9" style="3203"/>
    <col min="1281" max="1281" width="48" style="3203" customWidth="1"/>
    <col min="1282" max="1282" width="6.25" style="3203" customWidth="1"/>
    <col min="1283" max="1283" width="13.875" style="3203" customWidth="1"/>
    <col min="1284" max="1284" width="7.875" style="3203" customWidth="1"/>
    <col min="1285" max="1286" width="13.875" style="3203" customWidth="1"/>
    <col min="1287" max="1287" width="17" style="3203" customWidth="1"/>
    <col min="1288" max="1288" width="9" style="3203" customWidth="1"/>
    <col min="1289" max="1289" width="27.75" style="3203" customWidth="1"/>
    <col min="1290" max="1291" width="10.625" style="3203" customWidth="1"/>
    <col min="1292" max="1292" width="14.375" style="3203" customWidth="1"/>
    <col min="1293" max="1293" width="6.25" style="3203" customWidth="1"/>
    <col min="1294" max="1294" width="7.875" style="3203" customWidth="1"/>
    <col min="1295" max="1536" width="9" style="3203"/>
    <col min="1537" max="1537" width="48" style="3203" customWidth="1"/>
    <col min="1538" max="1538" width="6.25" style="3203" customWidth="1"/>
    <col min="1539" max="1539" width="13.875" style="3203" customWidth="1"/>
    <col min="1540" max="1540" width="7.875" style="3203" customWidth="1"/>
    <col min="1541" max="1542" width="13.875" style="3203" customWidth="1"/>
    <col min="1543" max="1543" width="17" style="3203" customWidth="1"/>
    <col min="1544" max="1544" width="9" style="3203" customWidth="1"/>
    <col min="1545" max="1545" width="27.75" style="3203" customWidth="1"/>
    <col min="1546" max="1547" width="10.625" style="3203" customWidth="1"/>
    <col min="1548" max="1548" width="14.375" style="3203" customWidth="1"/>
    <col min="1549" max="1549" width="6.25" style="3203" customWidth="1"/>
    <col min="1550" max="1550" width="7.875" style="3203" customWidth="1"/>
    <col min="1551" max="1792" width="9" style="3203"/>
    <col min="1793" max="1793" width="48" style="3203" customWidth="1"/>
    <col min="1794" max="1794" width="6.25" style="3203" customWidth="1"/>
    <col min="1795" max="1795" width="13.875" style="3203" customWidth="1"/>
    <col min="1796" max="1796" width="7.875" style="3203" customWidth="1"/>
    <col min="1797" max="1798" width="13.875" style="3203" customWidth="1"/>
    <col min="1799" max="1799" width="17" style="3203" customWidth="1"/>
    <col min="1800" max="1800" width="9" style="3203" customWidth="1"/>
    <col min="1801" max="1801" width="27.75" style="3203" customWidth="1"/>
    <col min="1802" max="1803" width="10.625" style="3203" customWidth="1"/>
    <col min="1804" max="1804" width="14.375" style="3203" customWidth="1"/>
    <col min="1805" max="1805" width="6.25" style="3203" customWidth="1"/>
    <col min="1806" max="1806" width="7.875" style="3203" customWidth="1"/>
    <col min="1807" max="2048" width="9" style="3203"/>
    <col min="2049" max="2049" width="48" style="3203" customWidth="1"/>
    <col min="2050" max="2050" width="6.25" style="3203" customWidth="1"/>
    <col min="2051" max="2051" width="13.875" style="3203" customWidth="1"/>
    <col min="2052" max="2052" width="7.875" style="3203" customWidth="1"/>
    <col min="2053" max="2054" width="13.875" style="3203" customWidth="1"/>
    <col min="2055" max="2055" width="17" style="3203" customWidth="1"/>
    <col min="2056" max="2056" width="9" style="3203" customWidth="1"/>
    <col min="2057" max="2057" width="27.75" style="3203" customWidth="1"/>
    <col min="2058" max="2059" width="10.625" style="3203" customWidth="1"/>
    <col min="2060" max="2060" width="14.375" style="3203" customWidth="1"/>
    <col min="2061" max="2061" width="6.25" style="3203" customWidth="1"/>
    <col min="2062" max="2062" width="7.875" style="3203" customWidth="1"/>
    <col min="2063" max="2304" width="9" style="3203"/>
    <col min="2305" max="2305" width="48" style="3203" customWidth="1"/>
    <col min="2306" max="2306" width="6.25" style="3203" customWidth="1"/>
    <col min="2307" max="2307" width="13.875" style="3203" customWidth="1"/>
    <col min="2308" max="2308" width="7.875" style="3203" customWidth="1"/>
    <col min="2309" max="2310" width="13.875" style="3203" customWidth="1"/>
    <col min="2311" max="2311" width="17" style="3203" customWidth="1"/>
    <col min="2312" max="2312" width="9" style="3203" customWidth="1"/>
    <col min="2313" max="2313" width="27.75" style="3203" customWidth="1"/>
    <col min="2314" max="2315" width="10.625" style="3203" customWidth="1"/>
    <col min="2316" max="2316" width="14.375" style="3203" customWidth="1"/>
    <col min="2317" max="2317" width="6.25" style="3203" customWidth="1"/>
    <col min="2318" max="2318" width="7.875" style="3203" customWidth="1"/>
    <col min="2319" max="2560" width="9" style="3203"/>
    <col min="2561" max="2561" width="48" style="3203" customWidth="1"/>
    <col min="2562" max="2562" width="6.25" style="3203" customWidth="1"/>
    <col min="2563" max="2563" width="13.875" style="3203" customWidth="1"/>
    <col min="2564" max="2564" width="7.875" style="3203" customWidth="1"/>
    <col min="2565" max="2566" width="13.875" style="3203" customWidth="1"/>
    <col min="2567" max="2567" width="17" style="3203" customWidth="1"/>
    <col min="2568" max="2568" width="9" style="3203" customWidth="1"/>
    <col min="2569" max="2569" width="27.75" style="3203" customWidth="1"/>
    <col min="2570" max="2571" width="10.625" style="3203" customWidth="1"/>
    <col min="2572" max="2572" width="14.375" style="3203" customWidth="1"/>
    <col min="2573" max="2573" width="6.25" style="3203" customWidth="1"/>
    <col min="2574" max="2574" width="7.875" style="3203" customWidth="1"/>
    <col min="2575" max="2816" width="9" style="3203"/>
    <col min="2817" max="2817" width="48" style="3203" customWidth="1"/>
    <col min="2818" max="2818" width="6.25" style="3203" customWidth="1"/>
    <col min="2819" max="2819" width="13.875" style="3203" customWidth="1"/>
    <col min="2820" max="2820" width="7.875" style="3203" customWidth="1"/>
    <col min="2821" max="2822" width="13.875" style="3203" customWidth="1"/>
    <col min="2823" max="2823" width="17" style="3203" customWidth="1"/>
    <col min="2824" max="2824" width="9" style="3203" customWidth="1"/>
    <col min="2825" max="2825" width="27.75" style="3203" customWidth="1"/>
    <col min="2826" max="2827" width="10.625" style="3203" customWidth="1"/>
    <col min="2828" max="2828" width="14.375" style="3203" customWidth="1"/>
    <col min="2829" max="2829" width="6.25" style="3203" customWidth="1"/>
    <col min="2830" max="2830" width="7.875" style="3203" customWidth="1"/>
    <col min="2831" max="3072" width="9" style="3203"/>
    <col min="3073" max="3073" width="48" style="3203" customWidth="1"/>
    <col min="3074" max="3074" width="6.25" style="3203" customWidth="1"/>
    <col min="3075" max="3075" width="13.875" style="3203" customWidth="1"/>
    <col min="3076" max="3076" width="7.875" style="3203" customWidth="1"/>
    <col min="3077" max="3078" width="13.875" style="3203" customWidth="1"/>
    <col min="3079" max="3079" width="17" style="3203" customWidth="1"/>
    <col min="3080" max="3080" width="9" style="3203" customWidth="1"/>
    <col min="3081" max="3081" width="27.75" style="3203" customWidth="1"/>
    <col min="3082" max="3083" width="10.625" style="3203" customWidth="1"/>
    <col min="3084" max="3084" width="14.375" style="3203" customWidth="1"/>
    <col min="3085" max="3085" width="6.25" style="3203" customWidth="1"/>
    <col min="3086" max="3086" width="7.875" style="3203" customWidth="1"/>
    <col min="3087" max="3328" width="9" style="3203"/>
    <col min="3329" max="3329" width="48" style="3203" customWidth="1"/>
    <col min="3330" max="3330" width="6.25" style="3203" customWidth="1"/>
    <col min="3331" max="3331" width="13.875" style="3203" customWidth="1"/>
    <col min="3332" max="3332" width="7.875" style="3203" customWidth="1"/>
    <col min="3333" max="3334" width="13.875" style="3203" customWidth="1"/>
    <col min="3335" max="3335" width="17" style="3203" customWidth="1"/>
    <col min="3336" max="3336" width="9" style="3203" customWidth="1"/>
    <col min="3337" max="3337" width="27.75" style="3203" customWidth="1"/>
    <col min="3338" max="3339" width="10.625" style="3203" customWidth="1"/>
    <col min="3340" max="3340" width="14.375" style="3203" customWidth="1"/>
    <col min="3341" max="3341" width="6.25" style="3203" customWidth="1"/>
    <col min="3342" max="3342" width="7.875" style="3203" customWidth="1"/>
    <col min="3343" max="3584" width="9" style="3203"/>
    <col min="3585" max="3585" width="48" style="3203" customWidth="1"/>
    <col min="3586" max="3586" width="6.25" style="3203" customWidth="1"/>
    <col min="3587" max="3587" width="13.875" style="3203" customWidth="1"/>
    <col min="3588" max="3588" width="7.875" style="3203" customWidth="1"/>
    <col min="3589" max="3590" width="13.875" style="3203" customWidth="1"/>
    <col min="3591" max="3591" width="17" style="3203" customWidth="1"/>
    <col min="3592" max="3592" width="9" style="3203" customWidth="1"/>
    <col min="3593" max="3593" width="27.75" style="3203" customWidth="1"/>
    <col min="3594" max="3595" width="10.625" style="3203" customWidth="1"/>
    <col min="3596" max="3596" width="14.375" style="3203" customWidth="1"/>
    <col min="3597" max="3597" width="6.25" style="3203" customWidth="1"/>
    <col min="3598" max="3598" width="7.875" style="3203" customWidth="1"/>
    <col min="3599" max="3840" width="9" style="3203"/>
    <col min="3841" max="3841" width="48" style="3203" customWidth="1"/>
    <col min="3842" max="3842" width="6.25" style="3203" customWidth="1"/>
    <col min="3843" max="3843" width="13.875" style="3203" customWidth="1"/>
    <col min="3844" max="3844" width="7.875" style="3203" customWidth="1"/>
    <col min="3845" max="3846" width="13.875" style="3203" customWidth="1"/>
    <col min="3847" max="3847" width="17" style="3203" customWidth="1"/>
    <col min="3848" max="3848" width="9" style="3203" customWidth="1"/>
    <col min="3849" max="3849" width="27.75" style="3203" customWidth="1"/>
    <col min="3850" max="3851" width="10.625" style="3203" customWidth="1"/>
    <col min="3852" max="3852" width="14.375" style="3203" customWidth="1"/>
    <col min="3853" max="3853" width="6.25" style="3203" customWidth="1"/>
    <col min="3854" max="3854" width="7.875" style="3203" customWidth="1"/>
    <col min="3855" max="4096" width="9" style="3203"/>
    <col min="4097" max="4097" width="48" style="3203" customWidth="1"/>
    <col min="4098" max="4098" width="6.25" style="3203" customWidth="1"/>
    <col min="4099" max="4099" width="13.875" style="3203" customWidth="1"/>
    <col min="4100" max="4100" width="7.875" style="3203" customWidth="1"/>
    <col min="4101" max="4102" width="13.875" style="3203" customWidth="1"/>
    <col min="4103" max="4103" width="17" style="3203" customWidth="1"/>
    <col min="4104" max="4104" width="9" style="3203" customWidth="1"/>
    <col min="4105" max="4105" width="27.75" style="3203" customWidth="1"/>
    <col min="4106" max="4107" width="10.625" style="3203" customWidth="1"/>
    <col min="4108" max="4108" width="14.375" style="3203" customWidth="1"/>
    <col min="4109" max="4109" width="6.25" style="3203" customWidth="1"/>
    <col min="4110" max="4110" width="7.875" style="3203" customWidth="1"/>
    <col min="4111" max="4352" width="9" style="3203"/>
    <col min="4353" max="4353" width="48" style="3203" customWidth="1"/>
    <col min="4354" max="4354" width="6.25" style="3203" customWidth="1"/>
    <col min="4355" max="4355" width="13.875" style="3203" customWidth="1"/>
    <col min="4356" max="4356" width="7.875" style="3203" customWidth="1"/>
    <col min="4357" max="4358" width="13.875" style="3203" customWidth="1"/>
    <col min="4359" max="4359" width="17" style="3203" customWidth="1"/>
    <col min="4360" max="4360" width="9" style="3203" customWidth="1"/>
    <col min="4361" max="4361" width="27.75" style="3203" customWidth="1"/>
    <col min="4362" max="4363" width="10.625" style="3203" customWidth="1"/>
    <col min="4364" max="4364" width="14.375" style="3203" customWidth="1"/>
    <col min="4365" max="4365" width="6.25" style="3203" customWidth="1"/>
    <col min="4366" max="4366" width="7.875" style="3203" customWidth="1"/>
    <col min="4367" max="4608" width="9" style="3203"/>
    <col min="4609" max="4609" width="48" style="3203" customWidth="1"/>
    <col min="4610" max="4610" width="6.25" style="3203" customWidth="1"/>
    <col min="4611" max="4611" width="13.875" style="3203" customWidth="1"/>
    <col min="4612" max="4612" width="7.875" style="3203" customWidth="1"/>
    <col min="4613" max="4614" width="13.875" style="3203" customWidth="1"/>
    <col min="4615" max="4615" width="17" style="3203" customWidth="1"/>
    <col min="4616" max="4616" width="9" style="3203" customWidth="1"/>
    <col min="4617" max="4617" width="27.75" style="3203" customWidth="1"/>
    <col min="4618" max="4619" width="10.625" style="3203" customWidth="1"/>
    <col min="4620" max="4620" width="14.375" style="3203" customWidth="1"/>
    <col min="4621" max="4621" width="6.25" style="3203" customWidth="1"/>
    <col min="4622" max="4622" width="7.875" style="3203" customWidth="1"/>
    <col min="4623" max="4864" width="9" style="3203"/>
    <col min="4865" max="4865" width="48" style="3203" customWidth="1"/>
    <col min="4866" max="4866" width="6.25" style="3203" customWidth="1"/>
    <col min="4867" max="4867" width="13.875" style="3203" customWidth="1"/>
    <col min="4868" max="4868" width="7.875" style="3203" customWidth="1"/>
    <col min="4869" max="4870" width="13.875" style="3203" customWidth="1"/>
    <col min="4871" max="4871" width="17" style="3203" customWidth="1"/>
    <col min="4872" max="4872" width="9" style="3203" customWidth="1"/>
    <col min="4873" max="4873" width="27.75" style="3203" customWidth="1"/>
    <col min="4874" max="4875" width="10.625" style="3203" customWidth="1"/>
    <col min="4876" max="4876" width="14.375" style="3203" customWidth="1"/>
    <col min="4877" max="4877" width="6.25" style="3203" customWidth="1"/>
    <col min="4878" max="4878" width="7.875" style="3203" customWidth="1"/>
    <col min="4879" max="5120" width="9" style="3203"/>
    <col min="5121" max="5121" width="48" style="3203" customWidth="1"/>
    <col min="5122" max="5122" width="6.25" style="3203" customWidth="1"/>
    <col min="5123" max="5123" width="13.875" style="3203" customWidth="1"/>
    <col min="5124" max="5124" width="7.875" style="3203" customWidth="1"/>
    <col min="5125" max="5126" width="13.875" style="3203" customWidth="1"/>
    <col min="5127" max="5127" width="17" style="3203" customWidth="1"/>
    <col min="5128" max="5128" width="9" style="3203" customWidth="1"/>
    <col min="5129" max="5129" width="27.75" style="3203" customWidth="1"/>
    <col min="5130" max="5131" width="10.625" style="3203" customWidth="1"/>
    <col min="5132" max="5132" width="14.375" style="3203" customWidth="1"/>
    <col min="5133" max="5133" width="6.25" style="3203" customWidth="1"/>
    <col min="5134" max="5134" width="7.875" style="3203" customWidth="1"/>
    <col min="5135" max="5376" width="9" style="3203"/>
    <col min="5377" max="5377" width="48" style="3203" customWidth="1"/>
    <col min="5378" max="5378" width="6.25" style="3203" customWidth="1"/>
    <col min="5379" max="5379" width="13.875" style="3203" customWidth="1"/>
    <col min="5380" max="5380" width="7.875" style="3203" customWidth="1"/>
    <col min="5381" max="5382" width="13.875" style="3203" customWidth="1"/>
    <col min="5383" max="5383" width="17" style="3203" customWidth="1"/>
    <col min="5384" max="5384" width="9" style="3203" customWidth="1"/>
    <col min="5385" max="5385" width="27.75" style="3203" customWidth="1"/>
    <col min="5386" max="5387" width="10.625" style="3203" customWidth="1"/>
    <col min="5388" max="5388" width="14.375" style="3203" customWidth="1"/>
    <col min="5389" max="5389" width="6.25" style="3203" customWidth="1"/>
    <col min="5390" max="5390" width="7.875" style="3203" customWidth="1"/>
    <col min="5391" max="5632" width="9" style="3203"/>
    <col min="5633" max="5633" width="48" style="3203" customWidth="1"/>
    <col min="5634" max="5634" width="6.25" style="3203" customWidth="1"/>
    <col min="5635" max="5635" width="13.875" style="3203" customWidth="1"/>
    <col min="5636" max="5636" width="7.875" style="3203" customWidth="1"/>
    <col min="5637" max="5638" width="13.875" style="3203" customWidth="1"/>
    <col min="5639" max="5639" width="17" style="3203" customWidth="1"/>
    <col min="5640" max="5640" width="9" style="3203" customWidth="1"/>
    <col min="5641" max="5641" width="27.75" style="3203" customWidth="1"/>
    <col min="5642" max="5643" width="10.625" style="3203" customWidth="1"/>
    <col min="5644" max="5644" width="14.375" style="3203" customWidth="1"/>
    <col min="5645" max="5645" width="6.25" style="3203" customWidth="1"/>
    <col min="5646" max="5646" width="7.875" style="3203" customWidth="1"/>
    <col min="5647" max="5888" width="9" style="3203"/>
    <col min="5889" max="5889" width="48" style="3203" customWidth="1"/>
    <col min="5890" max="5890" width="6.25" style="3203" customWidth="1"/>
    <col min="5891" max="5891" width="13.875" style="3203" customWidth="1"/>
    <col min="5892" max="5892" width="7.875" style="3203" customWidth="1"/>
    <col min="5893" max="5894" width="13.875" style="3203" customWidth="1"/>
    <col min="5895" max="5895" width="17" style="3203" customWidth="1"/>
    <col min="5896" max="5896" width="9" style="3203" customWidth="1"/>
    <col min="5897" max="5897" width="27.75" style="3203" customWidth="1"/>
    <col min="5898" max="5899" width="10.625" style="3203" customWidth="1"/>
    <col min="5900" max="5900" width="14.375" style="3203" customWidth="1"/>
    <col min="5901" max="5901" width="6.25" style="3203" customWidth="1"/>
    <col min="5902" max="5902" width="7.875" style="3203" customWidth="1"/>
    <col min="5903" max="6144" width="9" style="3203"/>
    <col min="6145" max="6145" width="48" style="3203" customWidth="1"/>
    <col min="6146" max="6146" width="6.25" style="3203" customWidth="1"/>
    <col min="6147" max="6147" width="13.875" style="3203" customWidth="1"/>
    <col min="6148" max="6148" width="7.875" style="3203" customWidth="1"/>
    <col min="6149" max="6150" width="13.875" style="3203" customWidth="1"/>
    <col min="6151" max="6151" width="17" style="3203" customWidth="1"/>
    <col min="6152" max="6152" width="9" style="3203" customWidth="1"/>
    <col min="6153" max="6153" width="27.75" style="3203" customWidth="1"/>
    <col min="6154" max="6155" width="10.625" style="3203" customWidth="1"/>
    <col min="6156" max="6156" width="14.375" style="3203" customWidth="1"/>
    <col min="6157" max="6157" width="6.25" style="3203" customWidth="1"/>
    <col min="6158" max="6158" width="7.875" style="3203" customWidth="1"/>
    <col min="6159" max="6400" width="9" style="3203"/>
    <col min="6401" max="6401" width="48" style="3203" customWidth="1"/>
    <col min="6402" max="6402" width="6.25" style="3203" customWidth="1"/>
    <col min="6403" max="6403" width="13.875" style="3203" customWidth="1"/>
    <col min="6404" max="6404" width="7.875" style="3203" customWidth="1"/>
    <col min="6405" max="6406" width="13.875" style="3203" customWidth="1"/>
    <col min="6407" max="6407" width="17" style="3203" customWidth="1"/>
    <col min="6408" max="6408" width="9" style="3203" customWidth="1"/>
    <col min="6409" max="6409" width="27.75" style="3203" customWidth="1"/>
    <col min="6410" max="6411" width="10.625" style="3203" customWidth="1"/>
    <col min="6412" max="6412" width="14.375" style="3203" customWidth="1"/>
    <col min="6413" max="6413" width="6.25" style="3203" customWidth="1"/>
    <col min="6414" max="6414" width="7.875" style="3203" customWidth="1"/>
    <col min="6415" max="6656" width="9" style="3203"/>
    <col min="6657" max="6657" width="48" style="3203" customWidth="1"/>
    <col min="6658" max="6658" width="6.25" style="3203" customWidth="1"/>
    <col min="6659" max="6659" width="13.875" style="3203" customWidth="1"/>
    <col min="6660" max="6660" width="7.875" style="3203" customWidth="1"/>
    <col min="6661" max="6662" width="13.875" style="3203" customWidth="1"/>
    <col min="6663" max="6663" width="17" style="3203" customWidth="1"/>
    <col min="6664" max="6664" width="9" style="3203" customWidth="1"/>
    <col min="6665" max="6665" width="27.75" style="3203" customWidth="1"/>
    <col min="6666" max="6667" width="10.625" style="3203" customWidth="1"/>
    <col min="6668" max="6668" width="14.375" style="3203" customWidth="1"/>
    <col min="6669" max="6669" width="6.25" style="3203" customWidth="1"/>
    <col min="6670" max="6670" width="7.875" style="3203" customWidth="1"/>
    <col min="6671" max="6912" width="9" style="3203"/>
    <col min="6913" max="6913" width="48" style="3203" customWidth="1"/>
    <col min="6914" max="6914" width="6.25" style="3203" customWidth="1"/>
    <col min="6915" max="6915" width="13.875" style="3203" customWidth="1"/>
    <col min="6916" max="6916" width="7.875" style="3203" customWidth="1"/>
    <col min="6917" max="6918" width="13.875" style="3203" customWidth="1"/>
    <col min="6919" max="6919" width="17" style="3203" customWidth="1"/>
    <col min="6920" max="6920" width="9" style="3203" customWidth="1"/>
    <col min="6921" max="6921" width="27.75" style="3203" customWidth="1"/>
    <col min="6922" max="6923" width="10.625" style="3203" customWidth="1"/>
    <col min="6924" max="6924" width="14.375" style="3203" customWidth="1"/>
    <col min="6925" max="6925" width="6.25" style="3203" customWidth="1"/>
    <col min="6926" max="6926" width="7.875" style="3203" customWidth="1"/>
    <col min="6927" max="7168" width="9" style="3203"/>
    <col min="7169" max="7169" width="48" style="3203" customWidth="1"/>
    <col min="7170" max="7170" width="6.25" style="3203" customWidth="1"/>
    <col min="7171" max="7171" width="13.875" style="3203" customWidth="1"/>
    <col min="7172" max="7172" width="7.875" style="3203" customWidth="1"/>
    <col min="7173" max="7174" width="13.875" style="3203" customWidth="1"/>
    <col min="7175" max="7175" width="17" style="3203" customWidth="1"/>
    <col min="7176" max="7176" width="9" style="3203" customWidth="1"/>
    <col min="7177" max="7177" width="27.75" style="3203" customWidth="1"/>
    <col min="7178" max="7179" width="10.625" style="3203" customWidth="1"/>
    <col min="7180" max="7180" width="14.375" style="3203" customWidth="1"/>
    <col min="7181" max="7181" width="6.25" style="3203" customWidth="1"/>
    <col min="7182" max="7182" width="7.875" style="3203" customWidth="1"/>
    <col min="7183" max="7424" width="9" style="3203"/>
    <col min="7425" max="7425" width="48" style="3203" customWidth="1"/>
    <col min="7426" max="7426" width="6.25" style="3203" customWidth="1"/>
    <col min="7427" max="7427" width="13.875" style="3203" customWidth="1"/>
    <col min="7428" max="7428" width="7.875" style="3203" customWidth="1"/>
    <col min="7429" max="7430" width="13.875" style="3203" customWidth="1"/>
    <col min="7431" max="7431" width="17" style="3203" customWidth="1"/>
    <col min="7432" max="7432" width="9" style="3203" customWidth="1"/>
    <col min="7433" max="7433" width="27.75" style="3203" customWidth="1"/>
    <col min="7434" max="7435" width="10.625" style="3203" customWidth="1"/>
    <col min="7436" max="7436" width="14.375" style="3203" customWidth="1"/>
    <col min="7437" max="7437" width="6.25" style="3203" customWidth="1"/>
    <col min="7438" max="7438" width="7.875" style="3203" customWidth="1"/>
    <col min="7439" max="7680" width="9" style="3203"/>
    <col min="7681" max="7681" width="48" style="3203" customWidth="1"/>
    <col min="7682" max="7682" width="6.25" style="3203" customWidth="1"/>
    <col min="7683" max="7683" width="13.875" style="3203" customWidth="1"/>
    <col min="7684" max="7684" width="7.875" style="3203" customWidth="1"/>
    <col min="7685" max="7686" width="13.875" style="3203" customWidth="1"/>
    <col min="7687" max="7687" width="17" style="3203" customWidth="1"/>
    <col min="7688" max="7688" width="9" style="3203" customWidth="1"/>
    <col min="7689" max="7689" width="27.75" style="3203" customWidth="1"/>
    <col min="7690" max="7691" width="10.625" style="3203" customWidth="1"/>
    <col min="7692" max="7692" width="14.375" style="3203" customWidth="1"/>
    <col min="7693" max="7693" width="6.25" style="3203" customWidth="1"/>
    <col min="7694" max="7694" width="7.875" style="3203" customWidth="1"/>
    <col min="7695" max="7936" width="9" style="3203"/>
    <col min="7937" max="7937" width="48" style="3203" customWidth="1"/>
    <col min="7938" max="7938" width="6.25" style="3203" customWidth="1"/>
    <col min="7939" max="7939" width="13.875" style="3203" customWidth="1"/>
    <col min="7940" max="7940" width="7.875" style="3203" customWidth="1"/>
    <col min="7941" max="7942" width="13.875" style="3203" customWidth="1"/>
    <col min="7943" max="7943" width="17" style="3203" customWidth="1"/>
    <col min="7944" max="7944" width="9" style="3203" customWidth="1"/>
    <col min="7945" max="7945" width="27.75" style="3203" customWidth="1"/>
    <col min="7946" max="7947" width="10.625" style="3203" customWidth="1"/>
    <col min="7948" max="7948" width="14.375" style="3203" customWidth="1"/>
    <col min="7949" max="7949" width="6.25" style="3203" customWidth="1"/>
    <col min="7950" max="7950" width="7.875" style="3203" customWidth="1"/>
    <col min="7951" max="8192" width="9" style="3203"/>
    <col min="8193" max="8193" width="48" style="3203" customWidth="1"/>
    <col min="8194" max="8194" width="6.25" style="3203" customWidth="1"/>
    <col min="8195" max="8195" width="13.875" style="3203" customWidth="1"/>
    <col min="8196" max="8196" width="7.875" style="3203" customWidth="1"/>
    <col min="8197" max="8198" width="13.875" style="3203" customWidth="1"/>
    <col min="8199" max="8199" width="17" style="3203" customWidth="1"/>
    <col min="8200" max="8200" width="9" style="3203" customWidth="1"/>
    <col min="8201" max="8201" width="27.75" style="3203" customWidth="1"/>
    <col min="8202" max="8203" width="10.625" style="3203" customWidth="1"/>
    <col min="8204" max="8204" width="14.375" style="3203" customWidth="1"/>
    <col min="8205" max="8205" width="6.25" style="3203" customWidth="1"/>
    <col min="8206" max="8206" width="7.875" style="3203" customWidth="1"/>
    <col min="8207" max="8448" width="9" style="3203"/>
    <col min="8449" max="8449" width="48" style="3203" customWidth="1"/>
    <col min="8450" max="8450" width="6.25" style="3203" customWidth="1"/>
    <col min="8451" max="8451" width="13.875" style="3203" customWidth="1"/>
    <col min="8452" max="8452" width="7.875" style="3203" customWidth="1"/>
    <col min="8453" max="8454" width="13.875" style="3203" customWidth="1"/>
    <col min="8455" max="8455" width="17" style="3203" customWidth="1"/>
    <col min="8456" max="8456" width="9" style="3203" customWidth="1"/>
    <col min="8457" max="8457" width="27.75" style="3203" customWidth="1"/>
    <col min="8458" max="8459" width="10.625" style="3203" customWidth="1"/>
    <col min="8460" max="8460" width="14.375" style="3203" customWidth="1"/>
    <col min="8461" max="8461" width="6.25" style="3203" customWidth="1"/>
    <col min="8462" max="8462" width="7.875" style="3203" customWidth="1"/>
    <col min="8463" max="8704" width="9" style="3203"/>
    <col min="8705" max="8705" width="48" style="3203" customWidth="1"/>
    <col min="8706" max="8706" width="6.25" style="3203" customWidth="1"/>
    <col min="8707" max="8707" width="13.875" style="3203" customWidth="1"/>
    <col min="8708" max="8708" width="7.875" style="3203" customWidth="1"/>
    <col min="8709" max="8710" width="13.875" style="3203" customWidth="1"/>
    <col min="8711" max="8711" width="17" style="3203" customWidth="1"/>
    <col min="8712" max="8712" width="9" style="3203" customWidth="1"/>
    <col min="8713" max="8713" width="27.75" style="3203" customWidth="1"/>
    <col min="8714" max="8715" width="10.625" style="3203" customWidth="1"/>
    <col min="8716" max="8716" width="14.375" style="3203" customWidth="1"/>
    <col min="8717" max="8717" width="6.25" style="3203" customWidth="1"/>
    <col min="8718" max="8718" width="7.875" style="3203" customWidth="1"/>
    <col min="8719" max="8960" width="9" style="3203"/>
    <col min="8961" max="8961" width="48" style="3203" customWidth="1"/>
    <col min="8962" max="8962" width="6.25" style="3203" customWidth="1"/>
    <col min="8963" max="8963" width="13.875" style="3203" customWidth="1"/>
    <col min="8964" max="8964" width="7.875" style="3203" customWidth="1"/>
    <col min="8965" max="8966" width="13.875" style="3203" customWidth="1"/>
    <col min="8967" max="8967" width="17" style="3203" customWidth="1"/>
    <col min="8968" max="8968" width="9" style="3203" customWidth="1"/>
    <col min="8969" max="8969" width="27.75" style="3203" customWidth="1"/>
    <col min="8970" max="8971" width="10.625" style="3203" customWidth="1"/>
    <col min="8972" max="8972" width="14.375" style="3203" customWidth="1"/>
    <col min="8973" max="8973" width="6.25" style="3203" customWidth="1"/>
    <col min="8974" max="8974" width="7.875" style="3203" customWidth="1"/>
    <col min="8975" max="9216" width="9" style="3203"/>
    <col min="9217" max="9217" width="48" style="3203" customWidth="1"/>
    <col min="9218" max="9218" width="6.25" style="3203" customWidth="1"/>
    <col min="9219" max="9219" width="13.875" style="3203" customWidth="1"/>
    <col min="9220" max="9220" width="7.875" style="3203" customWidth="1"/>
    <col min="9221" max="9222" width="13.875" style="3203" customWidth="1"/>
    <col min="9223" max="9223" width="17" style="3203" customWidth="1"/>
    <col min="9224" max="9224" width="9" style="3203" customWidth="1"/>
    <col min="9225" max="9225" width="27.75" style="3203" customWidth="1"/>
    <col min="9226" max="9227" width="10.625" style="3203" customWidth="1"/>
    <col min="9228" max="9228" width="14.375" style="3203" customWidth="1"/>
    <col min="9229" max="9229" width="6.25" style="3203" customWidth="1"/>
    <col min="9230" max="9230" width="7.875" style="3203" customWidth="1"/>
    <col min="9231" max="9472" width="9" style="3203"/>
    <col min="9473" max="9473" width="48" style="3203" customWidth="1"/>
    <col min="9474" max="9474" width="6.25" style="3203" customWidth="1"/>
    <col min="9475" max="9475" width="13.875" style="3203" customWidth="1"/>
    <col min="9476" max="9476" width="7.875" style="3203" customWidth="1"/>
    <col min="9477" max="9478" width="13.875" style="3203" customWidth="1"/>
    <col min="9479" max="9479" width="17" style="3203" customWidth="1"/>
    <col min="9480" max="9480" width="9" style="3203" customWidth="1"/>
    <col min="9481" max="9481" width="27.75" style="3203" customWidth="1"/>
    <col min="9482" max="9483" width="10.625" style="3203" customWidth="1"/>
    <col min="9484" max="9484" width="14.375" style="3203" customWidth="1"/>
    <col min="9485" max="9485" width="6.25" style="3203" customWidth="1"/>
    <col min="9486" max="9486" width="7.875" style="3203" customWidth="1"/>
    <col min="9487" max="9728" width="9" style="3203"/>
    <col min="9729" max="9729" width="48" style="3203" customWidth="1"/>
    <col min="9730" max="9730" width="6.25" style="3203" customWidth="1"/>
    <col min="9731" max="9731" width="13.875" style="3203" customWidth="1"/>
    <col min="9732" max="9732" width="7.875" style="3203" customWidth="1"/>
    <col min="9733" max="9734" width="13.875" style="3203" customWidth="1"/>
    <col min="9735" max="9735" width="17" style="3203" customWidth="1"/>
    <col min="9736" max="9736" width="9" style="3203" customWidth="1"/>
    <col min="9737" max="9737" width="27.75" style="3203" customWidth="1"/>
    <col min="9738" max="9739" width="10.625" style="3203" customWidth="1"/>
    <col min="9740" max="9740" width="14.375" style="3203" customWidth="1"/>
    <col min="9741" max="9741" width="6.25" style="3203" customWidth="1"/>
    <col min="9742" max="9742" width="7.875" style="3203" customWidth="1"/>
    <col min="9743" max="9984" width="9" style="3203"/>
    <col min="9985" max="9985" width="48" style="3203" customWidth="1"/>
    <col min="9986" max="9986" width="6.25" style="3203" customWidth="1"/>
    <col min="9987" max="9987" width="13.875" style="3203" customWidth="1"/>
    <col min="9988" max="9988" width="7.875" style="3203" customWidth="1"/>
    <col min="9989" max="9990" width="13.875" style="3203" customWidth="1"/>
    <col min="9991" max="9991" width="17" style="3203" customWidth="1"/>
    <col min="9992" max="9992" width="9" style="3203" customWidth="1"/>
    <col min="9993" max="9993" width="27.75" style="3203" customWidth="1"/>
    <col min="9994" max="9995" width="10.625" style="3203" customWidth="1"/>
    <col min="9996" max="9996" width="14.375" style="3203" customWidth="1"/>
    <col min="9997" max="9997" width="6.25" style="3203" customWidth="1"/>
    <col min="9998" max="9998" width="7.875" style="3203" customWidth="1"/>
    <col min="9999" max="10240" width="9" style="3203"/>
    <col min="10241" max="10241" width="48" style="3203" customWidth="1"/>
    <col min="10242" max="10242" width="6.25" style="3203" customWidth="1"/>
    <col min="10243" max="10243" width="13.875" style="3203" customWidth="1"/>
    <col min="10244" max="10244" width="7.875" style="3203" customWidth="1"/>
    <col min="10245" max="10246" width="13.875" style="3203" customWidth="1"/>
    <col min="10247" max="10247" width="17" style="3203" customWidth="1"/>
    <col min="10248" max="10248" width="9" style="3203" customWidth="1"/>
    <col min="10249" max="10249" width="27.75" style="3203" customWidth="1"/>
    <col min="10250" max="10251" width="10.625" style="3203" customWidth="1"/>
    <col min="10252" max="10252" width="14.375" style="3203" customWidth="1"/>
    <col min="10253" max="10253" width="6.25" style="3203" customWidth="1"/>
    <col min="10254" max="10254" width="7.875" style="3203" customWidth="1"/>
    <col min="10255" max="10496" width="9" style="3203"/>
    <col min="10497" max="10497" width="48" style="3203" customWidth="1"/>
    <col min="10498" max="10498" width="6.25" style="3203" customWidth="1"/>
    <col min="10499" max="10499" width="13.875" style="3203" customWidth="1"/>
    <col min="10500" max="10500" width="7.875" style="3203" customWidth="1"/>
    <col min="10501" max="10502" width="13.875" style="3203" customWidth="1"/>
    <col min="10503" max="10503" width="17" style="3203" customWidth="1"/>
    <col min="10504" max="10504" width="9" style="3203" customWidth="1"/>
    <col min="10505" max="10505" width="27.75" style="3203" customWidth="1"/>
    <col min="10506" max="10507" width="10.625" style="3203" customWidth="1"/>
    <col min="10508" max="10508" width="14.375" style="3203" customWidth="1"/>
    <col min="10509" max="10509" width="6.25" style="3203" customWidth="1"/>
    <col min="10510" max="10510" width="7.875" style="3203" customWidth="1"/>
    <col min="10511" max="10752" width="9" style="3203"/>
    <col min="10753" max="10753" width="48" style="3203" customWidth="1"/>
    <col min="10754" max="10754" width="6.25" style="3203" customWidth="1"/>
    <col min="10755" max="10755" width="13.875" style="3203" customWidth="1"/>
    <col min="10756" max="10756" width="7.875" style="3203" customWidth="1"/>
    <col min="10757" max="10758" width="13.875" style="3203" customWidth="1"/>
    <col min="10759" max="10759" width="17" style="3203" customWidth="1"/>
    <col min="10760" max="10760" width="9" style="3203" customWidth="1"/>
    <col min="10761" max="10761" width="27.75" style="3203" customWidth="1"/>
    <col min="10762" max="10763" width="10.625" style="3203" customWidth="1"/>
    <col min="10764" max="10764" width="14.375" style="3203" customWidth="1"/>
    <col min="10765" max="10765" width="6.25" style="3203" customWidth="1"/>
    <col min="10766" max="10766" width="7.875" style="3203" customWidth="1"/>
    <col min="10767" max="11008" width="9" style="3203"/>
    <col min="11009" max="11009" width="48" style="3203" customWidth="1"/>
    <col min="11010" max="11010" width="6.25" style="3203" customWidth="1"/>
    <col min="11011" max="11011" width="13.875" style="3203" customWidth="1"/>
    <col min="11012" max="11012" width="7.875" style="3203" customWidth="1"/>
    <col min="11013" max="11014" width="13.875" style="3203" customWidth="1"/>
    <col min="11015" max="11015" width="17" style="3203" customWidth="1"/>
    <col min="11016" max="11016" width="9" style="3203" customWidth="1"/>
    <col min="11017" max="11017" width="27.75" style="3203" customWidth="1"/>
    <col min="11018" max="11019" width="10.625" style="3203" customWidth="1"/>
    <col min="11020" max="11020" width="14.375" style="3203" customWidth="1"/>
    <col min="11021" max="11021" width="6.25" style="3203" customWidth="1"/>
    <col min="11022" max="11022" width="7.875" style="3203" customWidth="1"/>
    <col min="11023" max="11264" width="9" style="3203"/>
    <col min="11265" max="11265" width="48" style="3203" customWidth="1"/>
    <col min="11266" max="11266" width="6.25" style="3203" customWidth="1"/>
    <col min="11267" max="11267" width="13.875" style="3203" customWidth="1"/>
    <col min="11268" max="11268" width="7.875" style="3203" customWidth="1"/>
    <col min="11269" max="11270" width="13.875" style="3203" customWidth="1"/>
    <col min="11271" max="11271" width="17" style="3203" customWidth="1"/>
    <col min="11272" max="11272" width="9" style="3203" customWidth="1"/>
    <col min="11273" max="11273" width="27.75" style="3203" customWidth="1"/>
    <col min="11274" max="11275" width="10.625" style="3203" customWidth="1"/>
    <col min="11276" max="11276" width="14.375" style="3203" customWidth="1"/>
    <col min="11277" max="11277" width="6.25" style="3203" customWidth="1"/>
    <col min="11278" max="11278" width="7.875" style="3203" customWidth="1"/>
    <col min="11279" max="11520" width="9" style="3203"/>
    <col min="11521" max="11521" width="48" style="3203" customWidth="1"/>
    <col min="11522" max="11522" width="6.25" style="3203" customWidth="1"/>
    <col min="11523" max="11523" width="13.875" style="3203" customWidth="1"/>
    <col min="11524" max="11524" width="7.875" style="3203" customWidth="1"/>
    <col min="11525" max="11526" width="13.875" style="3203" customWidth="1"/>
    <col min="11527" max="11527" width="17" style="3203" customWidth="1"/>
    <col min="11528" max="11528" width="9" style="3203" customWidth="1"/>
    <col min="11529" max="11529" width="27.75" style="3203" customWidth="1"/>
    <col min="11530" max="11531" width="10.625" style="3203" customWidth="1"/>
    <col min="11532" max="11532" width="14.375" style="3203" customWidth="1"/>
    <col min="11533" max="11533" width="6.25" style="3203" customWidth="1"/>
    <col min="11534" max="11534" width="7.875" style="3203" customWidth="1"/>
    <col min="11535" max="11776" width="9" style="3203"/>
    <col min="11777" max="11777" width="48" style="3203" customWidth="1"/>
    <col min="11778" max="11778" width="6.25" style="3203" customWidth="1"/>
    <col min="11779" max="11779" width="13.875" style="3203" customWidth="1"/>
    <col min="11780" max="11780" width="7.875" style="3203" customWidth="1"/>
    <col min="11781" max="11782" width="13.875" style="3203" customWidth="1"/>
    <col min="11783" max="11783" width="17" style="3203" customWidth="1"/>
    <col min="11784" max="11784" width="9" style="3203" customWidth="1"/>
    <col min="11785" max="11785" width="27.75" style="3203" customWidth="1"/>
    <col min="11786" max="11787" width="10.625" style="3203" customWidth="1"/>
    <col min="11788" max="11788" width="14.375" style="3203" customWidth="1"/>
    <col min="11789" max="11789" width="6.25" style="3203" customWidth="1"/>
    <col min="11790" max="11790" width="7.875" style="3203" customWidth="1"/>
    <col min="11791" max="12032" width="9" style="3203"/>
    <col min="12033" max="12033" width="48" style="3203" customWidth="1"/>
    <col min="12034" max="12034" width="6.25" style="3203" customWidth="1"/>
    <col min="12035" max="12035" width="13.875" style="3203" customWidth="1"/>
    <col min="12036" max="12036" width="7.875" style="3203" customWidth="1"/>
    <col min="12037" max="12038" width="13.875" style="3203" customWidth="1"/>
    <col min="12039" max="12039" width="17" style="3203" customWidth="1"/>
    <col min="12040" max="12040" width="9" style="3203" customWidth="1"/>
    <col min="12041" max="12041" width="27.75" style="3203" customWidth="1"/>
    <col min="12042" max="12043" width="10.625" style="3203" customWidth="1"/>
    <col min="12044" max="12044" width="14.375" style="3203" customWidth="1"/>
    <col min="12045" max="12045" width="6.25" style="3203" customWidth="1"/>
    <col min="12046" max="12046" width="7.875" style="3203" customWidth="1"/>
    <col min="12047" max="12288" width="9" style="3203"/>
    <col min="12289" max="12289" width="48" style="3203" customWidth="1"/>
    <col min="12290" max="12290" width="6.25" style="3203" customWidth="1"/>
    <col min="12291" max="12291" width="13.875" style="3203" customWidth="1"/>
    <col min="12292" max="12292" width="7.875" style="3203" customWidth="1"/>
    <col min="12293" max="12294" width="13.875" style="3203" customWidth="1"/>
    <col min="12295" max="12295" width="17" style="3203" customWidth="1"/>
    <col min="12296" max="12296" width="9" style="3203" customWidth="1"/>
    <col min="12297" max="12297" width="27.75" style="3203" customWidth="1"/>
    <col min="12298" max="12299" width="10.625" style="3203" customWidth="1"/>
    <col min="12300" max="12300" width="14.375" style="3203" customWidth="1"/>
    <col min="12301" max="12301" width="6.25" style="3203" customWidth="1"/>
    <col min="12302" max="12302" width="7.875" style="3203" customWidth="1"/>
    <col min="12303" max="12544" width="9" style="3203"/>
    <col min="12545" max="12545" width="48" style="3203" customWidth="1"/>
    <col min="12546" max="12546" width="6.25" style="3203" customWidth="1"/>
    <col min="12547" max="12547" width="13.875" style="3203" customWidth="1"/>
    <col min="12548" max="12548" width="7.875" style="3203" customWidth="1"/>
    <col min="12549" max="12550" width="13.875" style="3203" customWidth="1"/>
    <col min="12551" max="12551" width="17" style="3203" customWidth="1"/>
    <col min="12552" max="12552" width="9" style="3203" customWidth="1"/>
    <col min="12553" max="12553" width="27.75" style="3203" customWidth="1"/>
    <col min="12554" max="12555" width="10.625" style="3203" customWidth="1"/>
    <col min="12556" max="12556" width="14.375" style="3203" customWidth="1"/>
    <col min="12557" max="12557" width="6.25" style="3203" customWidth="1"/>
    <col min="12558" max="12558" width="7.875" style="3203" customWidth="1"/>
    <col min="12559" max="12800" width="9" style="3203"/>
    <col min="12801" max="12801" width="48" style="3203" customWidth="1"/>
    <col min="12802" max="12802" width="6.25" style="3203" customWidth="1"/>
    <col min="12803" max="12803" width="13.875" style="3203" customWidth="1"/>
    <col min="12804" max="12804" width="7.875" style="3203" customWidth="1"/>
    <col min="12805" max="12806" width="13.875" style="3203" customWidth="1"/>
    <col min="12807" max="12807" width="17" style="3203" customWidth="1"/>
    <col min="12808" max="12808" width="9" style="3203" customWidth="1"/>
    <col min="12809" max="12809" width="27.75" style="3203" customWidth="1"/>
    <col min="12810" max="12811" width="10.625" style="3203" customWidth="1"/>
    <col min="12812" max="12812" width="14.375" style="3203" customWidth="1"/>
    <col min="12813" max="12813" width="6.25" style="3203" customWidth="1"/>
    <col min="12814" max="12814" width="7.875" style="3203" customWidth="1"/>
    <col min="12815" max="13056" width="9" style="3203"/>
    <col min="13057" max="13057" width="48" style="3203" customWidth="1"/>
    <col min="13058" max="13058" width="6.25" style="3203" customWidth="1"/>
    <col min="13059" max="13059" width="13.875" style="3203" customWidth="1"/>
    <col min="13060" max="13060" width="7.875" style="3203" customWidth="1"/>
    <col min="13061" max="13062" width="13.875" style="3203" customWidth="1"/>
    <col min="13063" max="13063" width="17" style="3203" customWidth="1"/>
    <col min="13064" max="13064" width="9" style="3203" customWidth="1"/>
    <col min="13065" max="13065" width="27.75" style="3203" customWidth="1"/>
    <col min="13066" max="13067" width="10.625" style="3203" customWidth="1"/>
    <col min="13068" max="13068" width="14.375" style="3203" customWidth="1"/>
    <col min="13069" max="13069" width="6.25" style="3203" customWidth="1"/>
    <col min="13070" max="13070" width="7.875" style="3203" customWidth="1"/>
    <col min="13071" max="13312" width="9" style="3203"/>
    <col min="13313" max="13313" width="48" style="3203" customWidth="1"/>
    <col min="13314" max="13314" width="6.25" style="3203" customWidth="1"/>
    <col min="13315" max="13315" width="13.875" style="3203" customWidth="1"/>
    <col min="13316" max="13316" width="7.875" style="3203" customWidth="1"/>
    <col min="13317" max="13318" width="13.875" style="3203" customWidth="1"/>
    <col min="13319" max="13319" width="17" style="3203" customWidth="1"/>
    <col min="13320" max="13320" width="9" style="3203" customWidth="1"/>
    <col min="13321" max="13321" width="27.75" style="3203" customWidth="1"/>
    <col min="13322" max="13323" width="10.625" style="3203" customWidth="1"/>
    <col min="13324" max="13324" width="14.375" style="3203" customWidth="1"/>
    <col min="13325" max="13325" width="6.25" style="3203" customWidth="1"/>
    <col min="13326" max="13326" width="7.875" style="3203" customWidth="1"/>
    <col min="13327" max="13568" width="9" style="3203"/>
    <col min="13569" max="13569" width="48" style="3203" customWidth="1"/>
    <col min="13570" max="13570" width="6.25" style="3203" customWidth="1"/>
    <col min="13571" max="13571" width="13.875" style="3203" customWidth="1"/>
    <col min="13572" max="13572" width="7.875" style="3203" customWidth="1"/>
    <col min="13573" max="13574" width="13.875" style="3203" customWidth="1"/>
    <col min="13575" max="13575" width="17" style="3203" customWidth="1"/>
    <col min="13576" max="13576" width="9" style="3203" customWidth="1"/>
    <col min="13577" max="13577" width="27.75" style="3203" customWidth="1"/>
    <col min="13578" max="13579" width="10.625" style="3203" customWidth="1"/>
    <col min="13580" max="13580" width="14.375" style="3203" customWidth="1"/>
    <col min="13581" max="13581" width="6.25" style="3203" customWidth="1"/>
    <col min="13582" max="13582" width="7.875" style="3203" customWidth="1"/>
    <col min="13583" max="13824" width="9" style="3203"/>
    <col min="13825" max="13825" width="48" style="3203" customWidth="1"/>
    <col min="13826" max="13826" width="6.25" style="3203" customWidth="1"/>
    <col min="13827" max="13827" width="13.875" style="3203" customWidth="1"/>
    <col min="13828" max="13828" width="7.875" style="3203" customWidth="1"/>
    <col min="13829" max="13830" width="13.875" style="3203" customWidth="1"/>
    <col min="13831" max="13831" width="17" style="3203" customWidth="1"/>
    <col min="13832" max="13832" width="9" style="3203" customWidth="1"/>
    <col min="13833" max="13833" width="27.75" style="3203" customWidth="1"/>
    <col min="13834" max="13835" width="10.625" style="3203" customWidth="1"/>
    <col min="13836" max="13836" width="14.375" style="3203" customWidth="1"/>
    <col min="13837" max="13837" width="6.25" style="3203" customWidth="1"/>
    <col min="13838" max="13838" width="7.875" style="3203" customWidth="1"/>
    <col min="13839" max="14080" width="9" style="3203"/>
    <col min="14081" max="14081" width="48" style="3203" customWidth="1"/>
    <col min="14082" max="14082" width="6.25" style="3203" customWidth="1"/>
    <col min="14083" max="14083" width="13.875" style="3203" customWidth="1"/>
    <col min="14084" max="14084" width="7.875" style="3203" customWidth="1"/>
    <col min="14085" max="14086" width="13.875" style="3203" customWidth="1"/>
    <col min="14087" max="14087" width="17" style="3203" customWidth="1"/>
    <col min="14088" max="14088" width="9" style="3203" customWidth="1"/>
    <col min="14089" max="14089" width="27.75" style="3203" customWidth="1"/>
    <col min="14090" max="14091" width="10.625" style="3203" customWidth="1"/>
    <col min="14092" max="14092" width="14.375" style="3203" customWidth="1"/>
    <col min="14093" max="14093" width="6.25" style="3203" customWidth="1"/>
    <col min="14094" max="14094" width="7.875" style="3203" customWidth="1"/>
    <col min="14095" max="14336" width="9" style="3203"/>
    <col min="14337" max="14337" width="48" style="3203" customWidth="1"/>
    <col min="14338" max="14338" width="6.25" style="3203" customWidth="1"/>
    <col min="14339" max="14339" width="13.875" style="3203" customWidth="1"/>
    <col min="14340" max="14340" width="7.875" style="3203" customWidth="1"/>
    <col min="14341" max="14342" width="13.875" style="3203" customWidth="1"/>
    <col min="14343" max="14343" width="17" style="3203" customWidth="1"/>
    <col min="14344" max="14344" width="9" style="3203" customWidth="1"/>
    <col min="14345" max="14345" width="27.75" style="3203" customWidth="1"/>
    <col min="14346" max="14347" width="10.625" style="3203" customWidth="1"/>
    <col min="14348" max="14348" width="14.375" style="3203" customWidth="1"/>
    <col min="14349" max="14349" width="6.25" style="3203" customWidth="1"/>
    <col min="14350" max="14350" width="7.875" style="3203" customWidth="1"/>
    <col min="14351" max="14592" width="9" style="3203"/>
    <col min="14593" max="14593" width="48" style="3203" customWidth="1"/>
    <col min="14594" max="14594" width="6.25" style="3203" customWidth="1"/>
    <col min="14595" max="14595" width="13.875" style="3203" customWidth="1"/>
    <col min="14596" max="14596" width="7.875" style="3203" customWidth="1"/>
    <col min="14597" max="14598" width="13.875" style="3203" customWidth="1"/>
    <col min="14599" max="14599" width="17" style="3203" customWidth="1"/>
    <col min="14600" max="14600" width="9" style="3203" customWidth="1"/>
    <col min="14601" max="14601" width="27.75" style="3203" customWidth="1"/>
    <col min="14602" max="14603" width="10.625" style="3203" customWidth="1"/>
    <col min="14604" max="14604" width="14.375" style="3203" customWidth="1"/>
    <col min="14605" max="14605" width="6.25" style="3203" customWidth="1"/>
    <col min="14606" max="14606" width="7.875" style="3203" customWidth="1"/>
    <col min="14607" max="14848" width="9" style="3203"/>
    <col min="14849" max="14849" width="48" style="3203" customWidth="1"/>
    <col min="14850" max="14850" width="6.25" style="3203" customWidth="1"/>
    <col min="14851" max="14851" width="13.875" style="3203" customWidth="1"/>
    <col min="14852" max="14852" width="7.875" style="3203" customWidth="1"/>
    <col min="14853" max="14854" width="13.875" style="3203" customWidth="1"/>
    <col min="14855" max="14855" width="17" style="3203" customWidth="1"/>
    <col min="14856" max="14856" width="9" style="3203" customWidth="1"/>
    <col min="14857" max="14857" width="27.75" style="3203" customWidth="1"/>
    <col min="14858" max="14859" width="10.625" style="3203" customWidth="1"/>
    <col min="14860" max="14860" width="14.375" style="3203" customWidth="1"/>
    <col min="14861" max="14861" width="6.25" style="3203" customWidth="1"/>
    <col min="14862" max="14862" width="7.875" style="3203" customWidth="1"/>
    <col min="14863" max="15104" width="9" style="3203"/>
    <col min="15105" max="15105" width="48" style="3203" customWidth="1"/>
    <col min="15106" max="15106" width="6.25" style="3203" customWidth="1"/>
    <col min="15107" max="15107" width="13.875" style="3203" customWidth="1"/>
    <col min="15108" max="15108" width="7.875" style="3203" customWidth="1"/>
    <col min="15109" max="15110" width="13.875" style="3203" customWidth="1"/>
    <col min="15111" max="15111" width="17" style="3203" customWidth="1"/>
    <col min="15112" max="15112" width="9" style="3203" customWidth="1"/>
    <col min="15113" max="15113" width="27.75" style="3203" customWidth="1"/>
    <col min="15114" max="15115" width="10.625" style="3203" customWidth="1"/>
    <col min="15116" max="15116" width="14.375" style="3203" customWidth="1"/>
    <col min="15117" max="15117" width="6.25" style="3203" customWidth="1"/>
    <col min="15118" max="15118" width="7.875" style="3203" customWidth="1"/>
    <col min="15119" max="15360" width="9" style="3203"/>
    <col min="15361" max="15361" width="48" style="3203" customWidth="1"/>
    <col min="15362" max="15362" width="6.25" style="3203" customWidth="1"/>
    <col min="15363" max="15363" width="13.875" style="3203" customWidth="1"/>
    <col min="15364" max="15364" width="7.875" style="3203" customWidth="1"/>
    <col min="15365" max="15366" width="13.875" style="3203" customWidth="1"/>
    <col min="15367" max="15367" width="17" style="3203" customWidth="1"/>
    <col min="15368" max="15368" width="9" style="3203" customWidth="1"/>
    <col min="15369" max="15369" width="27.75" style="3203" customWidth="1"/>
    <col min="15370" max="15371" width="10.625" style="3203" customWidth="1"/>
    <col min="15372" max="15372" width="14.375" style="3203" customWidth="1"/>
    <col min="15373" max="15373" width="6.25" style="3203" customWidth="1"/>
    <col min="15374" max="15374" width="7.875" style="3203" customWidth="1"/>
    <col min="15375" max="15616" width="9" style="3203"/>
    <col min="15617" max="15617" width="48" style="3203" customWidth="1"/>
    <col min="15618" max="15618" width="6.25" style="3203" customWidth="1"/>
    <col min="15619" max="15619" width="13.875" style="3203" customWidth="1"/>
    <col min="15620" max="15620" width="7.875" style="3203" customWidth="1"/>
    <col min="15621" max="15622" width="13.875" style="3203" customWidth="1"/>
    <col min="15623" max="15623" width="17" style="3203" customWidth="1"/>
    <col min="15624" max="15624" width="9" style="3203" customWidth="1"/>
    <col min="15625" max="15625" width="27.75" style="3203" customWidth="1"/>
    <col min="15626" max="15627" width="10.625" style="3203" customWidth="1"/>
    <col min="15628" max="15628" width="14.375" style="3203" customWidth="1"/>
    <col min="15629" max="15629" width="6.25" style="3203" customWidth="1"/>
    <col min="15630" max="15630" width="7.875" style="3203" customWidth="1"/>
    <col min="15631" max="15872" width="9" style="3203"/>
    <col min="15873" max="15873" width="48" style="3203" customWidth="1"/>
    <col min="15874" max="15874" width="6.25" style="3203" customWidth="1"/>
    <col min="15875" max="15875" width="13.875" style="3203" customWidth="1"/>
    <col min="15876" max="15876" width="7.875" style="3203" customWidth="1"/>
    <col min="15877" max="15878" width="13.875" style="3203" customWidth="1"/>
    <col min="15879" max="15879" width="17" style="3203" customWidth="1"/>
    <col min="15880" max="15880" width="9" style="3203" customWidth="1"/>
    <col min="15881" max="15881" width="27.75" style="3203" customWidth="1"/>
    <col min="15882" max="15883" width="10.625" style="3203" customWidth="1"/>
    <col min="15884" max="15884" width="14.375" style="3203" customWidth="1"/>
    <col min="15885" max="15885" width="6.25" style="3203" customWidth="1"/>
    <col min="15886" max="15886" width="7.875" style="3203" customWidth="1"/>
    <col min="15887" max="16128" width="9" style="3203"/>
    <col min="16129" max="16129" width="48" style="3203" customWidth="1"/>
    <col min="16130" max="16130" width="6.25" style="3203" customWidth="1"/>
    <col min="16131" max="16131" width="13.875" style="3203" customWidth="1"/>
    <col min="16132" max="16132" width="7.875" style="3203" customWidth="1"/>
    <col min="16133" max="16134" width="13.875" style="3203" customWidth="1"/>
    <col min="16135" max="16135" width="17" style="3203" customWidth="1"/>
    <col min="16136" max="16136" width="9" style="3203" customWidth="1"/>
    <col min="16137" max="16137" width="27.75" style="3203" customWidth="1"/>
    <col min="16138" max="16139" width="10.625" style="3203" customWidth="1"/>
    <col min="16140" max="16140" width="14.375" style="3203" customWidth="1"/>
    <col min="16141" max="16141" width="6.25" style="3203" customWidth="1"/>
    <col min="16142" max="16142" width="7.875" style="3203" customWidth="1"/>
    <col min="16143" max="16384" width="9" style="3203"/>
  </cols>
  <sheetData>
    <row r="1" spans="1:15">
      <c r="A1" s="3203" t="s">
        <v>3037</v>
      </c>
      <c r="B1" s="3203" t="s">
        <v>3038</v>
      </c>
      <c r="C1" s="3203" t="s">
        <v>3039</v>
      </c>
      <c r="D1" s="3203" t="s">
        <v>3042</v>
      </c>
      <c r="E1" s="3203" t="s">
        <v>3040</v>
      </c>
      <c r="F1" s="3203" t="s">
        <v>3041</v>
      </c>
      <c r="G1" s="3203" t="s">
        <v>2030</v>
      </c>
      <c r="H1" s="3203" t="s">
        <v>3043</v>
      </c>
      <c r="I1" s="3203" t="s">
        <v>3048</v>
      </c>
      <c r="J1" s="3203" t="s">
        <v>3044</v>
      </c>
      <c r="K1" s="3203" t="s">
        <v>3045</v>
      </c>
      <c r="L1" s="3203" t="s">
        <v>3046</v>
      </c>
      <c r="M1" s="3203" t="s">
        <v>3047</v>
      </c>
      <c r="N1" s="3203" t="s">
        <v>3049</v>
      </c>
    </row>
    <row r="2" spans="1:15">
      <c r="A2" s="3203" t="s">
        <v>3054</v>
      </c>
      <c r="B2" s="3203" t="s">
        <v>3050</v>
      </c>
      <c r="C2" s="3203" t="s">
        <v>3051</v>
      </c>
      <c r="D2" s="3203" t="s">
        <v>3052</v>
      </c>
      <c r="E2" s="3203">
        <v>42293.14</v>
      </c>
      <c r="F2" s="3203">
        <v>54981.08</v>
      </c>
      <c r="G2" s="3203" t="s">
        <v>3055</v>
      </c>
      <c r="H2" s="3203" t="s">
        <v>3056</v>
      </c>
      <c r="I2" s="3203" t="s">
        <v>3057</v>
      </c>
      <c r="J2" s="3203">
        <v>19000</v>
      </c>
      <c r="K2" s="3203">
        <v>31700</v>
      </c>
      <c r="L2" s="3203">
        <v>5765.61</v>
      </c>
      <c r="M2" s="3203">
        <v>66.84</v>
      </c>
      <c r="N2" s="3203" t="s">
        <v>3058</v>
      </c>
    </row>
    <row r="3" spans="1:15" s="3204" customFormat="1">
      <c r="A3" s="3204" t="s">
        <v>3059</v>
      </c>
      <c r="B3" s="3204" t="s">
        <v>3050</v>
      </c>
      <c r="C3" s="3204" t="s">
        <v>3060</v>
      </c>
      <c r="D3" s="3204" t="s">
        <v>3052</v>
      </c>
      <c r="E3" s="3204">
        <v>56796.86</v>
      </c>
      <c r="F3" s="3204">
        <v>131768.70000000001</v>
      </c>
      <c r="G3" s="3204" t="s">
        <v>3061</v>
      </c>
      <c r="H3" s="3204" t="s">
        <v>3056</v>
      </c>
      <c r="I3" s="3204" t="s">
        <v>3062</v>
      </c>
      <c r="J3" s="3204">
        <v>29800</v>
      </c>
      <c r="K3" s="3204">
        <v>43199.7</v>
      </c>
      <c r="L3" s="3204">
        <v>3278.44</v>
      </c>
      <c r="M3" s="3204">
        <v>44.97</v>
      </c>
      <c r="N3" s="3204" t="s">
        <v>3063</v>
      </c>
      <c r="O3" s="3204">
        <f>J3/F3*10000</f>
        <v>2261.5385899686339</v>
      </c>
    </row>
    <row r="4" spans="1:15" s="3204" customFormat="1">
      <c r="A4" s="3204" t="s">
        <v>3064</v>
      </c>
      <c r="B4" s="3204" t="s">
        <v>3050</v>
      </c>
      <c r="C4" s="3204" t="s">
        <v>3051</v>
      </c>
      <c r="D4" s="3204" t="s">
        <v>3052</v>
      </c>
      <c r="E4" s="3204">
        <v>66908.990000000005</v>
      </c>
      <c r="F4" s="3204">
        <v>167272.5</v>
      </c>
      <c r="G4" s="3204" t="s">
        <v>3065</v>
      </c>
      <c r="H4" s="3204" t="s">
        <v>3056</v>
      </c>
      <c r="I4" s="3204" t="s">
        <v>3066</v>
      </c>
      <c r="J4" s="3204">
        <v>38900</v>
      </c>
      <c r="K4" s="3204">
        <v>50298.83</v>
      </c>
      <c r="L4" s="3204">
        <v>3007</v>
      </c>
      <c r="M4" s="3204">
        <v>29.3</v>
      </c>
      <c r="N4" s="3204" t="s">
        <v>3063</v>
      </c>
      <c r="O4" s="3204">
        <f>J4/F4*10000</f>
        <v>2325.5466379709756</v>
      </c>
    </row>
    <row r="5" spans="1:15">
      <c r="A5" s="3203" t="s">
        <v>3067</v>
      </c>
      <c r="B5" s="3203" t="s">
        <v>3050</v>
      </c>
      <c r="C5" s="3203" t="s">
        <v>3051</v>
      </c>
      <c r="D5" s="3203" t="s">
        <v>3052</v>
      </c>
      <c r="E5" s="3203">
        <v>57959.74</v>
      </c>
      <c r="F5" s="3203">
        <v>143160.6</v>
      </c>
      <c r="G5" s="3203" t="s">
        <v>3068</v>
      </c>
      <c r="H5" s="3203" t="s">
        <v>3069</v>
      </c>
      <c r="I5" s="3203" t="s">
        <v>3070</v>
      </c>
      <c r="J5" s="3203">
        <v>26900</v>
      </c>
      <c r="K5" s="3203">
        <v>59800</v>
      </c>
      <c r="L5" s="3203">
        <v>4177.13</v>
      </c>
      <c r="M5" s="3203">
        <v>122.3</v>
      </c>
      <c r="N5" s="3203" t="s">
        <v>3063</v>
      </c>
    </row>
    <row r="6" spans="1:15">
      <c r="A6" s="3203" t="s">
        <v>3071</v>
      </c>
      <c r="B6" s="3203" t="s">
        <v>3050</v>
      </c>
      <c r="C6" s="3203" t="s">
        <v>3051</v>
      </c>
      <c r="D6" s="3203" t="s">
        <v>3052</v>
      </c>
      <c r="E6" s="3203">
        <v>14923.08</v>
      </c>
      <c r="F6" s="3203">
        <v>41784.620000000003</v>
      </c>
      <c r="G6" s="3203" t="s">
        <v>3072</v>
      </c>
      <c r="H6" s="3203" t="s">
        <v>3069</v>
      </c>
      <c r="I6" s="3203" t="s">
        <v>3073</v>
      </c>
      <c r="J6" s="3203">
        <v>4200</v>
      </c>
      <c r="K6" s="3203">
        <v>4200</v>
      </c>
      <c r="L6" s="3203">
        <v>1005.14</v>
      </c>
      <c r="M6" s="3203">
        <v>0</v>
      </c>
      <c r="N6" s="3203" t="s">
        <v>3063</v>
      </c>
    </row>
    <row r="7" spans="1:15">
      <c r="A7" s="3203" t="s">
        <v>3074</v>
      </c>
      <c r="B7" s="3203" t="s">
        <v>3050</v>
      </c>
      <c r="C7" s="3203" t="s">
        <v>3051</v>
      </c>
      <c r="D7" s="3203" t="s">
        <v>3052</v>
      </c>
      <c r="E7" s="3203">
        <v>9237.73</v>
      </c>
      <c r="F7" s="3203">
        <v>25865.64</v>
      </c>
      <c r="G7" s="3203" t="s">
        <v>3075</v>
      </c>
      <c r="H7" s="3203" t="s">
        <v>3069</v>
      </c>
      <c r="I7" s="3203" t="s">
        <v>3073</v>
      </c>
      <c r="J7" s="3203">
        <v>3500</v>
      </c>
      <c r="K7" s="3203">
        <v>3500</v>
      </c>
      <c r="L7" s="3203">
        <v>1353.15</v>
      </c>
      <c r="M7" s="3203">
        <v>0</v>
      </c>
      <c r="N7" s="3203" t="s">
        <v>3063</v>
      </c>
    </row>
    <row r="8" spans="1:15">
      <c r="A8" s="3203" t="s">
        <v>3076</v>
      </c>
      <c r="B8" s="3203" t="s">
        <v>3050</v>
      </c>
      <c r="C8" s="3203" t="s">
        <v>3051</v>
      </c>
      <c r="D8" s="3203" t="s">
        <v>3052</v>
      </c>
      <c r="E8" s="3203">
        <v>81726.039999999994</v>
      </c>
      <c r="F8" s="3203">
        <v>204315.1</v>
      </c>
      <c r="G8" s="3203" t="s">
        <v>3065</v>
      </c>
      <c r="H8" s="3203" t="s">
        <v>3077</v>
      </c>
      <c r="I8" s="3203" t="s">
        <v>3078</v>
      </c>
      <c r="J8" s="3203">
        <v>25100</v>
      </c>
      <c r="K8" s="3203">
        <v>25100</v>
      </c>
      <c r="L8" s="3203">
        <v>1228.49</v>
      </c>
      <c r="M8" s="3203">
        <v>0</v>
      </c>
      <c r="N8" s="3203" t="s">
        <v>3063</v>
      </c>
    </row>
    <row r="9" spans="1:15">
      <c r="A9" s="3203" t="s">
        <v>3079</v>
      </c>
      <c r="B9" s="3203" t="s">
        <v>3050</v>
      </c>
      <c r="C9" s="3203" t="s">
        <v>3051</v>
      </c>
      <c r="D9" s="3203" t="s">
        <v>3052</v>
      </c>
      <c r="E9" s="3203">
        <v>135087.70000000001</v>
      </c>
      <c r="F9" s="3203">
        <v>360684.3</v>
      </c>
      <c r="G9" s="3203" t="s">
        <v>3080</v>
      </c>
      <c r="H9" s="3203" t="s">
        <v>3081</v>
      </c>
      <c r="I9" s="3203" t="s">
        <v>3082</v>
      </c>
      <c r="J9" s="3203">
        <v>86400</v>
      </c>
      <c r="K9" s="3203">
        <v>86400</v>
      </c>
      <c r="L9" s="3203">
        <v>2395.44</v>
      </c>
      <c r="M9" s="3203">
        <v>0</v>
      </c>
      <c r="N9" s="3203" t="s">
        <v>3063</v>
      </c>
    </row>
    <row r="10" spans="1:15">
      <c r="A10" s="3203" t="s">
        <v>3083</v>
      </c>
      <c r="B10" s="3203" t="s">
        <v>3050</v>
      </c>
      <c r="C10" s="3203" t="s">
        <v>3051</v>
      </c>
      <c r="D10" s="3203" t="s">
        <v>3052</v>
      </c>
      <c r="E10" s="3203">
        <v>104568.2</v>
      </c>
      <c r="F10" s="3203">
        <v>302202.2</v>
      </c>
      <c r="G10" s="3203" t="s">
        <v>3084</v>
      </c>
      <c r="H10" s="3203" t="s">
        <v>3081</v>
      </c>
      <c r="I10" s="3203" t="s">
        <v>3082</v>
      </c>
      <c r="J10" s="3203">
        <v>71600</v>
      </c>
      <c r="K10" s="3203">
        <v>71600</v>
      </c>
      <c r="L10" s="3203">
        <v>2369.2600000000002</v>
      </c>
      <c r="M10" s="3203">
        <v>0</v>
      </c>
      <c r="N10" s="3203" t="s">
        <v>3063</v>
      </c>
    </row>
    <row r="11" spans="1:15">
      <c r="A11" s="3203" t="s">
        <v>3090</v>
      </c>
      <c r="B11" s="3203" t="s">
        <v>3050</v>
      </c>
      <c r="C11" s="3203" t="s">
        <v>3051</v>
      </c>
      <c r="D11" s="3203" t="s">
        <v>3052</v>
      </c>
      <c r="E11" s="3203">
        <v>166674.20000000001</v>
      </c>
      <c r="F11" s="3203">
        <v>433353</v>
      </c>
      <c r="G11" s="3203" t="s">
        <v>3091</v>
      </c>
      <c r="H11" s="3203" t="s">
        <v>3089</v>
      </c>
      <c r="I11" s="3203" t="s">
        <v>3092</v>
      </c>
      <c r="J11" s="3203">
        <v>57800</v>
      </c>
      <c r="K11" s="3203">
        <v>57800</v>
      </c>
      <c r="L11" s="3203">
        <v>1333.78</v>
      </c>
      <c r="M11" s="3203">
        <v>0</v>
      </c>
      <c r="N11" s="3203" t="s">
        <v>3063</v>
      </c>
    </row>
    <row r="12" spans="1:15">
      <c r="A12" s="3203" t="s">
        <v>3093</v>
      </c>
      <c r="B12" s="3203" t="s">
        <v>3050</v>
      </c>
      <c r="C12" s="3203" t="s">
        <v>3051</v>
      </c>
      <c r="D12" s="3203" t="s">
        <v>3052</v>
      </c>
      <c r="E12" s="3203">
        <v>20487.05</v>
      </c>
      <c r="F12" s="3203">
        <v>45071.51</v>
      </c>
      <c r="G12" s="3203" t="s">
        <v>3086</v>
      </c>
      <c r="H12" s="3203" t="s">
        <v>3089</v>
      </c>
      <c r="I12" s="3203" t="s">
        <v>3092</v>
      </c>
      <c r="J12" s="3203">
        <v>6400</v>
      </c>
      <c r="K12" s="3203">
        <v>6400</v>
      </c>
      <c r="L12" s="3203">
        <v>1419.97</v>
      </c>
      <c r="M12" s="3203">
        <v>0</v>
      </c>
      <c r="N12" s="3203" t="s">
        <v>3063</v>
      </c>
    </row>
    <row r="13" spans="1:15">
      <c r="A13" s="3203" t="s">
        <v>3094</v>
      </c>
      <c r="B13" s="3203" t="s">
        <v>3050</v>
      </c>
      <c r="C13" s="3203" t="s">
        <v>3051</v>
      </c>
      <c r="D13" s="3203" t="s">
        <v>3052</v>
      </c>
      <c r="E13" s="3203">
        <v>50126.8</v>
      </c>
      <c r="F13" s="3203">
        <v>100253.6</v>
      </c>
      <c r="G13" s="3203" t="s">
        <v>3095</v>
      </c>
      <c r="H13" s="3203" t="s">
        <v>3096</v>
      </c>
      <c r="I13" s="3203" t="s">
        <v>3097</v>
      </c>
      <c r="J13" s="3203">
        <v>12690</v>
      </c>
      <c r="K13" s="3203">
        <v>12690</v>
      </c>
      <c r="L13" s="3203">
        <v>1265.78</v>
      </c>
      <c r="M13" s="3203">
        <v>0</v>
      </c>
      <c r="N13" s="3203" t="s">
        <v>3063</v>
      </c>
    </row>
    <row r="14" spans="1:15">
      <c r="A14" s="3203" t="s">
        <v>3098</v>
      </c>
      <c r="B14" s="3203" t="s">
        <v>3050</v>
      </c>
      <c r="C14" s="3203" t="s">
        <v>3051</v>
      </c>
      <c r="D14" s="3203" t="s">
        <v>3052</v>
      </c>
      <c r="E14" s="3203">
        <v>146662.20000000001</v>
      </c>
      <c r="F14" s="3203">
        <v>410654.1</v>
      </c>
      <c r="G14" s="3203" t="s">
        <v>3099</v>
      </c>
      <c r="H14" s="3203" t="s">
        <v>3096</v>
      </c>
      <c r="I14" s="3203" t="s">
        <v>3097</v>
      </c>
      <c r="J14" s="3203">
        <v>47100</v>
      </c>
      <c r="K14" s="3203">
        <v>47100</v>
      </c>
      <c r="L14" s="3203">
        <v>1146.95</v>
      </c>
      <c r="M14" s="3203">
        <v>0</v>
      </c>
      <c r="N14" s="3203" t="s">
        <v>3063</v>
      </c>
    </row>
    <row r="15" spans="1:15" s="3215" customFormat="1">
      <c r="A15" s="3215" t="s">
        <v>3103</v>
      </c>
      <c r="B15" s="3215" t="s">
        <v>3050</v>
      </c>
      <c r="C15" s="3215" t="s">
        <v>3060</v>
      </c>
      <c r="D15" s="3215" t="s">
        <v>3052</v>
      </c>
      <c r="E15" s="3215">
        <v>94618.05</v>
      </c>
      <c r="F15" s="3215">
        <v>236545.1</v>
      </c>
      <c r="G15" s="3215" t="s">
        <v>3104</v>
      </c>
      <c r="H15" s="3215" t="s">
        <v>3101</v>
      </c>
      <c r="I15" s="3215" t="s">
        <v>3105</v>
      </c>
      <c r="J15" s="3215">
        <v>39780</v>
      </c>
      <c r="K15" s="3215">
        <v>92380</v>
      </c>
      <c r="L15" s="3215">
        <v>3905.38</v>
      </c>
      <c r="M15" s="3215">
        <v>132.22999999999999</v>
      </c>
      <c r="N15" s="3215" t="s">
        <v>3063</v>
      </c>
    </row>
    <row r="16" spans="1:15" s="3204" customFormat="1">
      <c r="A16" s="3204" t="s">
        <v>3189</v>
      </c>
      <c r="B16" s="3204" t="s">
        <v>3050</v>
      </c>
      <c r="C16" s="3204" t="s">
        <v>3051</v>
      </c>
      <c r="D16" s="3204" t="s">
        <v>3052</v>
      </c>
      <c r="E16" s="3204">
        <v>112460.3</v>
      </c>
      <c r="F16" s="3204">
        <v>281150.7</v>
      </c>
      <c r="G16" s="3204" t="s">
        <v>3100</v>
      </c>
      <c r="H16" s="3204" t="s">
        <v>3101</v>
      </c>
      <c r="I16" s="3204" t="s">
        <v>3102</v>
      </c>
      <c r="J16" s="3204">
        <v>62950</v>
      </c>
      <c r="K16" s="3204">
        <v>62950</v>
      </c>
      <c r="L16" s="3204">
        <v>2239.0100000000002</v>
      </c>
      <c r="M16" s="3204">
        <v>0</v>
      </c>
      <c r="N16" s="3204" t="s">
        <v>3087</v>
      </c>
      <c r="O16" s="3204">
        <f>J16/F16*10000</f>
        <v>2239.0127429880131</v>
      </c>
    </row>
    <row r="17" spans="1:14">
      <c r="A17" s="3203" t="s">
        <v>3108</v>
      </c>
      <c r="B17" s="3203" t="s">
        <v>3050</v>
      </c>
      <c r="C17" s="3203" t="s">
        <v>3051</v>
      </c>
      <c r="D17" s="3203" t="s">
        <v>3052</v>
      </c>
      <c r="E17" s="3203">
        <v>83286.880000000005</v>
      </c>
      <c r="F17" s="3203">
        <v>166573.79999999999</v>
      </c>
      <c r="G17" s="3203" t="s">
        <v>3109</v>
      </c>
      <c r="H17" s="3203" t="s">
        <v>3107</v>
      </c>
      <c r="I17" s="3203" t="s">
        <v>3110</v>
      </c>
      <c r="J17" s="3203">
        <v>31080</v>
      </c>
      <c r="K17" s="3203">
        <v>97180</v>
      </c>
      <c r="L17" s="3203">
        <v>5834.05</v>
      </c>
      <c r="M17" s="3203">
        <v>212.68</v>
      </c>
      <c r="N17" s="3203" t="s">
        <v>3063</v>
      </c>
    </row>
    <row r="18" spans="1:14">
      <c r="A18" s="3203" t="s">
        <v>3111</v>
      </c>
      <c r="B18" s="3203" t="s">
        <v>3050</v>
      </c>
      <c r="C18" s="3203" t="s">
        <v>3051</v>
      </c>
      <c r="D18" s="3203" t="s">
        <v>3052</v>
      </c>
      <c r="E18" s="3203">
        <v>81597.25</v>
      </c>
      <c r="F18" s="3203">
        <v>203993.1</v>
      </c>
      <c r="G18" s="3203" t="s">
        <v>3100</v>
      </c>
      <c r="H18" s="3203" t="s">
        <v>3112</v>
      </c>
      <c r="I18" s="3203" t="s">
        <v>3066</v>
      </c>
      <c r="J18" s="3203">
        <v>33550</v>
      </c>
      <c r="K18" s="3203">
        <v>33550</v>
      </c>
      <c r="L18" s="3203">
        <v>1644.66</v>
      </c>
      <c r="M18" s="3203">
        <v>0</v>
      </c>
      <c r="N18" s="3203" t="s">
        <v>3063</v>
      </c>
    </row>
    <row r="19" spans="1:14">
      <c r="A19" s="3203" t="s">
        <v>3115</v>
      </c>
      <c r="B19" s="3203" t="s">
        <v>3050</v>
      </c>
      <c r="C19" s="3203" t="s">
        <v>3051</v>
      </c>
      <c r="D19" s="3203" t="s">
        <v>3052</v>
      </c>
      <c r="E19" s="3203">
        <v>17240.73</v>
      </c>
      <c r="F19" s="3203">
        <v>43101.82</v>
      </c>
      <c r="G19" s="3203" t="s">
        <v>3104</v>
      </c>
      <c r="H19" s="3203" t="s">
        <v>3116</v>
      </c>
      <c r="I19" s="3203" t="s">
        <v>3073</v>
      </c>
      <c r="J19" s="3203">
        <v>2670</v>
      </c>
      <c r="K19" s="3203">
        <v>2670</v>
      </c>
      <c r="L19" s="3203">
        <v>619.46</v>
      </c>
      <c r="M19" s="3203">
        <v>0</v>
      </c>
      <c r="N19" s="3203" t="s">
        <v>3058</v>
      </c>
    </row>
    <row r="20" spans="1:14" s="3205" customFormat="1">
      <c r="A20" s="3205" t="s">
        <v>3117</v>
      </c>
      <c r="B20" s="3205" t="s">
        <v>3050</v>
      </c>
      <c r="C20" s="3205" t="s">
        <v>3051</v>
      </c>
      <c r="D20" s="3205" t="s">
        <v>3052</v>
      </c>
      <c r="E20" s="3205">
        <v>94612.57</v>
      </c>
      <c r="F20" s="3205">
        <v>236531.4</v>
      </c>
      <c r="G20" s="3205" t="s">
        <v>3100</v>
      </c>
      <c r="H20" s="3205" t="s">
        <v>3118</v>
      </c>
      <c r="I20" s="3205" t="s">
        <v>3119</v>
      </c>
      <c r="J20" s="3205">
        <v>27450</v>
      </c>
      <c r="K20" s="3205">
        <v>85400</v>
      </c>
      <c r="L20" s="3205">
        <v>3610.51</v>
      </c>
      <c r="M20" s="3205">
        <v>211.11</v>
      </c>
      <c r="N20" s="3205" t="s">
        <v>3063</v>
      </c>
    </row>
    <row r="21" spans="1:14">
      <c r="A21" s="3203" t="s">
        <v>3183</v>
      </c>
      <c r="B21" s="3203" t="s">
        <v>3050</v>
      </c>
      <c r="C21" s="3203" t="s">
        <v>3060</v>
      </c>
      <c r="D21" s="3203" t="s">
        <v>3052</v>
      </c>
      <c r="E21" s="3203">
        <v>80976.61</v>
      </c>
      <c r="F21" s="3203">
        <v>161953.20000000001</v>
      </c>
      <c r="G21" s="3203" t="s">
        <v>3182</v>
      </c>
      <c r="H21" s="3203" t="s">
        <v>3181</v>
      </c>
      <c r="I21" s="3203" t="s">
        <v>3180</v>
      </c>
      <c r="J21" s="3203">
        <v>16550</v>
      </c>
      <c r="K21" s="3203">
        <v>16550</v>
      </c>
      <c r="L21" s="3203">
        <v>1021.89</v>
      </c>
      <c r="M21" s="3203">
        <v>0</v>
      </c>
      <c r="N21" s="3203" t="s">
        <v>3063</v>
      </c>
    </row>
    <row r="22" spans="1:14">
      <c r="A22" s="3203" t="s">
        <v>3179</v>
      </c>
      <c r="B22" s="3203" t="s">
        <v>3050</v>
      </c>
      <c r="C22" s="3203" t="s">
        <v>3051</v>
      </c>
      <c r="D22" s="3203" t="s">
        <v>3052</v>
      </c>
      <c r="E22" s="3203">
        <v>9218.1299999999992</v>
      </c>
      <c r="F22" s="3203">
        <v>27654.39</v>
      </c>
      <c r="G22" s="3203" t="s">
        <v>3178</v>
      </c>
      <c r="H22" s="3203" t="s">
        <v>3177</v>
      </c>
      <c r="I22" s="3203" t="s">
        <v>3170</v>
      </c>
      <c r="J22" s="3203">
        <v>2485</v>
      </c>
      <c r="K22" s="3203">
        <v>2485</v>
      </c>
      <c r="L22" s="3203">
        <v>898.59</v>
      </c>
      <c r="M22" s="3203">
        <v>0</v>
      </c>
      <c r="N22" s="3203" t="s">
        <v>3058</v>
      </c>
    </row>
    <row r="23" spans="1:14">
      <c r="A23" s="3203" t="s">
        <v>3176</v>
      </c>
      <c r="B23" s="3203" t="s">
        <v>3050</v>
      </c>
      <c r="C23" s="3203" t="s">
        <v>3060</v>
      </c>
      <c r="D23" s="3203" t="s">
        <v>3052</v>
      </c>
      <c r="E23" s="3203">
        <v>4765.83</v>
      </c>
      <c r="F23" s="3203">
        <v>9531.66</v>
      </c>
      <c r="G23" s="3203" t="s">
        <v>3175</v>
      </c>
      <c r="H23" s="3203" t="s">
        <v>3171</v>
      </c>
      <c r="I23" s="3203" t="s">
        <v>3170</v>
      </c>
      <c r="J23" s="3203">
        <v>760</v>
      </c>
      <c r="K23" s="3203">
        <v>760</v>
      </c>
      <c r="L23" s="3203">
        <v>797.34</v>
      </c>
      <c r="M23" s="3203">
        <v>0</v>
      </c>
      <c r="N23" s="3203" t="s">
        <v>3058</v>
      </c>
    </row>
    <row r="24" spans="1:14">
      <c r="A24" s="3203" t="s">
        <v>3174</v>
      </c>
      <c r="B24" s="3203" t="s">
        <v>3050</v>
      </c>
      <c r="C24" s="3203" t="s">
        <v>3051</v>
      </c>
      <c r="D24" s="3203" t="s">
        <v>3052</v>
      </c>
      <c r="E24" s="3203">
        <v>23956.53</v>
      </c>
      <c r="F24" s="3203">
        <v>35934.800000000003</v>
      </c>
      <c r="G24" s="3203" t="s">
        <v>3172</v>
      </c>
      <c r="H24" s="3203" t="s">
        <v>3171</v>
      </c>
      <c r="I24" s="3203" t="s">
        <v>3170</v>
      </c>
      <c r="J24" s="3203">
        <v>3050</v>
      </c>
      <c r="K24" s="3203">
        <v>3050</v>
      </c>
      <c r="L24" s="3203">
        <v>848.75</v>
      </c>
      <c r="M24" s="3203">
        <v>0</v>
      </c>
      <c r="N24" s="3203" t="s">
        <v>3058</v>
      </c>
    </row>
    <row r="25" spans="1:14">
      <c r="A25" s="3203" t="s">
        <v>3173</v>
      </c>
      <c r="B25" s="3203" t="s">
        <v>3050</v>
      </c>
      <c r="C25" s="3203" t="s">
        <v>3051</v>
      </c>
      <c r="D25" s="3203" t="s">
        <v>3052</v>
      </c>
      <c r="E25" s="3203">
        <v>11670.74</v>
      </c>
      <c r="F25" s="3203">
        <v>17506.11</v>
      </c>
      <c r="G25" s="3203" t="s">
        <v>3172</v>
      </c>
      <c r="H25" s="3203" t="s">
        <v>3171</v>
      </c>
      <c r="I25" s="3203" t="s">
        <v>3170</v>
      </c>
      <c r="J25" s="3203">
        <v>1460</v>
      </c>
      <c r="K25" s="3203">
        <v>1460</v>
      </c>
      <c r="L25" s="3203">
        <v>833.99</v>
      </c>
      <c r="M25" s="3203">
        <v>0</v>
      </c>
      <c r="N25" s="3203" t="s">
        <v>3058</v>
      </c>
    </row>
  </sheetData>
  <phoneticPr fontId="228"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06" customWidth="1"/>
    <col min="2" max="2" width="25.75" style="2096" customWidth="1"/>
    <col min="3" max="3" width="12"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1">
        <f>MATCH(B1,'数据-取费表'!A6:A16,0)+5</f>
        <v>9</v>
      </c>
    </row>
    <row r="2" spans="1:31" s="2023" customFormat="1" ht="18" customHeight="1">
      <c r="A2" s="2083" t="s">
        <v>467</v>
      </c>
      <c r="B2" s="2087">
        <f ca="1">C36</f>
        <v>14151</v>
      </c>
      <c r="C2" s="2086"/>
      <c r="D2" s="2086"/>
      <c r="E2" s="2086"/>
      <c r="F2" s="2086"/>
      <c r="G2" s="2086"/>
      <c r="H2" s="2086"/>
      <c r="I2" s="2086"/>
      <c r="J2" s="2086"/>
      <c r="K2" s="2086"/>
    </row>
    <row r="3" spans="1:31" s="2023" customFormat="1" ht="18" customHeight="1">
      <c r="A3" s="2088" t="s">
        <v>1684</v>
      </c>
      <c r="B3" s="2089">
        <f ca="1">ROUND(B2*10000/IF(B1="",'数据-汇总表'!E3,INDIRECT("'数据-取费表'!K"&amp;$K$1)),0)</f>
        <v>1935</v>
      </c>
      <c r="C3" s="2086"/>
      <c r="D3" s="2086"/>
      <c r="E3" s="2086"/>
      <c r="F3" s="2086"/>
      <c r="G3" s="2086"/>
      <c r="H3" s="2086"/>
      <c r="I3" s="2086"/>
      <c r="J3" s="2086"/>
      <c r="K3" s="2086"/>
    </row>
    <row r="4" spans="1:31" s="2023" customFormat="1" ht="18" customHeight="1">
      <c r="A4" s="425" t="s">
        <v>468</v>
      </c>
      <c r="B4" s="426">
        <f ca="1">ROUND(B2*10000/IF(B1="",'数据-汇总表'!D3,INDIRECT("'数据-取费表'!R"&amp;$K$1)),0)</f>
        <v>7013</v>
      </c>
      <c r="C4" s="427"/>
      <c r="D4" s="421"/>
      <c r="E4" s="421"/>
      <c r="F4" s="421"/>
      <c r="G4" s="421"/>
      <c r="H4" s="421"/>
      <c r="I4" s="421"/>
      <c r="J4" s="421"/>
      <c r="K4" s="421"/>
    </row>
    <row r="5" spans="1:31" s="2023" customFormat="1" ht="18" customHeight="1" thickBot="1">
      <c r="A5" s="428"/>
      <c r="B5" s="429">
        <f ca="1">ROUND(B2/(IF(B1="",'数据-汇总表'!D3,INDIRECT("'数据-取费表'!R"&amp;$K$1))/666.67),0)</f>
        <v>468</v>
      </c>
      <c r="C5" s="430" t="s">
        <v>469</v>
      </c>
      <c r="D5" s="421"/>
      <c r="E5" s="421"/>
      <c r="F5" s="421"/>
      <c r="G5" s="421"/>
      <c r="H5" s="421"/>
      <c r="I5" s="421"/>
      <c r="J5" s="421"/>
      <c r="K5" s="421"/>
    </row>
    <row r="6" spans="1:31" s="2093" customFormat="1" ht="16.5" customHeight="1">
      <c r="A6" s="2780" t="s">
        <v>1842</v>
      </c>
      <c r="B6" s="2781"/>
      <c r="C6" s="2782">
        <f ca="1">SUM(C10:K10)</f>
        <v>45736</v>
      </c>
      <c r="D6" s="2781"/>
      <c r="E6" s="2781"/>
      <c r="F6" s="2781"/>
      <c r="G6" s="2781"/>
      <c r="H6" s="2781"/>
      <c r="I6" s="2781"/>
      <c r="J6" s="2781"/>
      <c r="K6" s="2783"/>
    </row>
    <row r="7" spans="1:31" s="2095" customFormat="1" ht="15">
      <c r="A7" s="2784" t="s">
        <v>470</v>
      </c>
      <c r="B7" s="2785" t="s">
        <v>471</v>
      </c>
      <c r="C7" s="435" t="s">
        <v>923</v>
      </c>
      <c r="D7" s="435" t="s">
        <v>2996</v>
      </c>
      <c r="E7" s="435" t="s">
        <v>3211</v>
      </c>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1845</v>
      </c>
      <c r="B8" s="260" t="s">
        <v>472</v>
      </c>
      <c r="C8" s="2786">
        <f>'不动产比较法-住宅'!B3</f>
        <v>8139</v>
      </c>
      <c r="D8" s="2786">
        <f ca="1">不动产收益法!B3</f>
        <v>9692</v>
      </c>
      <c r="E8" s="2786">
        <f ca="1">'不动产收益法 (2)'!B3</f>
        <v>1997</v>
      </c>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1846</v>
      </c>
      <c r="B9" s="260" t="s">
        <v>473</v>
      </c>
      <c r="C9" s="440">
        <f>SUMIF('数据-汇总表'!$C19:$C33,'剩余法-待开发'!C7,'数据-汇总表'!$E19:$E33)</f>
        <v>48133.2</v>
      </c>
      <c r="D9" s="440">
        <f>SUMIF('数据-汇总表'!$C19:$C33,'剩余法-待开发'!D7,'数据-汇总表'!$E19:$E33)</f>
        <v>2449.4</v>
      </c>
      <c r="E9" s="440">
        <f>SUMIF('数据-汇总表'!$C19:$C33,'剩余法-待开发'!E7,'数据-汇总表'!$E19:$E33)</f>
        <v>20961.669999999998</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f ca="1">C6/(C9+D9+E9+F9+G9)*10000</f>
        <v>6392.6852562755912</v>
      </c>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3245">
        <f>'不动产比较法-住宅'!B2</f>
        <v>39176</v>
      </c>
      <c r="D10" s="2976">
        <f ca="1">不动产收益法!B2</f>
        <v>2374</v>
      </c>
      <c r="E10" s="2976">
        <f ca="1">'不动产收益法 (2)'!B2</f>
        <v>4186</v>
      </c>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49">
        <f ca="1">IF(B1="",'数据-取费表'!P16,INDIRECT("'数据-取费表'!p"&amp;$K$1)+INDIRECT("'数据-取费表'!t"&amp;$K$1))</f>
        <v>15709</v>
      </c>
      <c r="D13" s="2796"/>
      <c r="E13" s="2797"/>
      <c r="F13" s="2798"/>
      <c r="G13" s="2764"/>
      <c r="H13" s="2765"/>
      <c r="I13" s="2765"/>
      <c r="J13" s="2765"/>
      <c r="K13" s="2766"/>
    </row>
    <row r="14" spans="1:31" s="2098" customFormat="1" ht="13.5" customHeight="1">
      <c r="A14" s="2794" t="s">
        <v>1849</v>
      </c>
      <c r="B14" s="2795" t="s">
        <v>480</v>
      </c>
      <c r="C14" s="53">
        <f ca="1">ROUND(C13*F14,0)</f>
        <v>785</v>
      </c>
      <c r="D14" s="2796"/>
      <c r="E14" s="2797"/>
      <c r="F14" s="2799">
        <f>'数据-取费表'!B33</f>
        <v>0.05</v>
      </c>
      <c r="G14" s="2764" t="s">
        <v>481</v>
      </c>
      <c r="H14" s="2765"/>
      <c r="I14" s="2765"/>
      <c r="J14" s="2765"/>
      <c r="K14" s="2766"/>
    </row>
    <row r="15" spans="1:31" s="2098" customFormat="1" ht="13.5" customHeight="1">
      <c r="A15" s="2794" t="s">
        <v>1850</v>
      </c>
      <c r="B15" s="2795" t="s">
        <v>482</v>
      </c>
      <c r="C15" s="53">
        <f ca="1">ROUND(IF(B1="",SUMIF('数据-取费表'!C:C,"住宅",'数据-取费表'!P:P)*F15,IF(INDIRECT("'数据-取费表'!c"&amp;$K$1)="住宅",INDIRECT("'数据-取费表'!P"&amp;$K$1)*F15,0)),0)</f>
        <v>318</v>
      </c>
      <c r="D15" s="2796"/>
      <c r="E15" s="2797"/>
      <c r="F15" s="2799">
        <f>'数据-取费表'!B34</f>
        <v>0.03</v>
      </c>
      <c r="G15" s="2764" t="s">
        <v>483</v>
      </c>
      <c r="H15" s="2765"/>
      <c r="I15" s="2765"/>
      <c r="J15" s="2765"/>
      <c r="K15" s="2766"/>
    </row>
    <row r="16" spans="1:31" s="2099" customFormat="1" ht="13.5" customHeight="1">
      <c r="A16" s="2794" t="s">
        <v>1851</v>
      </c>
      <c r="B16" s="2795" t="s">
        <v>484</v>
      </c>
      <c r="C16" s="53">
        <f ca="1">ROUND(D16*E16/10000,0)</f>
        <v>1097</v>
      </c>
      <c r="D16" s="2796">
        <f ca="1">IF(B1="",'数据-汇总表'!E3,INDIRECT("'数据-取费表'!K"&amp;$K$1)+INDIRECT("'数据-取费表'!S"&amp;$K$1))</f>
        <v>73123.75</v>
      </c>
      <c r="E16" s="53">
        <f>'数据-取费表'!B35</f>
        <v>150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236</v>
      </c>
      <c r="D17" s="474"/>
      <c r="E17" s="2800"/>
      <c r="F17" s="2801">
        <f>'数据-取费表'!B36</f>
        <v>1.4999999999999999E-2</v>
      </c>
      <c r="G17" s="260" t="s">
        <v>486</v>
      </c>
      <c r="H17" s="2767"/>
      <c r="I17" s="2767"/>
      <c r="J17" s="2767"/>
      <c r="K17" s="278"/>
    </row>
    <row r="18" spans="1:14" s="2098" customFormat="1" ht="13.5" customHeight="1">
      <c r="A18" s="2802" t="s">
        <v>1853</v>
      </c>
      <c r="B18" s="2803" t="s">
        <v>487</v>
      </c>
      <c r="C18" s="2804">
        <f ca="1">SUM(C13:C17)</f>
        <v>18145</v>
      </c>
      <c r="D18" s="2805"/>
      <c r="E18" s="467"/>
      <c r="F18" s="467"/>
      <c r="G18" s="2768" t="s">
        <v>2425</v>
      </c>
      <c r="H18" s="2769"/>
      <c r="I18" s="2769"/>
      <c r="J18" s="2769"/>
      <c r="K18" s="2770"/>
    </row>
    <row r="19" spans="1:14" s="2098" customFormat="1" ht="13.5" customHeight="1">
      <c r="A19" s="2802" t="s">
        <v>1854</v>
      </c>
      <c r="B19" s="2803" t="s">
        <v>488</v>
      </c>
      <c r="C19" s="2760">
        <f ca="1">ROUND(D19*E19/10000,0)</f>
        <v>512</v>
      </c>
      <c r="D19" s="2806">
        <f ca="1">D16</f>
        <v>73123.75</v>
      </c>
      <c r="E19" s="2760">
        <f>'数据-取费表'!B32</f>
        <v>70</v>
      </c>
      <c r="F19" s="467"/>
      <c r="G19" s="2764" t="s">
        <v>489</v>
      </c>
      <c r="H19" s="2765"/>
      <c r="I19" s="2769"/>
      <c r="J19" s="2769"/>
      <c r="K19" s="2770"/>
    </row>
    <row r="20" spans="1:14" s="2098" customFormat="1" ht="13.5" customHeight="1">
      <c r="A20" s="2802" t="s">
        <v>1855</v>
      </c>
      <c r="B20" s="2803" t="s">
        <v>490</v>
      </c>
      <c r="C20" s="2760">
        <f ca="1">C21+C22-IF(B1="",'数据-取费表'!B29,IF(G20="已全部缴纳",C21+C22,H20))</f>
        <v>138</v>
      </c>
      <c r="D20" s="2806"/>
      <c r="E20" s="2760"/>
      <c r="F20" s="2807"/>
      <c r="G20" s="3034"/>
      <c r="H20" s="2762"/>
      <c r="I20" s="2763" t="s">
        <v>2646</v>
      </c>
      <c r="J20" s="2769"/>
      <c r="K20" s="2770"/>
    </row>
    <row r="21" spans="1:14" s="2098" customFormat="1" ht="13.5" customHeight="1">
      <c r="A21" s="2794" t="s">
        <v>1856</v>
      </c>
      <c r="B21" s="2795" t="s">
        <v>491</v>
      </c>
      <c r="C21" s="53">
        <f ca="1">ROUND(D21*E21/10000,0)</f>
        <v>91</v>
      </c>
      <c r="D21" s="2796">
        <f ca="1">IF(B1="",'数据-汇总表'!E5,IF(INDIRECT("'数据-取费表'!c"&amp;$K$1)="住宅",INDIRECT("'数据-取费表'!k"&amp;$K$1),0))</f>
        <v>48133.2</v>
      </c>
      <c r="E21" s="53">
        <f>'数据-取费表'!B27</f>
        <v>19</v>
      </c>
      <c r="F21" s="2799"/>
      <c r="G21" s="26"/>
      <c r="H21" s="51"/>
      <c r="I21" s="51"/>
      <c r="J21" s="51"/>
      <c r="K21" s="2771"/>
    </row>
    <row r="22" spans="1:14" s="2098" customFormat="1" ht="13.5" customHeight="1">
      <c r="A22" s="2794" t="s">
        <v>1857</v>
      </c>
      <c r="B22" s="2795" t="s">
        <v>492</v>
      </c>
      <c r="C22" s="53">
        <f ca="1">ROUND(D22*E22/10000,0)</f>
        <v>47</v>
      </c>
      <c r="D22" s="2796">
        <f ca="1">IF(B1="",'数据-汇总表'!E6,IF(INDIRECT("'数据-取费表'!c"&amp;$K$1)="住宅",INDIRECT("'数据-取费表'!s"&amp;$K$1),INDIRECT("'数据-取费表'!k"&amp;$K$1)+INDIRECT("'数据-取费表'!s"&amp;$K$1)))</f>
        <v>24990.550000000003</v>
      </c>
      <c r="E22" s="53">
        <f>'数据-取费表'!B28</f>
        <v>19</v>
      </c>
      <c r="F22" s="2799"/>
      <c r="G22" s="26"/>
      <c r="H22" s="51"/>
      <c r="I22" s="51"/>
      <c r="J22" s="51"/>
      <c r="K22" s="2771"/>
    </row>
    <row r="23" spans="1:14" s="2098" customFormat="1" ht="13.5" customHeight="1">
      <c r="A23" s="2802" t="s">
        <v>1858</v>
      </c>
      <c r="B23" s="2982" t="s">
        <v>2829</v>
      </c>
      <c r="C23" s="2804">
        <f ca="1">ROUND((C18+C19+C20)*F23,0)</f>
        <v>564</v>
      </c>
      <c r="D23" s="467"/>
      <c r="E23" s="467"/>
      <c r="F23" s="2808">
        <f>'数据-取费表'!B37</f>
        <v>0.03</v>
      </c>
      <c r="G23" s="2764" t="s">
        <v>2426</v>
      </c>
      <c r="H23" s="2765"/>
      <c r="I23" s="2765"/>
      <c r="J23" s="2765"/>
      <c r="K23" s="2766"/>
      <c r="L23" s="2100"/>
      <c r="M23" s="2100"/>
      <c r="N23" s="2100"/>
    </row>
    <row r="24" spans="1:14" s="2098" customFormat="1" ht="13.5" customHeight="1">
      <c r="A24" s="2802" t="s">
        <v>1859</v>
      </c>
      <c r="B24" s="2982" t="s">
        <v>2832</v>
      </c>
      <c r="C24" s="2804">
        <f ca="1">ROUND(C6*F24,0)</f>
        <v>1372</v>
      </c>
      <c r="D24" s="474"/>
      <c r="E24" s="472"/>
      <c r="F24" s="2808">
        <f>'数据-取费表'!B38</f>
        <v>0.03</v>
      </c>
      <c r="G24" s="2773" t="s">
        <v>499</v>
      </c>
      <c r="H24" s="2767"/>
      <c r="I24" s="2767"/>
      <c r="J24" s="2767"/>
      <c r="K24" s="278"/>
      <c r="L24" s="2100"/>
      <c r="M24" s="2100"/>
      <c r="N24" s="2100"/>
    </row>
    <row r="25" spans="1:14" s="2101" customFormat="1" ht="13.5" customHeight="1">
      <c r="A25" s="2802" t="s">
        <v>1860</v>
      </c>
      <c r="B25" s="2982" t="s">
        <v>2830</v>
      </c>
      <c r="C25" s="466">
        <f>ROUND(F25/(1+'数据-取费表'!C42),4)</f>
        <v>2.9000000000000001E-2</v>
      </c>
      <c r="D25" s="461" t="s">
        <v>2824</v>
      </c>
      <c r="E25" s="468"/>
      <c r="F25" s="2808">
        <f>IF(项目基本情况!B8="出让",0,'数据-取费表'!B48+'数据-取费表'!B49)</f>
        <v>3.0499999999999999E-2</v>
      </c>
      <c r="G25" s="2772" t="s">
        <v>2287</v>
      </c>
      <c r="H25" s="2765"/>
      <c r="I25" s="2765"/>
      <c r="J25" s="2765"/>
      <c r="K25" s="2766"/>
    </row>
    <row r="26" spans="1:14" s="2100" customFormat="1" ht="13.5" customHeight="1">
      <c r="A26" s="2802" t="s">
        <v>1861</v>
      </c>
      <c r="B26" s="2983" t="s">
        <v>2831</v>
      </c>
      <c r="C26" s="2809">
        <f ca="1">C28</f>
        <v>985</v>
      </c>
      <c r="D26" s="466">
        <f ca="1">C27</f>
        <v>0.10009999999999999</v>
      </c>
      <c r="E26" s="468" t="s">
        <v>495</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2" t="s">
        <v>1856</v>
      </c>
      <c r="B27" s="2810" t="s">
        <v>496</v>
      </c>
      <c r="C27" s="2811">
        <f ca="1">ROUND(IF('数据-取费表'!B22&lt;=1,(1+C25)*F26*'数据-取费表'!B24,(1+C25)*(POWER((1+F26),'数据-取费表'!B24)-1)),4)</f>
        <v>0.10009999999999999</v>
      </c>
      <c r="D27" s="471"/>
      <c r="E27" s="472"/>
      <c r="F27" s="473"/>
      <c r="G27" s="2533" t="str">
        <f>IF('数据-取费表'!B22&lt;=1,"（1+取得税费率/(1+5%)）×年利率×建设期","（1+取得税费率）/(1+5%)×((1+年利率)^建设期-1)")</f>
        <v>（1+取得税费率）/(1+5%)×((1+年利率)^建设期-1)</v>
      </c>
      <c r="H27" s="2767"/>
      <c r="I27" s="2767"/>
      <c r="J27" s="2767"/>
      <c r="K27" s="278"/>
    </row>
    <row r="28" spans="1:14" s="2102" customFormat="1" ht="13.5" customHeight="1">
      <c r="A28" s="802" t="s">
        <v>1857</v>
      </c>
      <c r="B28" s="2810" t="s">
        <v>2833</v>
      </c>
      <c r="C28" s="2812">
        <f ca="1">ROUND(IF('数据-取费表'!B22&lt;=1,(C18+C19+C20+C23+C24)*F26*'数据-取费表'!B24/2,(C18+C19+C20+C23+C24)*(POWER((1+F26),'数据-取费表'!B24/2)-1)),0)</f>
        <v>985</v>
      </c>
      <c r="D28" s="471"/>
      <c r="E28" s="472"/>
      <c r="F28" s="473"/>
      <c r="G28" s="2533" t="str">
        <f>IF('数据-取费表'!B22&lt;=1,"（1）-（4）项×年利率×建设期÷2","（1）-（4）项×((1+年利率)^(建设期÷2)-1)")</f>
        <v>（1）-（4）项×((1+年利率)^(建设期÷2)-1)</v>
      </c>
      <c r="H28" s="2767"/>
      <c r="I28" s="2767"/>
      <c r="J28" s="2767"/>
      <c r="K28" s="278"/>
    </row>
    <row r="29" spans="1:14" s="2102" customFormat="1" ht="13.5" customHeight="1">
      <c r="A29" s="2813" t="s">
        <v>1862</v>
      </c>
      <c r="B29" s="2803" t="s">
        <v>497</v>
      </c>
      <c r="C29" s="2804">
        <f ca="1">ROUND(C6*F29/(1+'数据-取费表'!C42),0)</f>
        <v>2396</v>
      </c>
      <c r="D29" s="467"/>
      <c r="E29" s="467"/>
      <c r="F29" s="2984">
        <f>'数据-取费表'!B41</f>
        <v>5.5000000000000007E-2</v>
      </c>
      <c r="G29" s="2773" t="s">
        <v>498</v>
      </c>
      <c r="H29" s="2765"/>
      <c r="I29" s="2765"/>
      <c r="J29" s="2765"/>
      <c r="K29" s="2766"/>
    </row>
    <row r="30" spans="1:14" s="2103" customFormat="1" ht="13.5" customHeight="1">
      <c r="A30" s="1617" t="s">
        <v>1863</v>
      </c>
      <c r="B30" s="2814" t="s">
        <v>500</v>
      </c>
      <c r="C30" s="2809">
        <f ca="1">C31</f>
        <v>24112</v>
      </c>
      <c r="D30" s="476">
        <f ca="1">C32</f>
        <v>0.12909999999999999</v>
      </c>
      <c r="E30" s="468" t="s">
        <v>495</v>
      </c>
      <c r="F30" s="470"/>
      <c r="G30" s="2772" t="s">
        <v>2964</v>
      </c>
      <c r="H30" s="2765"/>
      <c r="I30" s="2765"/>
      <c r="J30" s="2765"/>
      <c r="K30" s="2766"/>
    </row>
    <row r="31" spans="1:14" s="2102" customFormat="1" ht="13.5" customHeight="1">
      <c r="A31" s="802" t="s">
        <v>1856</v>
      </c>
      <c r="B31" s="2810"/>
      <c r="C31" s="449">
        <f ca="1">C18+C19+C20+C23+C24+C26+C29</f>
        <v>24112</v>
      </c>
      <c r="D31" s="471"/>
      <c r="E31" s="472"/>
      <c r="F31" s="473"/>
      <c r="G31" s="260"/>
      <c r="H31" s="2767"/>
      <c r="I31" s="2767"/>
      <c r="J31" s="2767"/>
      <c r="K31" s="278"/>
    </row>
    <row r="32" spans="1:14" s="2102" customFormat="1" ht="13.5" customHeight="1">
      <c r="A32" s="802" t="s">
        <v>1857</v>
      </c>
      <c r="B32" s="2810"/>
      <c r="C32" s="53">
        <f ca="1">ROUND(C25+D26,4)</f>
        <v>0.12909999999999999</v>
      </c>
      <c r="D32" s="471"/>
      <c r="E32" s="472"/>
      <c r="F32" s="473"/>
      <c r="G32" s="260"/>
      <c r="H32" s="2767"/>
      <c r="I32" s="2767"/>
      <c r="J32" s="2767"/>
      <c r="K32" s="278"/>
    </row>
    <row r="33" spans="1:11" s="2104" customFormat="1" ht="13.5" customHeight="1">
      <c r="A33" s="2981" t="s">
        <v>2828</v>
      </c>
      <c r="B33" s="2979" t="s">
        <v>2826</v>
      </c>
      <c r="C33" s="477">
        <f ca="1">C35</f>
        <v>3317</v>
      </c>
      <c r="D33" s="466">
        <f ca="1">C34</f>
        <v>0.1646</v>
      </c>
      <c r="E33" s="468" t="s">
        <v>495</v>
      </c>
      <c r="F33" s="478">
        <f ca="1">IF(B1="",'数据-取费表'!Q16,INDIRECT("'数据-取费表'!q"&amp;$K$1))</f>
        <v>0.16</v>
      </c>
      <c r="G33" s="2768"/>
      <c r="H33" s="2769"/>
      <c r="I33" s="2769"/>
      <c r="J33" s="2769"/>
      <c r="K33" s="2770"/>
    </row>
    <row r="34" spans="1:11" s="2105" customFormat="1" ht="13.5" customHeight="1">
      <c r="A34" s="374" t="s">
        <v>1856</v>
      </c>
      <c r="B34" s="2815" t="s">
        <v>501</v>
      </c>
      <c r="C34" s="471">
        <f ca="1">ROUND((1+C25)*F33,4)</f>
        <v>0.1646</v>
      </c>
      <c r="D34" s="471"/>
      <c r="E34" s="472"/>
      <c r="F34" s="479"/>
      <c r="G34" s="260" t="s">
        <v>2288</v>
      </c>
      <c r="H34" s="2767"/>
      <c r="I34" s="2767"/>
      <c r="J34" s="2767"/>
      <c r="K34" s="278"/>
    </row>
    <row r="35" spans="1:11" s="2105" customFormat="1" ht="13.5" customHeight="1" thickBot="1">
      <c r="A35" s="1618" t="s">
        <v>1857</v>
      </c>
      <c r="B35" s="2980" t="s">
        <v>2834</v>
      </c>
      <c r="C35" s="1610">
        <f ca="1">ROUND((C18+C19+C20+C23+C24)*F33,0)</f>
        <v>3317</v>
      </c>
      <c r="D35" s="1611"/>
      <c r="E35" s="2816"/>
      <c r="F35" s="1612"/>
      <c r="G35" s="2774"/>
      <c r="H35" s="2775"/>
      <c r="I35" s="2775"/>
      <c r="J35" s="2775"/>
      <c r="K35" s="2776"/>
    </row>
    <row r="36" spans="1:11" s="2067" customFormat="1" ht="13.5" customHeight="1" thickBot="1">
      <c r="A36" s="283" t="s">
        <v>1844</v>
      </c>
      <c r="B36" s="2778"/>
      <c r="C36" s="2817">
        <f ca="1">ROUND((C6-C30-C33)/(1+D30+D33),0)</f>
        <v>14151</v>
      </c>
      <c r="D36" s="2778"/>
      <c r="E36" s="2778"/>
      <c r="F36" s="2778"/>
      <c r="G36" s="2777" t="s">
        <v>2835</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0" t="s">
        <v>466</v>
      </c>
      <c r="B1" s="2761"/>
      <c r="C1" s="2086"/>
      <c r="D1" s="2086"/>
      <c r="E1" s="2086"/>
      <c r="F1" s="2086"/>
      <c r="G1" s="2086"/>
      <c r="H1" s="2086"/>
      <c r="I1" s="2086"/>
      <c r="J1" s="2086"/>
      <c r="K1" s="421">
        <f>MATCH(B1,'数据-取费表'!A6:A16,0)+5</f>
        <v>9</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2" t="s">
        <v>1684</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2647</v>
      </c>
      <c r="B6" s="432"/>
      <c r="C6" s="1605">
        <f>SUM(C10:K10)</f>
        <v>0</v>
      </c>
      <c r="D6" s="2091"/>
      <c r="E6" s="2091"/>
      <c r="F6" s="2091"/>
      <c r="G6" s="2091"/>
      <c r="H6" s="2091"/>
      <c r="I6" s="2091"/>
      <c r="J6" s="2091"/>
      <c r="K6" s="2092"/>
    </row>
    <row r="7" spans="1:41" s="2095" customFormat="1" ht="15">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5" t="s">
        <v>1848</v>
      </c>
      <c r="B13" s="448" t="s">
        <v>479</v>
      </c>
      <c r="C13" s="449">
        <f ca="1">IF(B1="",'数据-取费表'!M16,INDIRECT("'数据-取费表'!M"&amp;$K$1)+INDIRECT("'数据-取费表'!t"&amp;$K$1))</f>
        <v>15709</v>
      </c>
      <c r="D13" s="450"/>
      <c r="E13" s="364"/>
      <c r="F13" s="451"/>
      <c r="G13" s="443"/>
      <c r="H13" s="446"/>
      <c r="I13" s="446"/>
      <c r="J13" s="446"/>
      <c r="K13" s="447"/>
    </row>
    <row r="14" spans="1:41" s="2098" customFormat="1" ht="13.5" customHeight="1">
      <c r="A14" s="1615" t="s">
        <v>1849</v>
      </c>
      <c r="B14" s="448" t="s">
        <v>480</v>
      </c>
      <c r="C14" s="53">
        <f ca="1">ROUND(C13*F14,0)</f>
        <v>785</v>
      </c>
      <c r="D14" s="450"/>
      <c r="E14" s="364"/>
      <c r="F14" s="452">
        <f>'数据-取费表'!B33</f>
        <v>0.05</v>
      </c>
      <c r="G14" s="443" t="s">
        <v>502</v>
      </c>
      <c r="H14" s="446"/>
      <c r="I14" s="446"/>
      <c r="J14" s="446"/>
      <c r="K14" s="447"/>
    </row>
    <row r="15" spans="1:41" s="2098" customFormat="1" ht="13.5" customHeight="1">
      <c r="A15" s="1615" t="s">
        <v>1850</v>
      </c>
      <c r="B15" s="448" t="s">
        <v>482</v>
      </c>
      <c r="C15" s="53">
        <f ca="1">ROUND(IF(B1="",SUMIF('数据-取费表'!C:C,"住宅",'数据-取费表'!M:M)*F15,IF(INDIRECT("'数据-取费表'!c"&amp;$K$1)="住宅",INDIRECT("'数据-取费表'!M"&amp;$K$1)*F15,0)),0)</f>
        <v>318</v>
      </c>
      <c r="D15" s="450"/>
      <c r="E15" s="364"/>
      <c r="F15" s="452">
        <f>'数据-取费表'!B34</f>
        <v>0.03</v>
      </c>
      <c r="G15" s="443" t="s">
        <v>502</v>
      </c>
      <c r="H15" s="446"/>
      <c r="I15" s="446"/>
      <c r="J15" s="446"/>
      <c r="K15" s="447"/>
    </row>
    <row r="16" spans="1:41" s="2099" customFormat="1" ht="13.5" customHeight="1">
      <c r="A16" s="1615" t="s">
        <v>1851</v>
      </c>
      <c r="B16" s="448" t="s">
        <v>484</v>
      </c>
      <c r="C16" s="53">
        <f ca="1">ROUND(D16*E16/10000,0)</f>
        <v>1097</v>
      </c>
      <c r="D16" s="450">
        <f ca="1">IF(B1="",'数据-汇总表'!E3,INDIRECT("'数据-取费表'!K"&amp;$K$1)+INDIRECT("'数据-取费表'!S"&amp;$K$1))</f>
        <v>73123.75</v>
      </c>
      <c r="E16" s="53">
        <f>'数据-取费表'!B35</f>
        <v>150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8" t="s">
        <v>485</v>
      </c>
      <c r="C17" s="453">
        <f ca="1">ROUND(C13*F17,0)</f>
        <v>236</v>
      </c>
      <c r="D17" s="454"/>
      <c r="E17" s="453"/>
      <c r="F17" s="455">
        <f>'数据-取费表'!B36</f>
        <v>1.4999999999999999E-2</v>
      </c>
      <c r="G17" s="443" t="s">
        <v>502</v>
      </c>
      <c r="H17" s="456"/>
      <c r="I17" s="456"/>
      <c r="J17" s="456"/>
      <c r="K17" s="457"/>
    </row>
    <row r="18" spans="1:14" s="2101" customFormat="1" ht="13.5" customHeight="1">
      <c r="A18" s="1616" t="s">
        <v>1853</v>
      </c>
      <c r="B18" s="458" t="s">
        <v>487</v>
      </c>
      <c r="C18" s="459">
        <f ca="1">SUM(C13:C17)</f>
        <v>18145</v>
      </c>
      <c r="D18" s="460"/>
      <c r="E18" s="461"/>
      <c r="F18" s="461"/>
      <c r="G18" s="1321" t="s">
        <v>2427</v>
      </c>
      <c r="H18" s="446"/>
      <c r="I18" s="446"/>
      <c r="J18" s="446"/>
      <c r="K18" s="447"/>
    </row>
    <row r="19" spans="1:14" s="2101" customFormat="1" ht="13.5" customHeight="1">
      <c r="A19" s="1616" t="s">
        <v>1854</v>
      </c>
      <c r="B19" s="458" t="s">
        <v>493</v>
      </c>
      <c r="C19" s="459">
        <f ca="1">ROUND(C18*F19,0)</f>
        <v>544</v>
      </c>
      <c r="D19" s="461"/>
      <c r="E19" s="461"/>
      <c r="F19" s="465">
        <f>'数据-取费表'!B37</f>
        <v>0.03</v>
      </c>
      <c r="G19" s="443" t="s">
        <v>503</v>
      </c>
      <c r="H19" s="446"/>
      <c r="I19" s="446"/>
      <c r="J19" s="446"/>
      <c r="K19" s="447"/>
      <c r="L19" s="2103"/>
      <c r="M19" s="2103"/>
      <c r="N19" s="2103"/>
    </row>
    <row r="20" spans="1:14" s="2101" customFormat="1" ht="13.5" customHeight="1">
      <c r="A20" s="1616" t="s">
        <v>1855</v>
      </c>
      <c r="B20" s="458" t="s">
        <v>504</v>
      </c>
      <c r="C20" s="2977">
        <f>F20</f>
        <v>0.03</v>
      </c>
      <c r="D20" s="468" t="s">
        <v>505</v>
      </c>
      <c r="E20" s="468"/>
      <c r="F20" s="485">
        <f>'数据-取费表'!B38</f>
        <v>0.03</v>
      </c>
      <c r="G20" s="1321" t="s">
        <v>506</v>
      </c>
      <c r="H20" s="446"/>
      <c r="I20" s="446"/>
      <c r="J20" s="446"/>
      <c r="K20" s="447"/>
      <c r="L20" s="2103"/>
      <c r="M20" s="2103"/>
      <c r="N20" s="2103"/>
    </row>
    <row r="21" spans="1:14" s="2103" customFormat="1" ht="13.5" customHeight="1">
      <c r="A21" s="1616" t="s">
        <v>1858</v>
      </c>
      <c r="B21" s="460" t="s">
        <v>494</v>
      </c>
      <c r="C21" s="469">
        <f ca="1">C22</f>
        <v>888</v>
      </c>
      <c r="D21" s="466">
        <f ca="1">C23</f>
        <v>1.4E-3</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0" t="s">
        <v>2449</v>
      </c>
    </row>
    <row r="22" spans="1:14" s="2102" customFormat="1" ht="13.5" customHeight="1">
      <c r="A22" s="1615" t="s">
        <v>1848</v>
      </c>
      <c r="B22" s="1322" t="s">
        <v>2430</v>
      </c>
      <c r="C22" s="486">
        <f ca="1">ROUND(IF('数据-取费表'!B22&lt;=1,(C18+C19)*F21*'数据-取费表'!B20/2,(C18+C19)*(POWER((1+F21),'数据-取费表'!B20/2)-1)),0)</f>
        <v>888</v>
      </c>
      <c r="D22" s="471"/>
      <c r="E22" s="472"/>
      <c r="F22" s="473"/>
      <c r="G22" s="2528" t="str">
        <f>IF('数据-取费表'!B22&lt;=1,"((1)+(2))×年利率×建设期÷2","((1)+(2))×((1+年利率)^(建设期÷2)-1)")</f>
        <v>((1)+(2))×((1+年利率)^(建设期÷2)-1)</v>
      </c>
      <c r="H22" s="456"/>
      <c r="I22" s="456"/>
      <c r="J22" s="456"/>
      <c r="K22" s="457"/>
    </row>
    <row r="23" spans="1:14" s="2102" customFormat="1" ht="13.5" customHeight="1">
      <c r="A23" s="1615" t="s">
        <v>1849</v>
      </c>
      <c r="B23" s="1322" t="s">
        <v>508</v>
      </c>
      <c r="C23" s="487">
        <f ca="1">ROUND(IF('数据-取费表'!B22&lt;=1,F20*F21*'数据-取费表'!B20/2,F20*(POWER((1+F21),'数据-取费表'!B20/2)-1)),4)</f>
        <v>1.4E-3</v>
      </c>
      <c r="D23" s="471"/>
      <c r="E23" s="472"/>
      <c r="F23" s="473"/>
      <c r="G23" s="2528" t="str">
        <f>IF('数据-取费表'!B22&lt;=1,"销售费用率×年利率×建设期÷2","销售费用率×((1+年利率)^(建设期÷2)-1)")</f>
        <v>销售费用率×((1+年利率)^(建设期÷2)-1)</v>
      </c>
      <c r="H23" s="456"/>
      <c r="I23" s="456"/>
      <c r="J23" s="456"/>
      <c r="K23" s="457"/>
    </row>
    <row r="24" spans="1:14" s="2102" customFormat="1" ht="13.5" customHeight="1">
      <c r="A24" s="1616" t="s">
        <v>1859</v>
      </c>
      <c r="B24" s="2979" t="s">
        <v>2827</v>
      </c>
      <c r="C24" s="477">
        <f ca="1">C25</f>
        <v>2990</v>
      </c>
      <c r="D24" s="488">
        <f ca="1">C26</f>
        <v>4.7999999999999996E-3</v>
      </c>
      <c r="E24" s="468" t="s">
        <v>507</v>
      </c>
      <c r="F24" s="478">
        <f ca="1">IF(B1="",'数据-取费表'!Q16,INDIRECT("'数据-取费表'!q"&amp;$K$1))</f>
        <v>0.16</v>
      </c>
      <c r="G24" s="443"/>
      <c r="H24" s="446"/>
      <c r="I24" s="446"/>
      <c r="J24" s="446"/>
      <c r="K24" s="447"/>
    </row>
    <row r="25" spans="1:14" s="2102" customFormat="1" ht="13.5" customHeight="1">
      <c r="A25" s="1615" t="s">
        <v>1848</v>
      </c>
      <c r="B25" s="1322" t="s">
        <v>2431</v>
      </c>
      <c r="C25" s="489">
        <f ca="1">ROUND((C18+C19)*F24,0)</f>
        <v>2990</v>
      </c>
      <c r="D25" s="471"/>
      <c r="E25" s="472"/>
      <c r="F25" s="479"/>
      <c r="G25" s="1320" t="s">
        <v>2428</v>
      </c>
      <c r="H25" s="456"/>
      <c r="I25" s="456"/>
      <c r="J25" s="456"/>
      <c r="K25" s="457"/>
    </row>
    <row r="26" spans="1:14" s="2102" customFormat="1" ht="13.5" customHeight="1">
      <c r="A26" s="1615" t="s">
        <v>1849</v>
      </c>
      <c r="B26" s="1322" t="s">
        <v>509</v>
      </c>
      <c r="C26" s="490">
        <f ca="1">ROUND(F20*F24,4)</f>
        <v>4.7999999999999996E-3</v>
      </c>
      <c r="D26" s="471"/>
      <c r="E26" s="480"/>
      <c r="F26" s="479"/>
      <c r="G26" s="1320" t="s">
        <v>510</v>
      </c>
      <c r="H26" s="456"/>
      <c r="I26" s="456"/>
      <c r="J26" s="456"/>
      <c r="K26" s="457"/>
    </row>
    <row r="27" spans="1:14" s="2102" customFormat="1" ht="13.5" customHeight="1">
      <c r="A27" s="1619" t="s">
        <v>1867</v>
      </c>
      <c r="B27" s="458" t="s">
        <v>511</v>
      </c>
      <c r="C27" s="2978">
        <f>ROUND(F27/(1+'数据-取费表'!C42),4)</f>
        <v>5.2400000000000002E-2</v>
      </c>
      <c r="D27" s="461" t="s">
        <v>2825</v>
      </c>
      <c r="E27" s="461"/>
      <c r="F27" s="465">
        <f>'数据-取费表'!B41</f>
        <v>5.5000000000000007E-2</v>
      </c>
      <c r="G27" s="1942" t="s">
        <v>2289</v>
      </c>
      <c r="H27" s="446"/>
      <c r="I27" s="446"/>
      <c r="J27" s="446"/>
      <c r="K27" s="447"/>
    </row>
    <row r="28" spans="1:14" s="2103" customFormat="1" ht="13.5" customHeight="1">
      <c r="A28" s="1619" t="s">
        <v>1868</v>
      </c>
      <c r="B28" s="475" t="s">
        <v>512</v>
      </c>
      <c r="C28" s="469">
        <f ca="1">ROUND((C18+C19+C21+C24)/(1-C20-D21-D24-C27),0)</f>
        <v>24761</v>
      </c>
      <c r="D28" s="476"/>
      <c r="E28" s="468"/>
      <c r="F28" s="470"/>
      <c r="G28" s="1321" t="s">
        <v>2429</v>
      </c>
      <c r="H28" s="446"/>
      <c r="I28" s="446"/>
      <c r="J28" s="446"/>
      <c r="K28" s="447"/>
    </row>
    <row r="29" spans="1:14" s="2103" customFormat="1" ht="13.5" customHeight="1">
      <c r="A29" s="1619" t="s">
        <v>1869</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3" t="s">
        <v>515</v>
      </c>
      <c r="H30" s="495"/>
      <c r="I30" s="495"/>
      <c r="J30" s="446"/>
      <c r="K30" s="447"/>
    </row>
    <row r="31" spans="1:14" s="2108" customFormat="1" ht="13.5" customHeight="1">
      <c r="A31" s="2443" t="s">
        <v>1865</v>
      </c>
      <c r="B31" s="1324"/>
      <c r="C31" s="499">
        <f>ROUND(C6*F31/(1+'数据-取费表'!C42),0)</f>
        <v>0</v>
      </c>
      <c r="D31" s="1325"/>
      <c r="E31" s="1325"/>
      <c r="F31" s="500">
        <f>'数据-取费表'!B41</f>
        <v>5.5000000000000007E-2</v>
      </c>
      <c r="G31" s="1326"/>
      <c r="H31" s="1326"/>
      <c r="I31" s="1326"/>
      <c r="J31" s="1327"/>
      <c r="K31" s="1328"/>
    </row>
    <row r="32" spans="1:14" s="2067"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4" t="s">
        <v>2965</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467</v>
      </c>
      <c r="B2" s="507"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1685</v>
      </c>
      <c r="B3" s="509"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7"/>
      <c r="AC3" s="427"/>
    </row>
    <row r="4" spans="1:29" s="1330" customFormat="1" ht="28.5" customHeight="1">
      <c r="A4" s="510" t="s">
        <v>520</v>
      </c>
      <c r="B4" s="426"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29" s="1330"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7"/>
    </row>
    <row r="6" spans="1:29" ht="15">
      <c r="A6" s="511" t="s">
        <v>521</v>
      </c>
      <c r="B6" s="512"/>
      <c r="C6" s="3473" t="s">
        <v>522</v>
      </c>
      <c r="D6" s="3474"/>
      <c r="E6" s="3507" t="s">
        <v>523</v>
      </c>
      <c r="F6" s="3508"/>
      <c r="G6" s="3473" t="s">
        <v>524</v>
      </c>
      <c r="H6" s="3474"/>
      <c r="I6" s="3473" t="s">
        <v>525</v>
      </c>
      <c r="J6" s="3474"/>
      <c r="K6" s="513" t="s">
        <v>526</v>
      </c>
      <c r="L6" s="2115"/>
      <c r="M6" s="2116"/>
      <c r="N6" s="2116"/>
      <c r="O6" s="2116"/>
      <c r="P6" s="3475" t="s">
        <v>527</v>
      </c>
      <c r="Q6" s="3476"/>
      <c r="R6" s="3481" t="s">
        <v>523</v>
      </c>
      <c r="S6" s="3482"/>
      <c r="T6" s="3481" t="s">
        <v>524</v>
      </c>
      <c r="U6" s="3482"/>
      <c r="V6" s="3468" t="s">
        <v>525</v>
      </c>
      <c r="W6" s="3468"/>
      <c r="X6" s="1550"/>
      <c r="Y6" s="3481" t="s">
        <v>527</v>
      </c>
      <c r="Z6" s="3482"/>
      <c r="AA6" s="3470" t="s">
        <v>523</v>
      </c>
      <c r="AB6" s="3471" t="s">
        <v>524</v>
      </c>
      <c r="AC6" s="3470" t="s">
        <v>525</v>
      </c>
    </row>
    <row r="7" spans="1:29" ht="15">
      <c r="A7" s="514"/>
      <c r="B7" s="515"/>
      <c r="C7" s="3489" t="s">
        <v>2922</v>
      </c>
      <c r="D7" s="3490"/>
      <c r="E7" s="3509" t="s">
        <v>2923</v>
      </c>
      <c r="F7" s="3510"/>
      <c r="G7" s="3489" t="s">
        <v>2924</v>
      </c>
      <c r="H7" s="3490"/>
      <c r="I7" s="3489" t="s">
        <v>2925</v>
      </c>
      <c r="J7" s="3490"/>
      <c r="K7" s="513"/>
      <c r="L7" s="2115"/>
      <c r="M7" s="2116"/>
      <c r="N7" s="2116"/>
      <c r="O7" s="2116"/>
      <c r="P7" s="3477"/>
      <c r="Q7" s="3478"/>
      <c r="R7" s="3483"/>
      <c r="S7" s="3484"/>
      <c r="T7" s="3483"/>
      <c r="U7" s="3484"/>
      <c r="V7" s="3468"/>
      <c r="W7" s="3468"/>
      <c r="X7" s="1550"/>
      <c r="Y7" s="3483"/>
      <c r="Z7" s="3484"/>
      <c r="AA7" s="3471"/>
      <c r="AB7" s="3471"/>
      <c r="AC7" s="3471"/>
    </row>
    <row r="8" spans="1:29" ht="15.75" thickBot="1">
      <c r="A8" s="516"/>
      <c r="B8" s="517"/>
      <c r="C8" s="3487" t="s">
        <v>2926</v>
      </c>
      <c r="D8" s="3488"/>
      <c r="E8" s="3505" t="s">
        <v>2926</v>
      </c>
      <c r="F8" s="3506"/>
      <c r="G8" s="3487" t="s">
        <v>2926</v>
      </c>
      <c r="H8" s="3488"/>
      <c r="I8" s="3487" t="s">
        <v>2926</v>
      </c>
      <c r="J8" s="3488"/>
      <c r="K8" s="513" t="s">
        <v>528</v>
      </c>
      <c r="L8" s="2115"/>
      <c r="M8" s="2116"/>
      <c r="N8" s="2116"/>
      <c r="O8" s="2116"/>
      <c r="P8" s="3479"/>
      <c r="Q8" s="3480"/>
      <c r="R8" s="3483"/>
      <c r="S8" s="3484"/>
      <c r="T8" s="3485"/>
      <c r="U8" s="3486"/>
      <c r="V8" s="3468"/>
      <c r="W8" s="3468"/>
      <c r="X8" s="1550"/>
      <c r="Y8" s="3485"/>
      <c r="Z8" s="3486"/>
      <c r="AA8" s="3472"/>
      <c r="AB8" s="3472"/>
      <c r="AC8" s="3472"/>
    </row>
    <row r="9" spans="1:29" s="1214" customFormat="1" ht="15.75" thickBot="1">
      <c r="A9" s="2863"/>
      <c r="B9" s="2870" t="s">
        <v>529</v>
      </c>
      <c r="C9" s="518">
        <f>'数据-取费表'!B2</f>
        <v>43692</v>
      </c>
      <c r="D9" s="519">
        <v>100</v>
      </c>
      <c r="E9" s="520"/>
      <c r="F9" s="521">
        <f>SUMIF(67:67,YEAR(E9)&amp;"-"&amp;INT((MONTH(E9)+2)/3),68:68)</f>
        <v>0</v>
      </c>
      <c r="G9" s="522"/>
      <c r="H9" s="519">
        <f>SUMIF(67:67,YEAR(G9)&amp;"-"&amp;INT((MONTH(G9)+2)/3),68:68)</f>
        <v>0</v>
      </c>
      <c r="I9" s="522"/>
      <c r="J9" s="519">
        <f>SUMIF(67:67,YEAR(I9)&amp;"-"&amp;INT((MONTH(I9)+2)/3),68:68)</f>
        <v>0</v>
      </c>
      <c r="K9" s="523"/>
      <c r="L9" s="2117"/>
      <c r="M9" s="2118"/>
      <c r="N9" s="2118"/>
      <c r="O9" s="2118"/>
      <c r="P9" s="3498" t="s">
        <v>530</v>
      </c>
      <c r="Q9" s="3500"/>
      <c r="R9" s="1551" t="s">
        <v>8</v>
      </c>
      <c r="S9" s="1552">
        <f t="shared" ref="S9:S17" si="0">F9</f>
        <v>0</v>
      </c>
      <c r="T9" s="1551" t="s">
        <v>8</v>
      </c>
      <c r="U9" s="1552">
        <f t="shared" ref="U9:U17" si="1">H9</f>
        <v>0</v>
      </c>
      <c r="V9" s="1551" t="s">
        <v>8</v>
      </c>
      <c r="W9" s="1552">
        <f t="shared" ref="W9:W17" si="2">J9</f>
        <v>0</v>
      </c>
      <c r="X9" s="1553"/>
      <c r="Y9" s="3498" t="s">
        <v>530</v>
      </c>
      <c r="Z9" s="3499"/>
      <c r="AA9" s="1554" t="e">
        <f>D9/F9</f>
        <v>#DIV/0!</v>
      </c>
      <c r="AB9" s="1554" t="e">
        <f>D9/H9</f>
        <v>#DIV/0!</v>
      </c>
      <c r="AC9" s="1554" t="e">
        <f>D9/J9</f>
        <v>#DIV/0!</v>
      </c>
    </row>
    <row r="10" spans="1:29" s="1214" customFormat="1" ht="15.75" thickBot="1">
      <c r="A10" s="2864"/>
      <c r="B10" s="2871"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7"/>
      <c r="M10" s="2118"/>
      <c r="N10" s="2118"/>
      <c r="O10" s="2118"/>
      <c r="P10" s="3498" t="s">
        <v>533</v>
      </c>
      <c r="Q10" s="3499"/>
      <c r="R10" s="1551" t="s">
        <v>8</v>
      </c>
      <c r="S10" s="1552">
        <f t="shared" si="0"/>
        <v>0</v>
      </c>
      <c r="T10" s="1551" t="s">
        <v>8</v>
      </c>
      <c r="U10" s="1552">
        <f t="shared" si="1"/>
        <v>0</v>
      </c>
      <c r="V10" s="1551" t="s">
        <v>8</v>
      </c>
      <c r="W10" s="1552">
        <f t="shared" si="2"/>
        <v>0</v>
      </c>
      <c r="X10" s="1553"/>
      <c r="Y10" s="3498" t="s">
        <v>533</v>
      </c>
      <c r="Z10" s="3499"/>
      <c r="AA10" s="1554" t="e">
        <f t="shared" ref="AA10:AA42" si="3">D10/F10</f>
        <v>#DIV/0!</v>
      </c>
      <c r="AB10" s="1554" t="e">
        <f t="shared" ref="AB10:AB42" si="4">D10/H10</f>
        <v>#DIV/0!</v>
      </c>
      <c r="AC10" s="1554" t="e">
        <f t="shared" ref="AC10:AC42" si="5">D10/J10</f>
        <v>#DIV/0!</v>
      </c>
    </row>
    <row r="11" spans="1:29" s="1214" customFormat="1" ht="15">
      <c r="A11" s="2865"/>
      <c r="B11" s="2872" t="s">
        <v>2751</v>
      </c>
      <c r="C11" s="525"/>
      <c r="D11" s="253">
        <v>100</v>
      </c>
      <c r="E11" s="525"/>
      <c r="F11" s="253">
        <f>SUMIF(72:72,E11,73:73)-SUMIF(72:72,C11,73:73)+100</f>
        <v>100</v>
      </c>
      <c r="G11" s="525"/>
      <c r="H11" s="253">
        <f>SUMIF(72:72,G11,73:73)-SUMIF(72:72,C11,73:73)+100</f>
        <v>100</v>
      </c>
      <c r="I11" s="525"/>
      <c r="J11" s="253">
        <f>SUMIF(72:72,I11,73:73)-SUMIF(72:72,C11,73:73)+100</f>
        <v>100</v>
      </c>
      <c r="K11" s="523"/>
      <c r="L11" s="2117"/>
      <c r="M11" s="2118"/>
      <c r="N11" s="2118"/>
      <c r="O11" s="2119"/>
      <c r="P11" s="3467" t="s">
        <v>535</v>
      </c>
      <c r="Q11" s="1145" t="str">
        <f t="shared" ref="Q11:Q17" si="6">B11</f>
        <v>用途</v>
      </c>
      <c r="R11" s="1551" t="s">
        <v>8</v>
      </c>
      <c r="S11" s="1552">
        <f t="shared" si="0"/>
        <v>100</v>
      </c>
      <c r="T11" s="1551" t="s">
        <v>8</v>
      </c>
      <c r="U11" s="1552">
        <f t="shared" si="1"/>
        <v>100</v>
      </c>
      <c r="V11" s="1551" t="s">
        <v>8</v>
      </c>
      <c r="W11" s="1552">
        <f t="shared" si="2"/>
        <v>100</v>
      </c>
      <c r="X11" s="1553"/>
      <c r="Y11" s="3413" t="s">
        <v>536</v>
      </c>
      <c r="Z11" s="1144" t="str">
        <f t="shared" ref="Z11:Z17" si="7">Q11</f>
        <v>用途</v>
      </c>
      <c r="AA11" s="1554">
        <f t="shared" si="3"/>
        <v>1</v>
      </c>
      <c r="AB11" s="1554">
        <f t="shared" si="4"/>
        <v>1</v>
      </c>
      <c r="AC11" s="1554">
        <f t="shared" si="5"/>
        <v>1</v>
      </c>
    </row>
    <row r="12" spans="1:29" s="1332" customFormat="1" ht="27">
      <c r="A12" s="2866"/>
      <c r="B12" s="2871" t="s">
        <v>2752</v>
      </c>
      <c r="C12" s="527"/>
      <c r="D12" s="254">
        <v>100</v>
      </c>
      <c r="E12" s="527"/>
      <c r="F12" s="254">
        <f>ROUND(100/'数据-取费表'!G16,0)</f>
        <v>100</v>
      </c>
      <c r="G12" s="527"/>
      <c r="H12" s="254">
        <f>ROUND(100/'数据-取费表'!G16,0)</f>
        <v>100</v>
      </c>
      <c r="I12" s="527"/>
      <c r="J12" s="254">
        <f>ROUND(100/'数据-取费表'!G16,0)</f>
        <v>100</v>
      </c>
      <c r="K12" s="530"/>
      <c r="L12" s="2120"/>
      <c r="M12" s="2160"/>
      <c r="N12" s="2160"/>
      <c r="O12" s="2121"/>
      <c r="P12" s="3467"/>
      <c r="Q12" s="1145" t="str">
        <f t="shared" si="6"/>
        <v>土地使用年限（年）</v>
      </c>
      <c r="R12" s="1551" t="s">
        <v>8</v>
      </c>
      <c r="S12" s="1552">
        <f t="shared" si="0"/>
        <v>100</v>
      </c>
      <c r="T12" s="1551" t="s">
        <v>8</v>
      </c>
      <c r="U12" s="1552">
        <f t="shared" si="1"/>
        <v>100</v>
      </c>
      <c r="V12" s="1551" t="s">
        <v>8</v>
      </c>
      <c r="W12" s="1552">
        <f t="shared" si="2"/>
        <v>100</v>
      </c>
      <c r="X12" s="1553"/>
      <c r="Y12" s="3413"/>
      <c r="Z12" s="1144" t="str">
        <f t="shared" si="7"/>
        <v>土地使用年限（年）</v>
      </c>
      <c r="AA12" s="1554">
        <f t="shared" si="3"/>
        <v>1</v>
      </c>
      <c r="AB12" s="1554">
        <f t="shared" si="4"/>
        <v>1</v>
      </c>
      <c r="AC12" s="1554">
        <f t="shared" si="5"/>
        <v>1</v>
      </c>
    </row>
    <row r="13" spans="1:29" ht="15">
      <c r="A13" s="2867"/>
      <c r="B13" s="2871" t="s">
        <v>2753</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2"/>
      <c r="M13" s="2116"/>
      <c r="N13" s="2116"/>
      <c r="O13" s="2123"/>
      <c r="P13" s="3467"/>
      <c r="Q13" s="1145" t="str">
        <f t="shared" si="6"/>
        <v>容积率</v>
      </c>
      <c r="R13" s="1551" t="s">
        <v>8</v>
      </c>
      <c r="S13" s="1552" t="e">
        <f t="shared" si="0"/>
        <v>#N/A</v>
      </c>
      <c r="T13" s="1551" t="s">
        <v>8</v>
      </c>
      <c r="U13" s="1552" t="e">
        <f t="shared" si="1"/>
        <v>#N/A</v>
      </c>
      <c r="V13" s="1551" t="s">
        <v>8</v>
      </c>
      <c r="W13" s="1552" t="e">
        <f t="shared" si="2"/>
        <v>#N/A</v>
      </c>
      <c r="X13" s="1553"/>
      <c r="Y13" s="3413"/>
      <c r="Z13" s="1144" t="str">
        <f t="shared" si="7"/>
        <v>容积率</v>
      </c>
      <c r="AA13" s="1554" t="e">
        <f t="shared" si="3"/>
        <v>#N/A</v>
      </c>
      <c r="AB13" s="1554" t="e">
        <f t="shared" si="4"/>
        <v>#N/A</v>
      </c>
      <c r="AC13" s="1554" t="e">
        <f t="shared" si="5"/>
        <v>#N/A</v>
      </c>
    </row>
    <row r="14" spans="1:29" s="1214" customFormat="1" ht="15">
      <c r="A14" s="2868"/>
      <c r="B14" s="2874">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467"/>
      <c r="Q14" s="1145">
        <f t="shared" si="6"/>
        <v>111</v>
      </c>
      <c r="R14" s="1551" t="s">
        <v>8</v>
      </c>
      <c r="S14" s="1552">
        <f t="shared" si="0"/>
        <v>100</v>
      </c>
      <c r="T14" s="1551" t="s">
        <v>8</v>
      </c>
      <c r="U14" s="1552">
        <f t="shared" si="1"/>
        <v>100</v>
      </c>
      <c r="V14" s="1551" t="s">
        <v>8</v>
      </c>
      <c r="W14" s="1552">
        <f t="shared" si="2"/>
        <v>100</v>
      </c>
      <c r="X14" s="1553"/>
      <c r="Y14" s="3413"/>
      <c r="Z14" s="1144">
        <f t="shared" si="7"/>
        <v>111</v>
      </c>
      <c r="AA14" s="1554">
        <f>D14/F14</f>
        <v>1</v>
      </c>
      <c r="AB14" s="1554">
        <f>D14/H14</f>
        <v>1</v>
      </c>
      <c r="AC14" s="1554">
        <f>D14/J14</f>
        <v>1</v>
      </c>
    </row>
    <row r="15" spans="1:29" ht="15">
      <c r="A15" s="2868"/>
      <c r="B15" s="2874">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467"/>
      <c r="Q15" s="1145">
        <f t="shared" si="6"/>
        <v>111</v>
      </c>
      <c r="R15" s="1551" t="s">
        <v>8</v>
      </c>
      <c r="S15" s="1552">
        <f t="shared" si="0"/>
        <v>100</v>
      </c>
      <c r="T15" s="1551" t="s">
        <v>8</v>
      </c>
      <c r="U15" s="1552">
        <f t="shared" si="1"/>
        <v>100</v>
      </c>
      <c r="V15" s="1551" t="s">
        <v>8</v>
      </c>
      <c r="W15" s="1552">
        <f t="shared" si="2"/>
        <v>100</v>
      </c>
      <c r="X15" s="1553"/>
      <c r="Y15" s="3413"/>
      <c r="Z15" s="1144">
        <f t="shared" si="7"/>
        <v>111</v>
      </c>
      <c r="AA15" s="1554">
        <f t="shared" si="3"/>
        <v>1</v>
      </c>
      <c r="AB15" s="1554">
        <f t="shared" si="4"/>
        <v>1</v>
      </c>
      <c r="AC15" s="1554">
        <f t="shared" si="5"/>
        <v>1</v>
      </c>
    </row>
    <row r="16" spans="1:29" ht="15.75" thickBot="1">
      <c r="A16" s="2869"/>
      <c r="B16" s="2875">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467"/>
      <c r="Q16" s="1145">
        <f t="shared" si="6"/>
        <v>111</v>
      </c>
      <c r="R16" s="1551" t="s">
        <v>8</v>
      </c>
      <c r="S16" s="1552">
        <f t="shared" si="0"/>
        <v>100</v>
      </c>
      <c r="T16" s="1551" t="s">
        <v>8</v>
      </c>
      <c r="U16" s="1552">
        <f t="shared" si="1"/>
        <v>100</v>
      </c>
      <c r="V16" s="1551" t="s">
        <v>8</v>
      </c>
      <c r="W16" s="1552">
        <f t="shared" si="2"/>
        <v>100</v>
      </c>
      <c r="X16" s="1553"/>
      <c r="Y16" s="3413"/>
      <c r="Z16" s="1144">
        <f t="shared" si="7"/>
        <v>111</v>
      </c>
      <c r="AA16" s="1554">
        <f t="shared" si="3"/>
        <v>1</v>
      </c>
      <c r="AB16" s="1554">
        <f t="shared" si="4"/>
        <v>1</v>
      </c>
      <c r="AC16" s="1554">
        <f t="shared" si="5"/>
        <v>1</v>
      </c>
    </row>
    <row r="17" spans="1:29" ht="57">
      <c r="A17" s="2861" t="s">
        <v>2749</v>
      </c>
      <c r="B17" s="165"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4"/>
      <c r="M17" s="2116"/>
      <c r="N17" s="2116"/>
      <c r="O17" s="2123"/>
      <c r="P17" s="3501" t="s">
        <v>540</v>
      </c>
      <c r="Q17" s="1555" t="str">
        <f t="shared" si="6"/>
        <v>产业集聚程度</v>
      </c>
      <c r="R17" s="1556" t="s">
        <v>8</v>
      </c>
      <c r="S17" s="1557">
        <f t="shared" si="0"/>
        <v>100</v>
      </c>
      <c r="T17" s="1556" t="s">
        <v>8</v>
      </c>
      <c r="U17" s="1557">
        <f t="shared" si="1"/>
        <v>100</v>
      </c>
      <c r="V17" s="1556" t="s">
        <v>8</v>
      </c>
      <c r="W17" s="1557">
        <f t="shared" si="2"/>
        <v>100</v>
      </c>
      <c r="X17" s="1550"/>
      <c r="Y17" s="3501" t="s">
        <v>540</v>
      </c>
      <c r="Z17" s="1558" t="str">
        <f t="shared" si="7"/>
        <v>产业集聚程度</v>
      </c>
      <c r="AA17" s="1559">
        <f t="shared" si="3"/>
        <v>1</v>
      </c>
      <c r="AB17" s="1559">
        <f t="shared" si="4"/>
        <v>1</v>
      </c>
      <c r="AC17" s="1559">
        <f t="shared" si="5"/>
        <v>1</v>
      </c>
    </row>
    <row r="18" spans="1:29" ht="15">
      <c r="A18" s="531"/>
      <c r="B18" s="868"/>
      <c r="C18" s="575"/>
      <c r="D18" s="554"/>
      <c r="E18" s="553"/>
      <c r="F18" s="554"/>
      <c r="G18" s="553"/>
      <c r="H18" s="558"/>
      <c r="I18" s="553"/>
      <c r="J18" s="554"/>
      <c r="K18" s="530"/>
      <c r="L18" s="2124"/>
      <c r="M18" s="2116"/>
      <c r="N18" s="2116"/>
      <c r="O18" s="2123"/>
      <c r="P18" s="3502"/>
      <c r="Q18" s="1555"/>
      <c r="R18" s="1556"/>
      <c r="S18" s="1557"/>
      <c r="T18" s="1556"/>
      <c r="U18" s="1557"/>
      <c r="V18" s="1556"/>
      <c r="W18" s="1557"/>
      <c r="X18" s="1550"/>
      <c r="Y18" s="3502"/>
      <c r="Z18" s="1558"/>
      <c r="AA18" s="1559">
        <v>1</v>
      </c>
      <c r="AB18" s="1559">
        <v>1</v>
      </c>
      <c r="AC18" s="1559">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4"/>
      <c r="M19" s="2116"/>
      <c r="N19" s="2116"/>
      <c r="O19" s="2123"/>
      <c r="P19" s="3502"/>
      <c r="Q19" s="1555" t="str">
        <f>B19</f>
        <v>交通便捷度</v>
      </c>
      <c r="R19" s="1556" t="s">
        <v>8</v>
      </c>
      <c r="S19" s="1557">
        <f>F19</f>
        <v>100</v>
      </c>
      <c r="T19" s="1556" t="s">
        <v>8</v>
      </c>
      <c r="U19" s="1557">
        <f>H19</f>
        <v>100</v>
      </c>
      <c r="V19" s="1556" t="s">
        <v>8</v>
      </c>
      <c r="W19" s="1557">
        <f>J19</f>
        <v>100</v>
      </c>
      <c r="X19" s="1550"/>
      <c r="Y19" s="3502"/>
      <c r="Z19" s="1558" t="str">
        <f>Q19</f>
        <v>交通便捷度</v>
      </c>
      <c r="AA19" s="1559">
        <f t="shared" si="3"/>
        <v>1</v>
      </c>
      <c r="AB19" s="1559">
        <f t="shared" si="4"/>
        <v>1</v>
      </c>
      <c r="AC19" s="1559">
        <f t="shared" si="5"/>
        <v>1</v>
      </c>
    </row>
    <row r="20" spans="1:29" ht="15">
      <c r="A20" s="531"/>
      <c r="B20" s="920"/>
      <c r="C20" s="575"/>
      <c r="D20" s="554"/>
      <c r="E20" s="555"/>
      <c r="F20" s="554"/>
      <c r="G20" s="555"/>
      <c r="H20" s="554"/>
      <c r="I20" s="557"/>
      <c r="J20" s="554"/>
      <c r="K20" s="530"/>
      <c r="L20" s="2124"/>
      <c r="M20" s="2116"/>
      <c r="N20" s="2116"/>
      <c r="O20" s="2123"/>
      <c r="P20" s="3502"/>
      <c r="Q20" s="1555"/>
      <c r="R20" s="1556"/>
      <c r="S20" s="1557"/>
      <c r="T20" s="1556"/>
      <c r="U20" s="1557"/>
      <c r="V20" s="1556"/>
      <c r="W20" s="1557"/>
      <c r="X20" s="1550"/>
      <c r="Y20" s="3502"/>
      <c r="Z20" s="1558"/>
      <c r="AA20" s="1559">
        <v>1</v>
      </c>
      <c r="AB20" s="1559">
        <v>1</v>
      </c>
      <c r="AC20" s="1559">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4"/>
      <c r="M21" s="2116"/>
      <c r="N21" s="2116"/>
      <c r="O21" s="2123"/>
      <c r="P21" s="3502"/>
      <c r="Q21" s="1555" t="str">
        <f t="shared" ref="Q21:Q35" si="8">B21</f>
        <v>区域土地利用方向</v>
      </c>
      <c r="R21" s="1556" t="s">
        <v>8</v>
      </c>
      <c r="S21" s="1557">
        <f>F21</f>
        <v>100</v>
      </c>
      <c r="T21" s="1556" t="s">
        <v>8</v>
      </c>
      <c r="U21" s="1557">
        <f>H21</f>
        <v>100</v>
      </c>
      <c r="V21" s="1556" t="s">
        <v>8</v>
      </c>
      <c r="W21" s="1557">
        <f>J21</f>
        <v>100</v>
      </c>
      <c r="X21" s="1550"/>
      <c r="Y21" s="3502"/>
      <c r="Z21" s="1558" t="str">
        <f>Q21</f>
        <v>区域土地利用方向</v>
      </c>
      <c r="AA21" s="1559">
        <f t="shared" si="3"/>
        <v>1</v>
      </c>
      <c r="AB21" s="1559">
        <f t="shared" si="4"/>
        <v>1</v>
      </c>
      <c r="AC21" s="1559">
        <f t="shared" si="5"/>
        <v>1</v>
      </c>
    </row>
    <row r="22" spans="1:29" ht="15">
      <c r="A22" s="514"/>
      <c r="B22" s="594"/>
      <c r="C22" s="575"/>
      <c r="D22" s="554"/>
      <c r="E22" s="555"/>
      <c r="F22" s="556"/>
      <c r="G22" s="557"/>
      <c r="H22" s="556"/>
      <c r="I22" s="557"/>
      <c r="J22" s="556"/>
      <c r="K22" s="1342"/>
      <c r="L22" s="2124"/>
      <c r="M22" s="2116"/>
      <c r="N22" s="2116"/>
      <c r="O22" s="2123"/>
      <c r="P22" s="3502"/>
      <c r="Q22" s="1555"/>
      <c r="R22" s="1556"/>
      <c r="S22" s="1557"/>
      <c r="T22" s="1556"/>
      <c r="U22" s="1557"/>
      <c r="V22" s="1556"/>
      <c r="W22" s="1557"/>
      <c r="X22" s="1550"/>
      <c r="Y22" s="3502"/>
      <c r="Z22" s="1558"/>
      <c r="AA22" s="1559"/>
      <c r="AB22" s="1559"/>
      <c r="AC22" s="1559"/>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4"/>
      <c r="M23" s="2116"/>
      <c r="N23" s="2116"/>
      <c r="O23" s="2123"/>
      <c r="P23" s="3502"/>
      <c r="Q23" s="1555" t="str">
        <f t="shared" si="8"/>
        <v>环境状况</v>
      </c>
      <c r="R23" s="1556" t="s">
        <v>8</v>
      </c>
      <c r="S23" s="1557">
        <f>F23</f>
        <v>100</v>
      </c>
      <c r="T23" s="1556" t="s">
        <v>8</v>
      </c>
      <c r="U23" s="1557">
        <f>H23</f>
        <v>100</v>
      </c>
      <c r="V23" s="1556" t="s">
        <v>8</v>
      </c>
      <c r="W23" s="1557">
        <f>J23</f>
        <v>100</v>
      </c>
      <c r="X23" s="1550"/>
      <c r="Y23" s="3502"/>
      <c r="Z23" s="1558" t="str">
        <f>Q23</f>
        <v>环境状况</v>
      </c>
      <c r="AA23" s="1559">
        <f t="shared" si="3"/>
        <v>1</v>
      </c>
      <c r="AB23" s="1559">
        <f t="shared" si="4"/>
        <v>1</v>
      </c>
      <c r="AC23" s="1559">
        <f t="shared" si="5"/>
        <v>1</v>
      </c>
    </row>
    <row r="24" spans="1:29" ht="15">
      <c r="A24" s="514"/>
      <c r="B24" s="594"/>
      <c r="C24" s="575"/>
      <c r="D24" s="554"/>
      <c r="E24" s="553"/>
      <c r="F24" s="554"/>
      <c r="G24" s="553"/>
      <c r="H24" s="554"/>
      <c r="I24" s="575"/>
      <c r="J24" s="554"/>
      <c r="K24" s="530"/>
      <c r="L24" s="2124"/>
      <c r="M24" s="2116"/>
      <c r="N24" s="2116"/>
      <c r="O24" s="2123"/>
      <c r="P24" s="3502"/>
      <c r="Q24" s="1555"/>
      <c r="R24" s="1556"/>
      <c r="S24" s="1557"/>
      <c r="T24" s="1556"/>
      <c r="U24" s="1557"/>
      <c r="V24" s="1556"/>
      <c r="W24" s="1557"/>
      <c r="X24" s="1550"/>
      <c r="Y24" s="3502"/>
      <c r="Z24" s="1558"/>
      <c r="AA24" s="1559">
        <v>1</v>
      </c>
      <c r="AB24" s="1559">
        <v>1</v>
      </c>
      <c r="AC24" s="1559">
        <v>1</v>
      </c>
    </row>
    <row r="25" spans="1:29" s="1214" customFormat="1" ht="42.75">
      <c r="A25" s="576"/>
      <c r="B25" s="2554" t="s">
        <v>2543</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7"/>
      <c r="M25" s="2118"/>
      <c r="N25" s="2118"/>
      <c r="O25" s="2119"/>
      <c r="P25" s="3502"/>
      <c r="Q25" s="1145" t="str">
        <f t="shared" si="8"/>
        <v>公共配套设施</v>
      </c>
      <c r="R25" s="1551" t="s">
        <v>8</v>
      </c>
      <c r="S25" s="1552">
        <f>F25</f>
        <v>100</v>
      </c>
      <c r="T25" s="1551" t="s">
        <v>8</v>
      </c>
      <c r="U25" s="1552">
        <f>H25</f>
        <v>100</v>
      </c>
      <c r="V25" s="1551" t="s">
        <v>8</v>
      </c>
      <c r="W25" s="1552">
        <f>J25</f>
        <v>100</v>
      </c>
      <c r="X25" s="1553"/>
      <c r="Y25" s="3502"/>
      <c r="Z25" s="1144" t="str">
        <f>Q25</f>
        <v>公共配套设施</v>
      </c>
      <c r="AA25" s="1559">
        <f>D25/F25</f>
        <v>1</v>
      </c>
      <c r="AB25" s="1559">
        <f>D25/H25</f>
        <v>1</v>
      </c>
      <c r="AC25" s="1559">
        <f>D25/J25</f>
        <v>1</v>
      </c>
    </row>
    <row r="26" spans="1:29" s="1214" customFormat="1" ht="15">
      <c r="A26" s="576"/>
      <c r="B26" s="594"/>
      <c r="C26" s="2553"/>
      <c r="D26" s="554"/>
      <c r="E26" s="553"/>
      <c r="F26" s="554"/>
      <c r="G26" s="553"/>
      <c r="H26" s="554"/>
      <c r="I26" s="575"/>
      <c r="J26" s="554"/>
      <c r="K26" s="530"/>
      <c r="L26" s="2117"/>
      <c r="M26" s="2118"/>
      <c r="N26" s="2118"/>
      <c r="O26" s="2119"/>
      <c r="P26" s="3502"/>
      <c r="Q26" s="1145"/>
      <c r="R26" s="1551"/>
      <c r="S26" s="1552"/>
      <c r="T26" s="1551"/>
      <c r="U26" s="1552"/>
      <c r="V26" s="1551"/>
      <c r="W26" s="1552"/>
      <c r="X26" s="1553"/>
      <c r="Y26" s="3502"/>
      <c r="Z26" s="1144"/>
      <c r="AA26" s="1554">
        <v>1</v>
      </c>
      <c r="AB26" s="1554">
        <v>1</v>
      </c>
      <c r="AC26" s="1554">
        <v>1</v>
      </c>
    </row>
    <row r="27" spans="1:29" s="1214" customFormat="1" ht="28.5">
      <c r="A27" s="576"/>
      <c r="B27" s="2554" t="s">
        <v>2544</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7"/>
      <c r="M27" s="2118"/>
      <c r="N27" s="2118"/>
      <c r="O27" s="2119"/>
      <c r="P27" s="3502"/>
      <c r="Q27" s="2539" t="str">
        <f t="shared" ref="Q27" si="9">B27</f>
        <v>基础设施水平</v>
      </c>
      <c r="R27" s="1551" t="s">
        <v>8</v>
      </c>
      <c r="S27" s="1552">
        <f>F27</f>
        <v>100</v>
      </c>
      <c r="T27" s="1551" t="s">
        <v>8</v>
      </c>
      <c r="U27" s="1552">
        <f>H27</f>
        <v>100</v>
      </c>
      <c r="V27" s="1551" t="s">
        <v>8</v>
      </c>
      <c r="W27" s="1552">
        <f>J27</f>
        <v>100</v>
      </c>
      <c r="X27" s="1553"/>
      <c r="Y27" s="3502"/>
      <c r="Z27" s="2536" t="str">
        <f>Q27</f>
        <v>基础设施水平</v>
      </c>
      <c r="AA27" s="1559">
        <f>D27/F27</f>
        <v>1</v>
      </c>
      <c r="AB27" s="1559">
        <f>D27/H27</f>
        <v>1</v>
      </c>
      <c r="AC27" s="1559">
        <f>D27/J27</f>
        <v>1</v>
      </c>
    </row>
    <row r="28" spans="1:29" s="1214" customFormat="1" ht="15">
      <c r="A28" s="576"/>
      <c r="B28" s="594"/>
      <c r="C28" s="2553"/>
      <c r="D28" s="554"/>
      <c r="E28" s="578"/>
      <c r="F28" s="554"/>
      <c r="G28" s="578"/>
      <c r="H28" s="554"/>
      <c r="I28" s="578"/>
      <c r="J28" s="554"/>
      <c r="K28" s="530"/>
      <c r="L28" s="2117"/>
      <c r="M28" s="2118"/>
      <c r="N28" s="2118"/>
      <c r="O28" s="2119"/>
      <c r="P28" s="3502"/>
      <c r="Q28" s="2539"/>
      <c r="R28" s="1551"/>
      <c r="S28" s="1552"/>
      <c r="T28" s="1551"/>
      <c r="U28" s="1552"/>
      <c r="V28" s="1551"/>
      <c r="W28" s="1552"/>
      <c r="X28" s="1553"/>
      <c r="Y28" s="3502"/>
      <c r="Z28" s="2536"/>
      <c r="AA28" s="1554">
        <v>1</v>
      </c>
      <c r="AB28" s="1554">
        <v>1</v>
      </c>
      <c r="AC28" s="1554">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4"/>
      <c r="M29" s="2116"/>
      <c r="N29" s="2116"/>
      <c r="O29" s="2123"/>
      <c r="P29" s="3502"/>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502"/>
      <c r="Z29" s="1558" t="str">
        <f t="shared" ref="Z29:Z42" si="13">Q29</f>
        <v>临街状况</v>
      </c>
      <c r="AA29" s="1559">
        <f t="shared" si="3"/>
        <v>1</v>
      </c>
      <c r="AB29" s="1559">
        <f t="shared" si="4"/>
        <v>1</v>
      </c>
      <c r="AC29" s="1559">
        <f t="shared" si="5"/>
        <v>1</v>
      </c>
    </row>
    <row r="30" spans="1:29" ht="27">
      <c r="A30" s="531"/>
      <c r="B30" s="920" t="s">
        <v>548</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4"/>
      <c r="M30" s="2116"/>
      <c r="N30" s="2116"/>
      <c r="O30" s="2123"/>
      <c r="P30" s="3502"/>
      <c r="Q30" s="1555" t="str">
        <f t="shared" si="8"/>
        <v>毗邻道路的类型与等级</v>
      </c>
      <c r="R30" s="1556" t="s">
        <v>8</v>
      </c>
      <c r="S30" s="1557">
        <f t="shared" si="10"/>
        <v>100</v>
      </c>
      <c r="T30" s="1556" t="s">
        <v>8</v>
      </c>
      <c r="U30" s="1557">
        <f t="shared" si="11"/>
        <v>100</v>
      </c>
      <c r="V30" s="1556" t="s">
        <v>8</v>
      </c>
      <c r="W30" s="1557">
        <f t="shared" si="12"/>
        <v>100</v>
      </c>
      <c r="X30" s="1550"/>
      <c r="Y30" s="3502"/>
      <c r="Z30" s="1558" t="str">
        <f t="shared" si="13"/>
        <v>毗邻道路的类型与等级</v>
      </c>
      <c r="AA30" s="1559">
        <f t="shared" si="3"/>
        <v>1</v>
      </c>
      <c r="AB30" s="1559">
        <f t="shared" si="4"/>
        <v>1</v>
      </c>
      <c r="AC30" s="1559">
        <f t="shared" si="5"/>
        <v>1</v>
      </c>
    </row>
    <row r="31" spans="1:29" ht="15">
      <c r="A31" s="531"/>
      <c r="B31" s="594"/>
      <c r="C31" s="575"/>
      <c r="D31" s="554"/>
      <c r="E31" s="575"/>
      <c r="F31" s="554"/>
      <c r="G31" s="575"/>
      <c r="H31" s="554"/>
      <c r="I31" s="575"/>
      <c r="J31" s="554"/>
      <c r="K31" s="580"/>
      <c r="L31" s="2124"/>
      <c r="M31" s="2116"/>
      <c r="N31" s="2116"/>
      <c r="O31" s="2123"/>
      <c r="P31" s="3502"/>
      <c r="Q31" s="1555"/>
      <c r="R31" s="1556"/>
      <c r="S31" s="1557"/>
      <c r="T31" s="1556"/>
      <c r="U31" s="1557"/>
      <c r="V31" s="1556"/>
      <c r="W31" s="1557"/>
      <c r="X31" s="1550"/>
      <c r="Y31" s="3502"/>
      <c r="Z31" s="1558"/>
      <c r="AA31" s="1559">
        <v>1</v>
      </c>
      <c r="AB31" s="1559">
        <v>1</v>
      </c>
      <c r="AC31" s="1559">
        <v>1</v>
      </c>
    </row>
    <row r="32" spans="1:29" ht="15">
      <c r="A32" s="531"/>
      <c r="B32" s="526" t="s">
        <v>549</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502"/>
      <c r="Q32" s="1555" t="str">
        <f t="shared" si="8"/>
        <v>土地级别</v>
      </c>
      <c r="R32" s="1556" t="s">
        <v>8</v>
      </c>
      <c r="S32" s="1557">
        <f t="shared" si="10"/>
        <v>100</v>
      </c>
      <c r="T32" s="1556" t="s">
        <v>8</v>
      </c>
      <c r="U32" s="1557">
        <f t="shared" si="11"/>
        <v>100</v>
      </c>
      <c r="V32" s="1556" t="s">
        <v>8</v>
      </c>
      <c r="W32" s="1557">
        <f t="shared" si="12"/>
        <v>100</v>
      </c>
      <c r="X32" s="1550"/>
      <c r="Y32" s="3502"/>
      <c r="Z32" s="1558" t="str">
        <f t="shared" si="13"/>
        <v>土地级别</v>
      </c>
      <c r="AA32" s="1559">
        <f t="shared" si="3"/>
        <v>1</v>
      </c>
      <c r="AB32" s="1559">
        <f t="shared" si="4"/>
        <v>1</v>
      </c>
      <c r="AC32" s="1559">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502"/>
      <c r="Q33" s="1555">
        <f t="shared" si="8"/>
        <v>111</v>
      </c>
      <c r="R33" s="1556" t="s">
        <v>8</v>
      </c>
      <c r="S33" s="1557">
        <f t="shared" si="10"/>
        <v>100</v>
      </c>
      <c r="T33" s="1556" t="s">
        <v>8</v>
      </c>
      <c r="U33" s="1557">
        <f t="shared" si="11"/>
        <v>100</v>
      </c>
      <c r="V33" s="1556" t="s">
        <v>8</v>
      </c>
      <c r="W33" s="1557">
        <f t="shared" si="12"/>
        <v>100</v>
      </c>
      <c r="X33" s="1550"/>
      <c r="Y33" s="3502"/>
      <c r="Z33" s="1558">
        <f t="shared" si="13"/>
        <v>111</v>
      </c>
      <c r="AA33" s="1559">
        <f t="shared" si="3"/>
        <v>1</v>
      </c>
      <c r="AB33" s="1559">
        <f t="shared" si="4"/>
        <v>1</v>
      </c>
      <c r="AC33" s="1559">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503" t="s">
        <v>550</v>
      </c>
      <c r="Q34" s="1555">
        <f t="shared" si="8"/>
        <v>111</v>
      </c>
      <c r="R34" s="1556" t="s">
        <v>8</v>
      </c>
      <c r="S34" s="1557">
        <f t="shared" si="10"/>
        <v>100</v>
      </c>
      <c r="T34" s="1556" t="s">
        <v>8</v>
      </c>
      <c r="U34" s="1557">
        <f t="shared" si="11"/>
        <v>100</v>
      </c>
      <c r="V34" s="1556" t="s">
        <v>8</v>
      </c>
      <c r="W34" s="1557">
        <f t="shared" si="12"/>
        <v>100</v>
      </c>
      <c r="X34" s="1550"/>
      <c r="Y34" s="3504" t="s">
        <v>550</v>
      </c>
      <c r="Z34" s="1558">
        <f t="shared" si="13"/>
        <v>111</v>
      </c>
      <c r="AA34" s="1559">
        <f t="shared" si="3"/>
        <v>1</v>
      </c>
      <c r="AB34" s="1559">
        <f t="shared" si="4"/>
        <v>1</v>
      </c>
      <c r="AC34" s="1559">
        <f t="shared" si="5"/>
        <v>1</v>
      </c>
    </row>
    <row r="35" spans="1:29" s="1333" customFormat="1" ht="15.75"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504"/>
      <c r="Q35" s="1555">
        <f t="shared" si="8"/>
        <v>111</v>
      </c>
      <c r="R35" s="1560" t="s">
        <v>8</v>
      </c>
      <c r="S35" s="1561">
        <f t="shared" si="10"/>
        <v>100</v>
      </c>
      <c r="T35" s="1560" t="s">
        <v>8</v>
      </c>
      <c r="U35" s="1561">
        <f t="shared" si="11"/>
        <v>100</v>
      </c>
      <c r="V35" s="1560" t="s">
        <v>8</v>
      </c>
      <c r="W35" s="1561">
        <f t="shared" si="12"/>
        <v>100</v>
      </c>
      <c r="X35" s="1562"/>
      <c r="Y35" s="3504"/>
      <c r="Z35" s="1563">
        <f t="shared" si="13"/>
        <v>111</v>
      </c>
      <c r="AA35" s="1559">
        <f t="shared" si="3"/>
        <v>1</v>
      </c>
      <c r="AB35" s="1559">
        <f t="shared" si="4"/>
        <v>1</v>
      </c>
      <c r="AC35" s="1559">
        <f t="shared" si="5"/>
        <v>1</v>
      </c>
    </row>
    <row r="36" spans="1:29" ht="15">
      <c r="A36" s="2859" t="s">
        <v>2750</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4"/>
      <c r="M36" s="2116"/>
      <c r="N36" s="2116"/>
      <c r="O36" s="2123"/>
      <c r="P36" s="3504"/>
      <c r="Q36" s="1555" t="str">
        <f>B36</f>
        <v>宗地面积</v>
      </c>
      <c r="R36" s="1556" t="s">
        <v>8</v>
      </c>
      <c r="S36" s="1557" t="e">
        <f t="shared" si="10"/>
        <v>#N/A</v>
      </c>
      <c r="T36" s="1556" t="s">
        <v>8</v>
      </c>
      <c r="U36" s="1557" t="e">
        <f t="shared" si="11"/>
        <v>#N/A</v>
      </c>
      <c r="V36" s="1556" t="s">
        <v>8</v>
      </c>
      <c r="W36" s="1557" t="e">
        <f t="shared" si="12"/>
        <v>#N/A</v>
      </c>
      <c r="X36" s="1550"/>
      <c r="Y36" s="3504"/>
      <c r="Z36" s="1558" t="str">
        <f t="shared" si="13"/>
        <v>宗地面积</v>
      </c>
      <c r="AA36" s="1559" t="e">
        <f t="shared" si="3"/>
        <v>#N/A</v>
      </c>
      <c r="AB36" s="1559" t="e">
        <f t="shared" si="4"/>
        <v>#N/A</v>
      </c>
      <c r="AC36" s="1559"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4"/>
      <c r="M37" s="2116"/>
      <c r="N37" s="2116"/>
      <c r="O37" s="2123"/>
      <c r="P37" s="3504"/>
      <c r="Q37" s="1555" t="str">
        <f t="shared" ref="Q37:Q42" si="14">B37</f>
        <v>宗地形状</v>
      </c>
      <c r="R37" s="1556" t="s">
        <v>8</v>
      </c>
      <c r="S37" s="1557">
        <f t="shared" si="10"/>
        <v>100</v>
      </c>
      <c r="T37" s="1556" t="s">
        <v>8</v>
      </c>
      <c r="U37" s="1557">
        <f t="shared" si="11"/>
        <v>100</v>
      </c>
      <c r="V37" s="1556" t="s">
        <v>8</v>
      </c>
      <c r="W37" s="1557">
        <f t="shared" si="12"/>
        <v>100</v>
      </c>
      <c r="X37" s="1550"/>
      <c r="Y37" s="3504"/>
      <c r="Z37" s="1558" t="str">
        <f t="shared" si="13"/>
        <v>宗地形状</v>
      </c>
      <c r="AA37" s="1559">
        <f t="shared" si="3"/>
        <v>1</v>
      </c>
      <c r="AB37" s="1559">
        <f t="shared" si="4"/>
        <v>1</v>
      </c>
      <c r="AC37" s="1559">
        <f t="shared" si="5"/>
        <v>1</v>
      </c>
    </row>
    <row r="38" spans="1:29" s="1214" customFormat="1" ht="15">
      <c r="A38" s="599"/>
      <c r="B38" s="1877" t="s">
        <v>2420</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7"/>
      <c r="M38" s="2118"/>
      <c r="N38" s="2118"/>
      <c r="O38" s="2119"/>
      <c r="P38" s="3504"/>
      <c r="Q38" s="1555" t="str">
        <f t="shared" si="14"/>
        <v>宗地开发程度</v>
      </c>
      <c r="R38" s="1551" t="s">
        <v>8</v>
      </c>
      <c r="S38" s="1552">
        <f t="shared" si="10"/>
        <v>100</v>
      </c>
      <c r="T38" s="1551" t="s">
        <v>8</v>
      </c>
      <c r="U38" s="1552">
        <f t="shared" si="11"/>
        <v>100</v>
      </c>
      <c r="V38" s="1551" t="s">
        <v>8</v>
      </c>
      <c r="W38" s="1552">
        <f t="shared" si="12"/>
        <v>100</v>
      </c>
      <c r="X38" s="1553"/>
      <c r="Y38" s="3504"/>
      <c r="Z38" s="1144" t="str">
        <f t="shared" si="13"/>
        <v>宗地开发程度</v>
      </c>
      <c r="AA38" s="1554">
        <f t="shared" si="3"/>
        <v>1</v>
      </c>
      <c r="AB38" s="1554">
        <f t="shared" si="4"/>
        <v>1</v>
      </c>
      <c r="AC38" s="1554">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504" t="s">
        <v>601</v>
      </c>
      <c r="Q39" s="1555" t="str">
        <f t="shared" si="14"/>
        <v>工程地质条件</v>
      </c>
      <c r="R39" s="1556" t="s">
        <v>8</v>
      </c>
      <c r="S39" s="1557">
        <f t="shared" si="10"/>
        <v>100</v>
      </c>
      <c r="T39" s="1556" t="s">
        <v>8</v>
      </c>
      <c r="U39" s="1557">
        <f t="shared" si="11"/>
        <v>100</v>
      </c>
      <c r="V39" s="1556" t="s">
        <v>8</v>
      </c>
      <c r="W39" s="1557">
        <f t="shared" si="12"/>
        <v>100</v>
      </c>
      <c r="X39" s="1550"/>
      <c r="Y39" s="3504" t="s">
        <v>601</v>
      </c>
      <c r="Z39" s="1558" t="str">
        <f t="shared" si="13"/>
        <v>工程地质条件</v>
      </c>
      <c r="AA39" s="1559">
        <f t="shared" si="3"/>
        <v>1</v>
      </c>
      <c r="AB39" s="1559">
        <f t="shared" si="4"/>
        <v>1</v>
      </c>
      <c r="AC39" s="1559">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504"/>
      <c r="Q40" s="1555">
        <f t="shared" si="14"/>
        <v>111</v>
      </c>
      <c r="R40" s="1556" t="s">
        <v>8</v>
      </c>
      <c r="S40" s="1557">
        <f t="shared" si="10"/>
        <v>100</v>
      </c>
      <c r="T40" s="1556" t="s">
        <v>8</v>
      </c>
      <c r="U40" s="1557">
        <f t="shared" si="11"/>
        <v>100</v>
      </c>
      <c r="V40" s="1556" t="s">
        <v>8</v>
      </c>
      <c r="W40" s="1557">
        <f t="shared" si="12"/>
        <v>100</v>
      </c>
      <c r="X40" s="1550"/>
      <c r="Y40" s="3504"/>
      <c r="Z40" s="1558">
        <f t="shared" si="13"/>
        <v>111</v>
      </c>
      <c r="AA40" s="1559">
        <f t="shared" si="3"/>
        <v>1</v>
      </c>
      <c r="AB40" s="1559">
        <f t="shared" si="4"/>
        <v>1</v>
      </c>
      <c r="AC40" s="1559">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504"/>
      <c r="Q41" s="1555">
        <f t="shared" si="14"/>
        <v>111</v>
      </c>
      <c r="R41" s="1556" t="s">
        <v>8</v>
      </c>
      <c r="S41" s="1557">
        <f t="shared" si="10"/>
        <v>100</v>
      </c>
      <c r="T41" s="1556" t="s">
        <v>8</v>
      </c>
      <c r="U41" s="1557">
        <f t="shared" si="11"/>
        <v>100</v>
      </c>
      <c r="V41" s="1556" t="s">
        <v>8</v>
      </c>
      <c r="W41" s="1557">
        <f t="shared" si="12"/>
        <v>100</v>
      </c>
      <c r="X41" s="1550"/>
      <c r="Y41" s="3504"/>
      <c r="Z41" s="1558">
        <f t="shared" si="13"/>
        <v>111</v>
      </c>
      <c r="AA41" s="1559">
        <f t="shared" si="3"/>
        <v>1</v>
      </c>
      <c r="AB41" s="1559">
        <f t="shared" si="4"/>
        <v>1</v>
      </c>
      <c r="AC41" s="1559">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504"/>
      <c r="Q42" s="1555">
        <f t="shared" si="14"/>
        <v>111</v>
      </c>
      <c r="R42" s="1560" t="s">
        <v>8</v>
      </c>
      <c r="S42" s="1561">
        <f t="shared" si="10"/>
        <v>100</v>
      </c>
      <c r="T42" s="1560" t="s">
        <v>8</v>
      </c>
      <c r="U42" s="1561">
        <f t="shared" si="11"/>
        <v>100</v>
      </c>
      <c r="V42" s="1560" t="s">
        <v>8</v>
      </c>
      <c r="W42" s="1561">
        <f t="shared" si="12"/>
        <v>100</v>
      </c>
      <c r="X42" s="1562"/>
      <c r="Y42" s="3504"/>
      <c r="Z42" s="1563">
        <f t="shared" si="13"/>
        <v>111</v>
      </c>
      <c r="AA42" s="1559">
        <f t="shared" si="3"/>
        <v>1</v>
      </c>
      <c r="AB42" s="1559">
        <f t="shared" si="4"/>
        <v>1</v>
      </c>
      <c r="AC42" s="1559">
        <f t="shared" si="5"/>
        <v>1</v>
      </c>
    </row>
    <row r="43" spans="1:29" ht="15">
      <c r="A43" s="606" t="s">
        <v>556</v>
      </c>
      <c r="B43" s="607" t="s">
        <v>2927</v>
      </c>
      <c r="C43" s="608" t="s">
        <v>1</v>
      </c>
      <c r="D43" s="609"/>
      <c r="E43" s="610"/>
      <c r="F43" s="611"/>
      <c r="G43" s="612"/>
      <c r="H43" s="613"/>
      <c r="I43" s="610"/>
      <c r="J43" s="613"/>
      <c r="K43" s="1334"/>
      <c r="L43" s="2126"/>
      <c r="M43" s="2116"/>
      <c r="N43" s="2116"/>
      <c r="O43" s="2127"/>
      <c r="P43" s="3467" t="str">
        <f>A43</f>
        <v>成交单价</v>
      </c>
      <c r="Q43" s="3467"/>
      <c r="R43" s="3468">
        <f>E43</f>
        <v>0</v>
      </c>
      <c r="S43" s="3468"/>
      <c r="T43" s="3468">
        <f>G43</f>
        <v>0</v>
      </c>
      <c r="U43" s="3468"/>
      <c r="V43" s="3468">
        <f>I43</f>
        <v>0</v>
      </c>
      <c r="W43" s="3468"/>
      <c r="X43" s="1542"/>
      <c r="Y43" s="1564"/>
      <c r="Z43" s="1542"/>
      <c r="AA43" s="1542"/>
      <c r="AB43" s="1542"/>
      <c r="AC43" s="1542"/>
    </row>
    <row r="44" spans="1:29" ht="15.75" thickBot="1">
      <c r="A44" s="614" t="s">
        <v>2688</v>
      </c>
      <c r="B44" s="615"/>
      <c r="C44" s="616" t="e">
        <f>R45</f>
        <v>#DIV/0!</v>
      </c>
      <c r="D44" s="617"/>
      <c r="E44" s="616" t="e">
        <f>R44</f>
        <v>#DIV/0!</v>
      </c>
      <c r="F44" s="618"/>
      <c r="G44" s="619" t="e">
        <f>T44</f>
        <v>#DIV/0!</v>
      </c>
      <c r="H44" s="617"/>
      <c r="I44" s="616" t="e">
        <f>V44</f>
        <v>#DIV/0!</v>
      </c>
      <c r="J44" s="617"/>
      <c r="K44" s="1335"/>
      <c r="L44" s="2126"/>
      <c r="M44" s="2116"/>
      <c r="N44" s="2116"/>
      <c r="O44" s="2127"/>
      <c r="P44" s="3467" t="str">
        <f>A44</f>
        <v>比较价格（元/平方米）</v>
      </c>
      <c r="Q44" s="3467"/>
      <c r="R44" s="3469" t="e">
        <f>ROUND(PRODUCT(R43,AA9:AA42),0)</f>
        <v>#DIV/0!</v>
      </c>
      <c r="S44" s="3469"/>
      <c r="T44" s="3469" t="e">
        <f>ROUND(PRODUCT(T43,AB9:AB42),0)</f>
        <v>#DIV/0!</v>
      </c>
      <c r="U44" s="3469"/>
      <c r="V44" s="3469" t="e">
        <f>ROUND(PRODUCT(V43,AC9:AC42),0)</f>
        <v>#DIV/0!</v>
      </c>
      <c r="W44" s="3469"/>
      <c r="X44" s="1542"/>
      <c r="Y44" s="1542"/>
      <c r="Z44" s="1542"/>
      <c r="AA44" s="1542"/>
      <c r="AB44" s="1542"/>
      <c r="AC44" s="1542"/>
    </row>
    <row r="45" spans="1:29" ht="15.75" thickBot="1">
      <c r="A45" s="620" t="s">
        <v>2928</v>
      </c>
      <c r="B45" s="621"/>
      <c r="C45" s="622" t="e">
        <f>R45</f>
        <v>#DIV/0!</v>
      </c>
      <c r="D45" s="622"/>
      <c r="E45" s="622"/>
      <c r="F45" s="622"/>
      <c r="G45" s="622"/>
      <c r="H45" s="622"/>
      <c r="I45" s="622"/>
      <c r="J45" s="622"/>
      <c r="K45" s="1336"/>
      <c r="L45" s="2126"/>
      <c r="M45" s="2116"/>
      <c r="N45" s="2116"/>
      <c r="O45" s="2127"/>
      <c r="P45" s="3464" t="str">
        <f>A45</f>
        <v>估价对象XX用房的比较价格（楼面单价，元/平方米）</v>
      </c>
      <c r="Q45" s="3465"/>
      <c r="R45" s="3466" t="e">
        <f>ROUND(AVERAGE(R44:V44),0)</f>
        <v>#DIV/0!</v>
      </c>
      <c r="S45" s="3466"/>
      <c r="T45" s="3466"/>
      <c r="U45" s="3466"/>
      <c r="V45" s="3466"/>
      <c r="W45" s="3466"/>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8" t="s">
        <v>560</v>
      </c>
      <c r="B52" s="629" t="s">
        <v>561</v>
      </c>
      <c r="C52" s="1543" t="s">
        <v>1724</v>
      </c>
      <c r="D52" s="2209" t="s">
        <v>2291</v>
      </c>
      <c r="E52" s="630" t="s">
        <v>562</v>
      </c>
      <c r="F52" s="1933" t="s">
        <v>563</v>
      </c>
      <c r="G52" s="3511" t="s">
        <v>2282</v>
      </c>
      <c r="H52" s="3512"/>
      <c r="I52" s="1934" t="s">
        <v>1945</v>
      </c>
      <c r="J52" s="1538" t="str">
        <f>项目基本情况!F41</f>
        <v>广西省柳州市</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2.75">
      <c r="A53" s="632" t="s">
        <v>564</v>
      </c>
      <c r="B53" s="633" t="e">
        <f>C45</f>
        <v>#DIV/0!</v>
      </c>
      <c r="C53" s="634">
        <v>1</v>
      </c>
      <c r="D53" s="2210">
        <v>1</v>
      </c>
      <c r="E53" s="634">
        <f>'数据-汇总表'!E8+'数据-汇总表'!E9</f>
        <v>50582.6</v>
      </c>
      <c r="F53" s="1932" t="e">
        <f t="shared" ref="F53:F62" si="15">ROUND(B53*E53/10000,0)</f>
        <v>#DIV/0!</v>
      </c>
      <c r="G53" s="3513"/>
      <c r="H53" s="3514"/>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2.75">
      <c r="A54" s="636" t="s">
        <v>565</v>
      </c>
      <c r="B54" s="637" t="e">
        <f>ROUND($C$45*C54*D54,0)</f>
        <v>#DIV/0!</v>
      </c>
      <c r="C54" s="377">
        <f t="shared" ref="C54:C62" si="16">IF($C$52="北京市系数",I54,J54)</f>
        <v>0</v>
      </c>
      <c r="D54" s="2211">
        <v>0.25</v>
      </c>
      <c r="E54" s="638"/>
      <c r="F54" s="1932" t="e">
        <f t="shared" si="15"/>
        <v>#DIV/0!</v>
      </c>
      <c r="G54" s="3515" t="s">
        <v>2283</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2.75">
      <c r="A55" s="636" t="s">
        <v>566</v>
      </c>
      <c r="B55" s="637" t="e">
        <f t="shared" ref="B55:B62" si="17">ROUND($C$45*C55*D55,0)</f>
        <v>#DIV/0!</v>
      </c>
      <c r="C55" s="377">
        <f t="shared" si="16"/>
        <v>0</v>
      </c>
      <c r="D55" s="2211">
        <v>0.25</v>
      </c>
      <c r="E55" s="638"/>
      <c r="F55" s="1932" t="e">
        <f t="shared" si="15"/>
        <v>#DIV/0!</v>
      </c>
      <c r="G55" s="3515"/>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2.75">
      <c r="A56" s="636" t="s">
        <v>567</v>
      </c>
      <c r="B56" s="637" t="e">
        <f t="shared" si="17"/>
        <v>#DIV/0!</v>
      </c>
      <c r="C56" s="377">
        <f t="shared" si="16"/>
        <v>0</v>
      </c>
      <c r="D56" s="2211">
        <v>0.25</v>
      </c>
      <c r="E56" s="638"/>
      <c r="F56" s="1932" t="e">
        <f t="shared" si="15"/>
        <v>#DIV/0!</v>
      </c>
      <c r="G56" s="3515"/>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2.75">
      <c r="A57" s="636" t="s">
        <v>568</v>
      </c>
      <c r="B57" s="637" t="e">
        <f t="shared" si="17"/>
        <v>#DIV/0!</v>
      </c>
      <c r="C57" s="377">
        <f t="shared" si="16"/>
        <v>0</v>
      </c>
      <c r="D57" s="2211">
        <v>0.25</v>
      </c>
      <c r="E57" s="638"/>
      <c r="F57" s="1932" t="e">
        <f t="shared" si="15"/>
        <v>#DIV/0!</v>
      </c>
      <c r="G57" s="3515"/>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2.75">
      <c r="A58" s="2313" t="s">
        <v>2324</v>
      </c>
      <c r="B58" s="637" t="e">
        <f t="shared" si="17"/>
        <v>#DIV/0!</v>
      </c>
      <c r="C58" s="377">
        <f t="shared" si="16"/>
        <v>0</v>
      </c>
      <c r="D58" s="2211">
        <v>0.25</v>
      </c>
      <c r="E58" s="640">
        <f>'数据-汇总表'!E11</f>
        <v>0</v>
      </c>
      <c r="F58" s="1932" t="e">
        <f t="shared" si="15"/>
        <v>#DIV/0!</v>
      </c>
      <c r="G58" s="1938" t="s">
        <v>2284</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6" t="s">
        <v>569</v>
      </c>
      <c r="B59" s="637" t="e">
        <f t="shared" si="17"/>
        <v>#DIV/0!</v>
      </c>
      <c r="C59" s="377">
        <f t="shared" si="16"/>
        <v>0</v>
      </c>
      <c r="D59" s="2211">
        <v>0.25</v>
      </c>
      <c r="E59" s="640">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6" t="s">
        <v>570</v>
      </c>
      <c r="B60" s="637" t="e">
        <f t="shared" si="17"/>
        <v>#DIV/0!</v>
      </c>
      <c r="C60" s="377">
        <f t="shared" si="16"/>
        <v>0</v>
      </c>
      <c r="D60" s="2211">
        <v>0.25</v>
      </c>
      <c r="E60" s="640">
        <f>'数据-汇总表'!E13</f>
        <v>20961.669999999998</v>
      </c>
      <c r="F60" s="1932" t="e">
        <f t="shared" si="15"/>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6" t="s">
        <v>571</v>
      </c>
      <c r="B61" s="637" t="e">
        <f t="shared" si="17"/>
        <v>#DIV/0!</v>
      </c>
      <c r="C61" s="377">
        <f t="shared" si="16"/>
        <v>0</v>
      </c>
      <c r="D61" s="2211">
        <v>0.25</v>
      </c>
      <c r="E61" s="640">
        <f>'数据-汇总表'!E14</f>
        <v>0</v>
      </c>
      <c r="F61" s="1932" t="e">
        <f t="shared" si="15"/>
        <v>#DIV/0!</v>
      </c>
      <c r="G61" s="1938" t="s">
        <v>2283</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5" thickBot="1">
      <c r="A62" s="636" t="s">
        <v>572</v>
      </c>
      <c r="B62" s="637" t="e">
        <f t="shared" si="17"/>
        <v>#DIV/0!</v>
      </c>
      <c r="C62" s="377">
        <f t="shared" si="16"/>
        <v>0</v>
      </c>
      <c r="D62" s="2211">
        <v>0.25</v>
      </c>
      <c r="E62" s="640">
        <f>'数据-汇总表'!E15</f>
        <v>0</v>
      </c>
      <c r="F62" s="1932" t="e">
        <f t="shared" si="15"/>
        <v>#DIV/0!</v>
      </c>
      <c r="G62" s="1939" t="s">
        <v>2284</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5" thickBot="1">
      <c r="A63" s="641" t="s">
        <v>573</v>
      </c>
      <c r="B63" s="642" t="s">
        <v>17</v>
      </c>
      <c r="C63" s="642" t="s">
        <v>18</v>
      </c>
      <c r="D63" s="642" t="s">
        <v>2292</v>
      </c>
      <c r="E63" s="642">
        <f>IF(B43="楼面地价",SUM(E53:E62),'数据-汇总表'!D3)</f>
        <v>20176.84</v>
      </c>
      <c r="F63" s="643"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2019-8-1</v>
      </c>
      <c r="D65" s="2751">
        <f>EDATE(C65,-3)</f>
        <v>43586</v>
      </c>
      <c r="E65" s="2751">
        <f t="shared" ref="E65:N65" si="18">EDATE(D65,-3)</f>
        <v>43497</v>
      </c>
      <c r="F65" s="2751">
        <f t="shared" si="18"/>
        <v>43405</v>
      </c>
      <c r="G65" s="2751">
        <f t="shared" si="18"/>
        <v>43313</v>
      </c>
      <c r="H65" s="2751">
        <f t="shared" si="18"/>
        <v>43221</v>
      </c>
      <c r="I65" s="2751">
        <f t="shared" si="18"/>
        <v>43132</v>
      </c>
      <c r="J65" s="2751">
        <f t="shared" si="18"/>
        <v>43040</v>
      </c>
      <c r="K65" s="2751">
        <f t="shared" si="18"/>
        <v>42948</v>
      </c>
      <c r="L65" s="2751">
        <f t="shared" si="18"/>
        <v>42856</v>
      </c>
      <c r="M65" s="2751">
        <f t="shared" si="18"/>
        <v>42767</v>
      </c>
      <c r="N65" s="2751">
        <f t="shared" si="18"/>
        <v>42675</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5">
      <c r="A67" s="2529" t="s">
        <v>2528</v>
      </c>
      <c r="B67" s="645"/>
      <c r="C67" s="2747" t="str">
        <f>YEAR(C65)&amp;"-"&amp;ROUNDUP(MONTH(C65)/3,0)</f>
        <v>2019-3</v>
      </c>
      <c r="D67" s="2753" t="str">
        <f t="shared" ref="D67:N67" si="19">YEAR(D65)&amp;"-"&amp;ROUNDUP(MONTH(D65)/3,0)</f>
        <v>2019-2</v>
      </c>
      <c r="E67" s="2753" t="str">
        <f t="shared" si="19"/>
        <v>2019-1</v>
      </c>
      <c r="F67" s="2753" t="str">
        <f t="shared" si="19"/>
        <v>2018-4</v>
      </c>
      <c r="G67" s="2753" t="str">
        <f t="shared" si="19"/>
        <v>2018-3</v>
      </c>
      <c r="H67" s="2753" t="str">
        <f t="shared" si="19"/>
        <v>2018-2</v>
      </c>
      <c r="I67" s="2753" t="str">
        <f t="shared" si="19"/>
        <v>2018-1</v>
      </c>
      <c r="J67" s="2753" t="str">
        <f t="shared" si="19"/>
        <v>2017-4</v>
      </c>
      <c r="K67" s="2753" t="str">
        <f t="shared" si="19"/>
        <v>2017-3</v>
      </c>
      <c r="L67" s="2753" t="str">
        <f t="shared" si="19"/>
        <v>2017-2</v>
      </c>
      <c r="M67" s="2753" t="str">
        <f t="shared" si="19"/>
        <v>2017-1</v>
      </c>
      <c r="N67" s="2753" t="str">
        <f t="shared" si="19"/>
        <v>2016-4</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2644</v>
      </c>
      <c r="B68" s="478" t="str">
        <f>"北京市平均增长率"&amp;TEXT(基准地价!P24,"0.00%")</f>
        <v>北京市平均增长率1.40%</v>
      </c>
      <c r="C68" s="892">
        <v>100</v>
      </c>
      <c r="D68" s="729"/>
      <c r="E68" s="729"/>
      <c r="F68" s="729"/>
      <c r="G68" s="729"/>
      <c r="H68" s="729"/>
      <c r="I68" s="729"/>
      <c r="J68" s="729"/>
      <c r="K68" s="729"/>
      <c r="L68" s="729"/>
      <c r="M68" s="2745"/>
      <c r="N68" s="2746"/>
      <c r="O68" s="2144"/>
      <c r="P68" s="2140"/>
      <c r="Q68" s="1975"/>
      <c r="R68" s="1975"/>
      <c r="S68" s="1975"/>
      <c r="T68" s="1975"/>
      <c r="U68" s="1975"/>
      <c r="V68" s="1975"/>
      <c r="W68" s="1975"/>
      <c r="X68" s="1975"/>
      <c r="Y68" s="1975"/>
      <c r="Z68" s="1975"/>
      <c r="AA68" s="1975"/>
      <c r="AB68" s="1975"/>
      <c r="AC68" s="1975"/>
    </row>
    <row r="69" spans="1:29" s="1214" customFormat="1" ht="15.75" thickBot="1">
      <c r="A69" s="652" t="s">
        <v>575</v>
      </c>
      <c r="B69" s="653"/>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5">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4" customFormat="1" ht="15.75"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c r="A72" s="663" t="s">
        <v>577</v>
      </c>
      <c r="B72" s="664" t="s">
        <v>534</v>
      </c>
      <c r="C72" s="597"/>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5.75" thickBot="1">
      <c r="A73" s="668"/>
      <c r="B73" s="669"/>
      <c r="C73" s="670"/>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7.75"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8"/>
      <c r="B77" s="682"/>
      <c r="C77" s="540"/>
      <c r="D77" s="540"/>
      <c r="E77" s="540"/>
      <c r="F77" s="540"/>
      <c r="G77" s="540"/>
      <c r="H77" s="540"/>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8"/>
      <c r="O78" s="2148"/>
      <c r="P78" s="2147"/>
      <c r="Q78" s="2140"/>
      <c r="R78" s="2127"/>
      <c r="S78" s="2127"/>
      <c r="T78" s="2127"/>
      <c r="U78" s="2127"/>
      <c r="V78" s="2127"/>
      <c r="W78" s="2127"/>
      <c r="X78" s="2127"/>
      <c r="Y78" s="2127"/>
      <c r="Z78" s="2127"/>
      <c r="AA78" s="2127"/>
      <c r="AB78" s="2127"/>
      <c r="AC78" s="2127"/>
    </row>
    <row r="79" spans="1:29" s="1333" customFormat="1" ht="15.75"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3" customFormat="1" ht="15.75"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3" customFormat="1" ht="15.75"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3" customFormat="1" ht="15.75"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3" customFormat="1" ht="15.75"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3" customFormat="1" ht="15.75"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7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4" customFormat="1" ht="27.75"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4" customFormat="1" ht="27.75"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3" customFormat="1" ht="15.75" thickTop="1">
      <c r="A93" s="686"/>
      <c r="B93" s="1878" t="s">
        <v>2543</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3" customFormat="1" ht="15.75" thickTop="1">
      <c r="A95" s="686"/>
      <c r="B95" s="2558" t="s">
        <v>2545</v>
      </c>
      <c r="C95" s="2559" t="s">
        <v>2546</v>
      </c>
      <c r="D95" s="2559" t="s">
        <v>2547</v>
      </c>
      <c r="E95" s="2559" t="s">
        <v>2548</v>
      </c>
      <c r="F95" s="2559" t="s">
        <v>2549</v>
      </c>
      <c r="G95" s="2559" t="s">
        <v>2550</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1"/>
      <c r="N96" s="2149"/>
      <c r="O96" s="2149"/>
      <c r="P96" s="2150"/>
      <c r="Q96" s="2151"/>
      <c r="R96" s="2152"/>
      <c r="S96" s="2152"/>
      <c r="T96" s="2152"/>
      <c r="U96" s="2152"/>
      <c r="V96" s="2152"/>
      <c r="W96" s="2152"/>
      <c r="X96" s="2152"/>
      <c r="Y96" s="2152"/>
      <c r="Z96" s="2152"/>
      <c r="AA96" s="2152"/>
      <c r="AB96" s="2152"/>
      <c r="AC96" s="2152"/>
    </row>
    <row r="97" spans="1:29" ht="15.7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8"/>
      <c r="B99" s="672" t="s">
        <v>548</v>
      </c>
      <c r="C99" s="687"/>
      <c r="D99" s="687"/>
      <c r="E99" s="687"/>
      <c r="F99" s="687"/>
      <c r="G99" s="687"/>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5.75"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5"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3" customFormat="1" ht="15"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3" customFormat="1" ht="15.75"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8" t="str">
        <f t="shared" si="25"/>
        <v>(含)-</v>
      </c>
      <c r="L109" s="3039" t="str">
        <f t="shared" si="25"/>
        <v>(含)-</v>
      </c>
      <c r="M109" s="3040"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8"/>
      <c r="B110" s="680"/>
      <c r="C110" s="729"/>
      <c r="D110" s="729"/>
      <c r="E110" s="729"/>
      <c r="F110" s="729"/>
      <c r="G110" s="729"/>
      <c r="H110" s="729"/>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9"/>
      <c r="D111" s="725"/>
      <c r="E111" s="725"/>
      <c r="F111" s="725"/>
      <c r="G111" s="725"/>
      <c r="H111" s="725"/>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c r="D112" s="717"/>
      <c r="E112" s="717"/>
      <c r="F112" s="717"/>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7"/>
      <c r="B114" s="1878" t="s">
        <v>2421</v>
      </c>
      <c r="C114" s="1369"/>
      <c r="D114" s="1369"/>
      <c r="E114" s="1369"/>
      <c r="F114" s="1369"/>
      <c r="G114" s="1369"/>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c r="D116" s="687"/>
      <c r="E116" s="717"/>
      <c r="F116" s="717"/>
      <c r="G116" s="71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5"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5.75"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3" customFormat="1" ht="15"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3" customFormat="1" ht="15.75"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R118"/>
  <sheetViews>
    <sheetView zoomScale="80" zoomScaleNormal="80" workbookViewId="0">
      <selection activeCell="I39" sqref="I3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1694</v>
      </c>
      <c r="B1" s="1393"/>
      <c r="C1" s="1399" t="s">
        <v>2422</v>
      </c>
      <c r="D1" s="1505">
        <f>SUM(D29:D30,D33:D39)</f>
        <v>0</v>
      </c>
      <c r="E1" s="1399" t="s">
        <v>2423</v>
      </c>
      <c r="F1" s="2413"/>
      <c r="G1" s="1394"/>
      <c r="H1" s="1394"/>
      <c r="I1" s="1394"/>
      <c r="J1" s="1394"/>
      <c r="K1" s="1394"/>
      <c r="L1" s="1864" t="s">
        <v>2236</v>
      </c>
      <c r="M1" s="1865">
        <f>SUMPRODUCT((区片价!B5:B9=I2)*(区片价!C3:F3=E2)*(区片价!C5:F9))</f>
        <v>0</v>
      </c>
      <c r="N1" s="1866">
        <f>SUMPRODUCT((因素修正幅度!B5:B9=I2)*(因素修正幅度!C3:F3=E2)*(因素修正幅度!C5:F9))</f>
        <v>0</v>
      </c>
      <c r="O1" s="1394"/>
      <c r="P1" s="1394"/>
      <c r="Q1" s="2171"/>
      <c r="R1" s="2887" t="s">
        <v>2757</v>
      </c>
      <c r="S1" s="2887" t="s">
        <v>2758</v>
      </c>
      <c r="T1" s="2887" t="s">
        <v>2779</v>
      </c>
      <c r="U1" s="2887" t="s">
        <v>2780</v>
      </c>
      <c r="V1" s="2887" t="s">
        <v>2781</v>
      </c>
      <c r="W1" s="2171"/>
      <c r="X1" s="2171"/>
      <c r="Y1" s="2171"/>
      <c r="Z1" s="2171"/>
      <c r="AA1" s="2171"/>
      <c r="AB1" s="2171"/>
      <c r="AC1" s="2172"/>
    </row>
    <row r="2" spans="1:39" ht="15.75">
      <c r="A2" s="1399" t="s">
        <v>920</v>
      </c>
      <c r="B2" s="1036"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2237</v>
      </c>
      <c r="M2" s="1868">
        <f>SUMPRODUCT((区片价!B10:B28=I2)*(区片价!C3:F3=E2)*(区片价!C10:F28))</f>
        <v>0</v>
      </c>
      <c r="N2" s="1869">
        <f>SUMPRODUCT((因素修正幅度!B10:B28=I2)*(因素修正幅度!C3:F3=E2)*(因素修正幅度!C10:F28))</f>
        <v>0</v>
      </c>
      <c r="O2" s="1403"/>
      <c r="P2" s="1394"/>
      <c r="Q2" s="2171"/>
      <c r="R2" s="2888">
        <v>1</v>
      </c>
      <c r="S2" s="2888">
        <f>ROUND(IF(G3&gt;1,IF(R2&lt;7,SUMPRODUCT((B93:B98=R2)*(C92:N92=G2)*(C93:N98)),SUMIF(C92:N92,G2,C100:N100)),IF(R2&lt;7,SUMPRODUCT((B102:B107=R2)*(C92:N92=G2)*(C102:N107)),SUMIF(C92:N92,G2,C109:N109))),4)</f>
        <v>0</v>
      </c>
      <c r="T2" s="2888" t="e">
        <f>ROUND($C$5*$C$18*$C$19*$C$20*S2*$C$24,0)</f>
        <v>#DIV/0!</v>
      </c>
      <c r="U2" s="2877"/>
      <c r="V2" s="2888" t="e">
        <f>ROUND(T2*U2/10000,0)</f>
        <v>#DIV/0!</v>
      </c>
      <c r="W2" s="2171"/>
      <c r="X2" s="2171"/>
      <c r="Y2" s="2171"/>
      <c r="Z2" s="2171"/>
      <c r="AA2" s="2171"/>
      <c r="AB2" s="2171"/>
      <c r="AC2" s="2172"/>
    </row>
    <row r="3" spans="1:39" ht="15.75">
      <c r="A3" s="1404" t="s">
        <v>1687</v>
      </c>
      <c r="B3" s="1036" t="e">
        <f>ROUND(B2*10000/D1,0)</f>
        <v>#DIV/0!</v>
      </c>
      <c r="C3" s="1400" t="s">
        <v>927</v>
      </c>
      <c r="D3" s="1401" t="s">
        <v>928</v>
      </c>
      <c r="E3" s="1405"/>
      <c r="F3" s="1406"/>
      <c r="G3" s="1037">
        <f>IF(F3="宗地容积率",'数据-汇总表'!I4,IF(F3="估价对象容积率",'数据-汇总表'!I6,'数据-汇总表'!I7))</f>
        <v>2.5</v>
      </c>
      <c r="H3" s="1407" t="s">
        <v>929</v>
      </c>
      <c r="I3" s="1038">
        <v>8</v>
      </c>
      <c r="J3" s="1403" t="s">
        <v>930</v>
      </c>
      <c r="K3" s="1403"/>
      <c r="L3" s="1867" t="s">
        <v>2238</v>
      </c>
      <c r="M3" s="1868">
        <f>SUMPRODUCT((区片价!B29:B48=I2)*(区片价!C3:F3=E2)*(区片价!C29:F48))</f>
        <v>0</v>
      </c>
      <c r="N3" s="1869">
        <f>SUMPRODUCT((因素修正幅度!B29:B48=I2)*(因素修正幅度!C3:F3=E2)*(因素修正幅度!C29:F48))</f>
        <v>0</v>
      </c>
      <c r="O3" s="1403"/>
      <c r="P3" s="1394"/>
      <c r="Q3" s="2171"/>
      <c r="R3" s="2888">
        <v>2</v>
      </c>
      <c r="S3" s="2888">
        <f>ROUND(IF(G3&gt;1,IF(R3&lt;7,SUMPRODUCT((B93:B98=R3)*(C92:N92=G2)*(C93:N98)),SUMIF(C92:N92,G2,C100:N100)),IF(R3&lt;7,SUMPRODUCT((B102:B107=R3)*(C92:N92=G2)*(C102:N107)),SUMIF(C92:N92,G2,C109:N109))),4)</f>
        <v>0</v>
      </c>
      <c r="T3" s="2888" t="e">
        <f t="shared" ref="T3:T16" si="0">ROUND($C$5*$C$18*$C$19*$C$20*S3*$C$24,0)</f>
        <v>#DIV/0!</v>
      </c>
      <c r="U3" s="2877"/>
      <c r="V3" s="2888" t="e">
        <f t="shared" ref="V3:V16" si="1">ROUND(T3*U3/10000,0)</f>
        <v>#DIV/0!</v>
      </c>
      <c r="W3" s="2171"/>
      <c r="X3" s="2171"/>
      <c r="Y3" s="2171"/>
      <c r="Z3" s="2171"/>
      <c r="AA3" s="2171"/>
      <c r="AB3" s="2171"/>
      <c r="AC3" s="2172"/>
    </row>
    <row r="4" spans="1:39" ht="28.5">
      <c r="A4" s="1873" t="s">
        <v>2278</v>
      </c>
      <c r="B4" s="2414" t="e">
        <f>ROUND(B2*10000/F1,0)</f>
        <v>#DIV/0!</v>
      </c>
      <c r="C4" s="1876" t="s">
        <v>2252</v>
      </c>
      <c r="D4" s="1876" t="e">
        <f>ROUND(B2/(F1/666.67),0)</f>
        <v>#DIV/0!</v>
      </c>
      <c r="E4" s="1876" t="s">
        <v>2253</v>
      </c>
      <c r="F4" s="1874"/>
      <c r="G4" s="1874"/>
      <c r="H4" s="1874"/>
      <c r="I4" s="1874"/>
      <c r="J4" s="1875"/>
      <c r="K4" s="3142"/>
      <c r="L4" s="1867" t="s">
        <v>2239</v>
      </c>
      <c r="M4" s="1868">
        <f>SUMPRODUCT((区片价!B49:B75=I2)*(区片价!C3:F3=E2)*(区片价!C49:F75))</f>
        <v>0</v>
      </c>
      <c r="N4" s="1869">
        <f>SUMPRODUCT((因素修正幅度!B49:B75=I2)*(因素修正幅度!C3:F3=E2)*(因素修正幅度!C49:F75))</f>
        <v>0</v>
      </c>
      <c r="O4" s="3142"/>
      <c r="P4" s="1394"/>
      <c r="Q4" s="2171"/>
      <c r="R4" s="2888">
        <v>3</v>
      </c>
      <c r="S4" s="2888">
        <f>ROUND(IF(G3&gt;1,IF(R4&lt;7,SUMPRODUCT((B93:B98=R4)*(C92:N92=G2)*(C93:N98)),SUMIF(C92:N92,G2,C100:N100)),IF(R4&lt;7,SUMPRODUCT((B102:B107=R4)*(C92:N92=G2)*(C102:N107)),SUMIF(C92:N92,G2,C109:N109))),4)</f>
        <v>0</v>
      </c>
      <c r="T4" s="2888" t="e">
        <f t="shared" si="0"/>
        <v>#DIV/0!</v>
      </c>
      <c r="U4" s="2877"/>
      <c r="V4" s="2888" t="e">
        <f t="shared" si="1"/>
        <v>#DIV/0!</v>
      </c>
      <c r="W4" s="2171"/>
      <c r="X4" s="2171"/>
      <c r="Y4" s="2171"/>
      <c r="Z4" s="2171"/>
      <c r="AA4" s="2171"/>
      <c r="AB4" s="2171"/>
      <c r="AC4" s="2172"/>
    </row>
    <row r="5" spans="1:39" s="1414" customFormat="1" ht="15.75" thickBot="1">
      <c r="A5" s="1620" t="s">
        <v>1823</v>
      </c>
      <c r="B5" s="1408" t="s">
        <v>931</v>
      </c>
      <c r="C5" s="1039" t="e">
        <f>ROUND(IF(E2="商业",C6*C7+C16,(IF(E2="住宅",C6*C12+C16,C6+C16))),0)</f>
        <v>#DIV/0!</v>
      </c>
      <c r="D5" s="3066" t="e">
        <f>ROUND(C6+C16,0)</f>
        <v>#DIV/0!</v>
      </c>
      <c r="E5" s="3066"/>
      <c r="F5" s="1409"/>
      <c r="G5" s="1410"/>
      <c r="H5" s="1410"/>
      <c r="I5" s="1410"/>
      <c r="J5" s="1411"/>
      <c r="K5" s="3143"/>
      <c r="L5" s="1867" t="s">
        <v>2240</v>
      </c>
      <c r="M5" s="1868">
        <f>SUMPRODUCT((区片价!B76:B109=I2)*(区片价!C3:F3=E2)*(区片价!C76:F109))</f>
        <v>0</v>
      </c>
      <c r="N5" s="1869">
        <f>SUMPRODUCT((因素修正幅度!B76:B109=I2)*(因素修正幅度!C3:F3=E2)*(因素修正幅度!C76:F109))</f>
        <v>0</v>
      </c>
      <c r="O5" s="3143"/>
      <c r="P5" s="1577"/>
      <c r="Q5" s="2171"/>
      <c r="R5" s="2888">
        <v>4</v>
      </c>
      <c r="S5" s="2888">
        <f>ROUND(IF(G3&gt;1,IF(R5&lt;7,SUMPRODUCT((B93:B98=R5)*(C92:N92=G2)*(C93:N98)),SUMIF(C92:N92,G2,C100:N100)),IF(R5&lt;7,SUMPRODUCT((B102:B107=R5)*(C92:N92=G2)*(C102:N107)),SUMIF(C92:N92,G2,C109:N109))),4)</f>
        <v>0</v>
      </c>
      <c r="T5" s="2888" t="e">
        <f t="shared" si="0"/>
        <v>#DIV/0!</v>
      </c>
      <c r="U5" s="2877"/>
      <c r="V5" s="2888"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1870</v>
      </c>
      <c r="B6" s="1415" t="s">
        <v>931</v>
      </c>
      <c r="C6" s="1040">
        <f>SUMIF(L1:L12,基准地价!G2,M1:M12)</f>
        <v>0</v>
      </c>
      <c r="D6" s="1416" t="s">
        <v>1695</v>
      </c>
      <c r="E6" s="1417"/>
      <c r="F6" s="1417"/>
      <c r="G6" s="1418"/>
      <c r="H6" s="1418"/>
      <c r="I6" s="1418"/>
      <c r="J6" s="1419"/>
      <c r="K6" s="1449"/>
      <c r="L6" s="1867" t="s">
        <v>2241</v>
      </c>
      <c r="M6" s="1868">
        <f>SUMPRODUCT((区片价!B110:B157=I2)*(区片价!C3:F3=E2)*(区片价!C110:F157))</f>
        <v>0</v>
      </c>
      <c r="N6" s="1869">
        <f>SUMPRODUCT((因素修正幅度!B110:B157=I2)*(因素修正幅度!C3:F3=E2)*(因素修正幅度!C110:F157))</f>
        <v>0</v>
      </c>
      <c r="O6" s="1449"/>
      <c r="P6" s="1578"/>
      <c r="Q6" s="2171"/>
      <c r="R6" s="2888">
        <v>5</v>
      </c>
      <c r="S6" s="2888">
        <f>ROUND(IF(G3&gt;1,IF(R6&lt;7,SUMPRODUCT((B93:B98=R6)*(C92:N92=G2)*(C93:N98)),SUMIF(C92:N92,G2,C100:N100)),IF(R6&lt;7,SUMPRODUCT((B102:B107=R6)*(C92:N92=G2)*(C102:N107)),SUMIF(C92:N92,G2,C109:N109))),4)</f>
        <v>0</v>
      </c>
      <c r="T6" s="2888" t="e">
        <f t="shared" si="0"/>
        <v>#DIV/0!</v>
      </c>
      <c r="U6" s="2877"/>
      <c r="V6" s="2888" t="e">
        <f t="shared" si="1"/>
        <v>#DIV/0!</v>
      </c>
      <c r="W6" s="2171"/>
      <c r="X6" s="2171"/>
      <c r="Y6" s="2171"/>
      <c r="Z6" s="2171"/>
      <c r="AA6" s="2171"/>
      <c r="AB6" s="2171"/>
      <c r="AC6" s="2173"/>
      <c r="AD6" s="1412"/>
      <c r="AE6" s="1412"/>
      <c r="AF6" s="1412"/>
      <c r="AG6" s="1412"/>
      <c r="AH6" s="1412"/>
      <c r="AI6" s="1412"/>
      <c r="AJ6" s="1413"/>
    </row>
    <row r="7" spans="1:39" ht="24">
      <c r="A7" s="3527" t="str">
        <f>IF(E2="商业",IF(C8="不临58条商业街","",2),"")</f>
        <v/>
      </c>
      <c r="B7" s="1420" t="s">
        <v>932</v>
      </c>
      <c r="C7" s="1041" t="e">
        <f>IF(C8="不临58条商业街",1,ROUND(1+(1.6*E8+1.2*E9+0.8*E10+0.4*E11)*C9,4))</f>
        <v>#DIV/0!</v>
      </c>
      <c r="D7" s="1421" t="s">
        <v>933</v>
      </c>
      <c r="E7" s="1042"/>
      <c r="F7" s="1422"/>
      <c r="G7" s="1423"/>
      <c r="H7" s="1423"/>
      <c r="I7" s="1423"/>
      <c r="J7" s="1424"/>
      <c r="K7" s="1449"/>
      <c r="L7" s="1867" t="s">
        <v>2242</v>
      </c>
      <c r="M7" s="1868">
        <f>SUMPRODUCT((区片价!B158:B205=I2)*(区片价!C3:F3=E2)*(区片价!C158:F205))</f>
        <v>0</v>
      </c>
      <c r="N7" s="1869">
        <f>SUMPRODUCT((因素修正幅度!B158:B205=I2)*(因素修正幅度!C3:F3=E2)*(因素修正幅度!C158:F205))</f>
        <v>0</v>
      </c>
      <c r="O7" s="1449"/>
      <c r="P7" s="1578"/>
      <c r="Q7" s="2171"/>
      <c r="R7" s="2888">
        <v>6</v>
      </c>
      <c r="S7" s="2888">
        <f>ROUND(IF(G3&gt;1,IF(R7&lt;7,SUMPRODUCT((B93:B98=R7)*(C92:N92=G2)*(C93:N98)),SUMIF(C92:N92,G2,C100:N100)),IF(R7&lt;7,SUMPRODUCT((B102:B107=R7)*(C92:N92=G2)*(C102:N107)),SUMIF(C92:N92,G2,C109:N109))),4)</f>
        <v>0</v>
      </c>
      <c r="T7" s="2888" t="e">
        <f t="shared" si="0"/>
        <v>#DIV/0!</v>
      </c>
      <c r="U7" s="2877"/>
      <c r="V7" s="2888" t="e">
        <f t="shared" si="1"/>
        <v>#DIV/0!</v>
      </c>
      <c r="W7" s="2886" t="s">
        <v>2760</v>
      </c>
      <c r="X7" s="2878">
        <f>G2</f>
        <v>0</v>
      </c>
      <c r="Y7" s="2878" t="s">
        <v>2761</v>
      </c>
      <c r="Z7" s="2879">
        <f>G3</f>
        <v>2.5</v>
      </c>
      <c r="AA7" s="2174"/>
      <c r="AB7" s="2174"/>
      <c r="AC7" s="2175"/>
      <c r="AD7" s="2880"/>
      <c r="AE7" s="2880"/>
      <c r="AF7" s="2880"/>
      <c r="AG7" s="2880"/>
      <c r="AH7" s="2880"/>
      <c r="AI7" s="2880"/>
      <c r="AJ7" s="2881"/>
    </row>
    <row r="8" spans="1:39" ht="15">
      <c r="A8" s="3528"/>
      <c r="B8" s="1407" t="s">
        <v>934</v>
      </c>
      <c r="C8" s="1513"/>
      <c r="D8" s="1043" t="s">
        <v>935</v>
      </c>
      <c r="E8" s="1044" t="e">
        <f>ROUND(C11/E7,4)</f>
        <v>#DIV/0!</v>
      </c>
      <c r="F8" s="1425" t="s">
        <v>936</v>
      </c>
      <c r="G8" s="1426"/>
      <c r="H8" s="1426"/>
      <c r="I8" s="1426"/>
      <c r="J8" s="1427"/>
      <c r="K8" s="1449"/>
      <c r="L8" s="1867" t="s">
        <v>2243</v>
      </c>
      <c r="M8" s="1868">
        <f>SUMPRODUCT((区片价!B206:B244=I2)*(区片价!C3:F3=E2)*(区片价!C206:F244))</f>
        <v>0</v>
      </c>
      <c r="N8" s="1869">
        <f>SUMPRODUCT((因素修正幅度!B206:B244=I2)*(因素修正幅度!C3:F3=E2)*(因素修正幅度!C206:F244))</f>
        <v>0</v>
      </c>
      <c r="O8" s="1449"/>
      <c r="P8" s="1394"/>
      <c r="Q8" s="2171"/>
      <c r="R8" s="2888">
        <v>7</v>
      </c>
      <c r="S8" s="2877"/>
      <c r="T8" s="2888" t="e">
        <f t="shared" si="0"/>
        <v>#DIV/0!</v>
      </c>
      <c r="U8" s="2877"/>
      <c r="V8" s="2888" t="e">
        <f t="shared" si="1"/>
        <v>#DIV/0!</v>
      </c>
      <c r="W8" s="3517" t="s">
        <v>2778</v>
      </c>
      <c r="X8" s="3518"/>
      <c r="Y8" s="1831" t="s">
        <v>2762</v>
      </c>
      <c r="Z8" s="1831" t="s">
        <v>2763</v>
      </c>
      <c r="AA8" s="1831" t="s">
        <v>2764</v>
      </c>
      <c r="AB8" s="1831" t="s">
        <v>2765</v>
      </c>
      <c r="AC8" s="1831" t="s">
        <v>2766</v>
      </c>
      <c r="AD8" s="1831" t="s">
        <v>2767</v>
      </c>
      <c r="AE8" s="1831" t="s">
        <v>2768</v>
      </c>
      <c r="AF8" s="1831" t="s">
        <v>2769</v>
      </c>
      <c r="AG8" s="1831" t="s">
        <v>2770</v>
      </c>
      <c r="AH8" s="1831" t="s">
        <v>2771</v>
      </c>
      <c r="AI8" s="1831" t="s">
        <v>2772</v>
      </c>
      <c r="AJ8" s="1831" t="s">
        <v>2773</v>
      </c>
    </row>
    <row r="9" spans="1:39" ht="15">
      <c r="A9" s="3528"/>
      <c r="B9" s="1407" t="s">
        <v>937</v>
      </c>
      <c r="C9" s="1045">
        <f>SUMIF(修正!C59:C119,C8,修正!E59:E119)</f>
        <v>0</v>
      </c>
      <c r="D9" s="1046" t="s">
        <v>938</v>
      </c>
      <c r="E9" s="1046" t="e">
        <f>ROUND(C11/E7,4)</f>
        <v>#DIV/0!</v>
      </c>
      <c r="F9" s="1425" t="s">
        <v>939</v>
      </c>
      <c r="G9" s="1426"/>
      <c r="H9" s="1426"/>
      <c r="I9" s="1426"/>
      <c r="J9" s="1427"/>
      <c r="K9" s="1449"/>
      <c r="L9" s="1867" t="s">
        <v>2244</v>
      </c>
      <c r="M9" s="1868">
        <f>SUMPRODUCT((区片价!B245:B289=I2)*(区片价!C3:F3=E2)*(区片价!C245:F289))</f>
        <v>0</v>
      </c>
      <c r="N9" s="1869">
        <f>SUMPRODUCT((因素修正幅度!B245:B289=I2)*(因素修正幅度!C3:F3=E2)*(因素修正幅度!C245:F289))</f>
        <v>0</v>
      </c>
      <c r="O9" s="1449"/>
      <c r="P9" s="1394"/>
      <c r="Q9" s="2171"/>
      <c r="R9" s="2888">
        <v>8</v>
      </c>
      <c r="S9" s="2877"/>
      <c r="T9" s="2888" t="e">
        <f t="shared" si="0"/>
        <v>#DIV/0!</v>
      </c>
      <c r="U9" s="2877"/>
      <c r="V9" s="2888" t="e">
        <f t="shared" si="1"/>
        <v>#DIV/0!</v>
      </c>
      <c r="W9" s="3516" t="s">
        <v>2774</v>
      </c>
      <c r="X9" s="2882" t="s">
        <v>2775</v>
      </c>
      <c r="Y9" s="3044"/>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528"/>
      <c r="B10" s="1407" t="s">
        <v>940</v>
      </c>
      <c r="C10" s="1046">
        <f>SUMIF(修正!C59:C119,C8,修正!F59:F119)</f>
        <v>0</v>
      </c>
      <c r="D10" s="1046" t="s">
        <v>941</v>
      </c>
      <c r="E10" s="1046" t="e">
        <f>ROUND(C11/E7,4)</f>
        <v>#DIV/0!</v>
      </c>
      <c r="F10" s="1425" t="s">
        <v>942</v>
      </c>
      <c r="G10" s="1426"/>
      <c r="H10" s="1426"/>
      <c r="I10" s="1426"/>
      <c r="J10" s="1427"/>
      <c r="K10" s="1449"/>
      <c r="L10" s="1867" t="s">
        <v>2245</v>
      </c>
      <c r="M10" s="1868">
        <f>SUMPRODUCT((区片价!B290:B316=I2)*(区片价!C3:F3=E2)*(区片价!C290:F316))</f>
        <v>0</v>
      </c>
      <c r="N10" s="1869">
        <f>SUMPRODUCT((因素修正幅度!B290:B316=I2)*(因素修正幅度!C3:F3=E2)*(因素修正幅度!C290:F316))</f>
        <v>0</v>
      </c>
      <c r="O10" s="1449"/>
      <c r="P10" s="1394"/>
      <c r="Q10" s="2171"/>
      <c r="R10" s="2888">
        <v>9</v>
      </c>
      <c r="S10" s="2877"/>
      <c r="T10" s="2888" t="e">
        <f t="shared" si="0"/>
        <v>#DIV/0!</v>
      </c>
      <c r="U10" s="2877"/>
      <c r="V10" s="2888" t="e">
        <f t="shared" si="1"/>
        <v>#DIV/0!</v>
      </c>
      <c r="W10" s="3516"/>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528"/>
      <c r="B11" s="1428" t="s">
        <v>943</v>
      </c>
      <c r="C11" s="1047">
        <f>C10/4</f>
        <v>0</v>
      </c>
      <c r="D11" s="1047" t="s">
        <v>944</v>
      </c>
      <c r="E11" s="1047" t="e">
        <f>ROUND(C11/E7,4)</f>
        <v>#DIV/0!</v>
      </c>
      <c r="F11" s="1429" t="s">
        <v>945</v>
      </c>
      <c r="G11" s="1430"/>
      <c r="H11" s="1430"/>
      <c r="I11" s="1430"/>
      <c r="J11" s="1431"/>
      <c r="K11" s="1449"/>
      <c r="L11" s="1867" t="s">
        <v>2246</v>
      </c>
      <c r="M11" s="1868">
        <f>SUMPRODUCT((区片价!B317:B337=I2)*(区片价!C3:F3=E2)*(区片价!C317:F337))</f>
        <v>0</v>
      </c>
      <c r="N11" s="1869">
        <f>SUMPRODUCT((因素修正幅度!B317:B337=I2)*(因素修正幅度!C3:F3=E2)*(因素修正幅度!C317:F337))</f>
        <v>0</v>
      </c>
      <c r="O11" s="1449"/>
      <c r="P11" s="1394"/>
      <c r="Q11" s="2171"/>
      <c r="R11" s="2888">
        <v>10</v>
      </c>
      <c r="S11" s="2877"/>
      <c r="T11" s="2888" t="e">
        <f t="shared" si="0"/>
        <v>#DIV/0!</v>
      </c>
      <c r="U11" s="2877"/>
      <c r="V11" s="2888" t="e">
        <f t="shared" si="1"/>
        <v>#DIV/0!</v>
      </c>
      <c r="W11" s="3516" t="s">
        <v>2776</v>
      </c>
      <c r="X11" s="1046" t="s">
        <v>2761</v>
      </c>
      <c r="Y11" s="1635">
        <f>$G$3</f>
        <v>2.5</v>
      </c>
      <c r="Z11" s="1635">
        <f t="shared" ref="Z11:AJ11" si="3">$G$3</f>
        <v>2.5</v>
      </c>
      <c r="AA11" s="1635">
        <f t="shared" si="3"/>
        <v>2.5</v>
      </c>
      <c r="AB11" s="1635">
        <f t="shared" si="3"/>
        <v>2.5</v>
      </c>
      <c r="AC11" s="1635">
        <f t="shared" si="3"/>
        <v>2.5</v>
      </c>
      <c r="AD11" s="1635">
        <f t="shared" si="3"/>
        <v>2.5</v>
      </c>
      <c r="AE11" s="1635">
        <f t="shared" si="3"/>
        <v>2.5</v>
      </c>
      <c r="AF11" s="1635">
        <f t="shared" si="3"/>
        <v>2.5</v>
      </c>
      <c r="AG11" s="1635">
        <f t="shared" si="3"/>
        <v>2.5</v>
      </c>
      <c r="AH11" s="1635">
        <f t="shared" si="3"/>
        <v>2.5</v>
      </c>
      <c r="AI11" s="1635">
        <f t="shared" si="3"/>
        <v>2.5</v>
      </c>
      <c r="AJ11" s="1635">
        <f t="shared" si="3"/>
        <v>2.5</v>
      </c>
    </row>
    <row r="12" spans="1:39" ht="25.5" thickBot="1">
      <c r="A12" s="3527" t="s">
        <v>1871</v>
      </c>
      <c r="B12" s="1432" t="s">
        <v>946</v>
      </c>
      <c r="C12" s="1041">
        <f>ROUND(C15*D15*E15*F15*G15*H15*I15*J15,4)</f>
        <v>1</v>
      </c>
      <c r="D12" s="1433" t="s">
        <v>947</v>
      </c>
      <c r="E12" s="1434"/>
      <c r="F12" s="1434"/>
      <c r="G12" s="1435"/>
      <c r="H12" s="1435"/>
      <c r="I12" s="1435"/>
      <c r="J12" s="1436"/>
      <c r="K12" s="1449"/>
      <c r="L12" s="1870" t="s">
        <v>2247</v>
      </c>
      <c r="M12" s="1871">
        <f>SUMPRODUCT((区片价!B338:B344=I2)*(区片价!C3:F3=E2)*(区片价!C338:F344))</f>
        <v>0</v>
      </c>
      <c r="N12" s="1872">
        <f>SUMPRODUCT((因素修正幅度!B338:B344=I2)*(因素修正幅度!C3:F3=E2)*(因素修正幅度!C338:F344))</f>
        <v>0</v>
      </c>
      <c r="O12" s="1449"/>
      <c r="P12" s="1394"/>
      <c r="Q12" s="2171"/>
      <c r="R12" s="2888">
        <v>11</v>
      </c>
      <c r="S12" s="2877"/>
      <c r="T12" s="2888" t="e">
        <f t="shared" si="0"/>
        <v>#DIV/0!</v>
      </c>
      <c r="U12" s="2877"/>
      <c r="V12" s="2888" t="e">
        <f t="shared" si="1"/>
        <v>#DIV/0!</v>
      </c>
      <c r="W12" s="3516"/>
      <c r="X12" s="2885" t="s">
        <v>2777</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529"/>
      <c r="B13" s="1437" t="s">
        <v>1696</v>
      </c>
      <c r="C13" s="1438" t="s">
        <v>1697</v>
      </c>
      <c r="D13" s="1083" t="s">
        <v>1698</v>
      </c>
      <c r="E13" s="1083" t="s">
        <v>1699</v>
      </c>
      <c r="F13" s="1439" t="s">
        <v>948</v>
      </c>
      <c r="G13" s="1440" t="s">
        <v>1642</v>
      </c>
      <c r="H13" s="1441" t="s">
        <v>1642</v>
      </c>
      <c r="I13" s="1442" t="s">
        <v>1642</v>
      </c>
      <c r="J13" s="1443" t="s">
        <v>1642</v>
      </c>
      <c r="K13" s="3158"/>
      <c r="L13" s="3158"/>
      <c r="M13" s="3158"/>
      <c r="N13" s="3158"/>
      <c r="O13" s="3158"/>
      <c r="P13" s="1394"/>
      <c r="Q13" s="2171"/>
      <c r="R13" s="2888">
        <v>12</v>
      </c>
      <c r="S13" s="2877"/>
      <c r="T13" s="2888" t="e">
        <f t="shared" si="0"/>
        <v>#DIV/0!</v>
      </c>
      <c r="U13" s="2877"/>
      <c r="V13" s="2888" t="e">
        <f t="shared" si="1"/>
        <v>#DIV/0!</v>
      </c>
      <c r="W13" s="3516"/>
      <c r="X13" s="2885"/>
      <c r="Y13" s="2884">
        <f>(-0.163*(Y12^2)-0.59*Y12+7617)*(10^(-4))/Y11</f>
        <v>0.30468000000000001</v>
      </c>
      <c r="Z13" s="2884">
        <f t="shared" ref="Z13:AJ13" si="5">(-0.163*(Z12^2)-0.59*Z12+7617)*(10^(-4))/Z11</f>
        <v>0.30468000000000001</v>
      </c>
      <c r="AA13" s="2884">
        <f t="shared" si="5"/>
        <v>0.30468000000000001</v>
      </c>
      <c r="AB13" s="2884">
        <f t="shared" si="5"/>
        <v>0.30468000000000001</v>
      </c>
      <c r="AC13" s="2884">
        <f t="shared" si="5"/>
        <v>0.30468000000000001</v>
      </c>
      <c r="AD13" s="2884">
        <f t="shared" si="5"/>
        <v>0.30468000000000001</v>
      </c>
      <c r="AE13" s="2884">
        <f t="shared" si="5"/>
        <v>0.30468000000000001</v>
      </c>
      <c r="AF13" s="2884">
        <f t="shared" si="5"/>
        <v>0.30468000000000001</v>
      </c>
      <c r="AG13" s="2884">
        <f t="shared" si="5"/>
        <v>0.30468000000000001</v>
      </c>
      <c r="AH13" s="2884">
        <f t="shared" si="5"/>
        <v>0.30468000000000001</v>
      </c>
      <c r="AI13" s="2884">
        <f t="shared" si="5"/>
        <v>0.30468000000000001</v>
      </c>
      <c r="AJ13" s="2884">
        <f t="shared" si="5"/>
        <v>0.30468000000000001</v>
      </c>
    </row>
    <row r="14" spans="1:39" ht="12.75" customHeight="1">
      <c r="A14" s="3529"/>
      <c r="B14" s="1444"/>
      <c r="C14" s="1445"/>
      <c r="D14" s="1446"/>
      <c r="E14" s="1446"/>
      <c r="F14" s="1447"/>
      <c r="G14" s="1448" t="s">
        <v>949</v>
      </c>
      <c r="H14" s="1449"/>
      <c r="I14" s="1450"/>
      <c r="J14" s="1451"/>
      <c r="K14" s="3144"/>
      <c r="L14" s="3144"/>
      <c r="M14" s="3144"/>
      <c r="N14" s="3144"/>
      <c r="O14" s="3144"/>
      <c r="P14" s="1394"/>
      <c r="Q14" s="2171"/>
      <c r="R14" s="2888">
        <v>13</v>
      </c>
      <c r="S14" s="2877"/>
      <c r="T14" s="2888" t="e">
        <f t="shared" si="0"/>
        <v>#DIV/0!</v>
      </c>
      <c r="U14" s="2877"/>
      <c r="V14" s="2888" t="e">
        <f t="shared" si="1"/>
        <v>#DIV/0!</v>
      </c>
      <c r="W14" s="2171"/>
      <c r="X14" s="2171"/>
      <c r="Y14" s="2171"/>
      <c r="Z14" s="2171"/>
      <c r="AA14" s="2171"/>
      <c r="AB14" s="2171"/>
      <c r="AC14" s="2172"/>
    </row>
    <row r="15" spans="1:39" ht="13.5" customHeight="1" thickBot="1">
      <c r="A15" s="3530"/>
      <c r="B15" s="3163" t="s">
        <v>1700</v>
      </c>
      <c r="C15" s="1047">
        <f>IF(C14="有",1.1,1)</f>
        <v>1</v>
      </c>
      <c r="D15" s="1047">
        <f>IF(D14="有",1.1,1)</f>
        <v>1</v>
      </c>
      <c r="E15" s="1047">
        <f>IF(E14="有",1.1,1)</f>
        <v>1</v>
      </c>
      <c r="F15" s="1047">
        <f>IF(F14="500米范围内",1.2,IF(F14="500-1000米",1.1,1))</f>
        <v>1</v>
      </c>
      <c r="G15" s="3155">
        <v>1</v>
      </c>
      <c r="H15" s="3155">
        <v>1</v>
      </c>
      <c r="I15" s="3155">
        <v>1</v>
      </c>
      <c r="J15" s="3156">
        <v>1</v>
      </c>
      <c r="K15" s="3159"/>
      <c r="L15" s="3159"/>
      <c r="M15" s="3159"/>
      <c r="N15" s="3159"/>
      <c r="O15" s="3159"/>
      <c r="P15" s="1394"/>
      <c r="Q15" s="2171"/>
      <c r="R15" s="2888">
        <v>14</v>
      </c>
      <c r="S15" s="2877"/>
      <c r="T15" s="2888" t="e">
        <f t="shared" si="0"/>
        <v>#DIV/0!</v>
      </c>
      <c r="U15" s="2877"/>
      <c r="V15" s="2888" t="e">
        <f t="shared" si="1"/>
        <v>#DIV/0!</v>
      </c>
      <c r="W15" s="2171"/>
      <c r="X15" s="2171"/>
      <c r="Y15" s="2171"/>
      <c r="Z15" s="2171"/>
      <c r="AA15" s="2171"/>
      <c r="AB15" s="2171"/>
      <c r="AC15" s="2172"/>
    </row>
    <row r="16" spans="1:39" ht="24.6" customHeight="1">
      <c r="A16" s="3527" t="s">
        <v>1838</v>
      </c>
      <c r="B16" s="1420" t="s">
        <v>950</v>
      </c>
      <c r="C16" s="1050" t="e">
        <f>ROUND(IF(F17="与级别开发程度一致",0,(G17-E17)/C17),0)</f>
        <v>#DIV/0!</v>
      </c>
      <c r="D16" s="3524" t="s">
        <v>954</v>
      </c>
      <c r="E16" s="3525"/>
      <c r="F16" s="3524" t="s">
        <v>951</v>
      </c>
      <c r="G16" s="3525"/>
      <c r="H16" s="1452"/>
      <c r="I16" s="1452"/>
      <c r="J16" s="1452"/>
      <c r="K16" s="1452"/>
      <c r="L16" s="1452"/>
      <c r="M16" s="1452"/>
      <c r="N16" s="1452"/>
      <c r="O16" s="3168"/>
      <c r="P16" s="1394"/>
      <c r="Q16" s="2174"/>
      <c r="R16" s="2888">
        <v>15</v>
      </c>
      <c r="S16" s="2877"/>
      <c r="T16" s="2888" t="e">
        <f t="shared" si="0"/>
        <v>#DIV/0!</v>
      </c>
      <c r="U16" s="2877"/>
      <c r="V16" s="2888" t="e">
        <f t="shared" si="1"/>
        <v>#DIV/0!</v>
      </c>
      <c r="W16" s="2174"/>
      <c r="X16" s="2174"/>
      <c r="Y16" s="2174"/>
      <c r="Z16" s="2174"/>
      <c r="AA16" s="2174"/>
      <c r="AB16" s="2174"/>
      <c r="AC16" s="2175"/>
    </row>
    <row r="17" spans="1:40" ht="13.5" thickBot="1">
      <c r="A17" s="3531"/>
      <c r="B17" s="3169" t="s">
        <v>953</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2">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1829</v>
      </c>
      <c r="B18" s="3164" t="s">
        <v>955</v>
      </c>
      <c r="C18" s="3165">
        <f>SUMIF(修正!C18:C39,E3,修正!E18:E39)</f>
        <v>0</v>
      </c>
      <c r="D18" s="3166"/>
      <c r="E18" s="3167"/>
      <c r="F18" s="3149"/>
      <c r="G18" s="3143"/>
      <c r="H18" s="3143"/>
      <c r="I18" s="3143"/>
      <c r="J18" s="3157"/>
      <c r="K18" s="3143"/>
      <c r="L18" s="3143"/>
      <c r="M18" s="3143"/>
      <c r="N18" s="3143"/>
      <c r="O18" s="3143"/>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1835</v>
      </c>
      <c r="B19" s="1455" t="s">
        <v>956</v>
      </c>
      <c r="C19" s="1051">
        <f>ROUND(IF(H19="按公示增长率计算",SUMPRODUCT((地价!A3:A27=YEAR(G19)&amp;"-"&amp;ROUNDUP(MONTH(G19)/3,0))*(地价!X2:AB2=E2)*(地价!X3:AB27)),IF(H19="地价指数",M20/M19,(1+I19)^O19)),4)</f>
        <v>0</v>
      </c>
      <c r="D19" s="1459" t="s">
        <v>957</v>
      </c>
      <c r="E19" s="1052">
        <v>41640</v>
      </c>
      <c r="F19" s="1459" t="s">
        <v>958</v>
      </c>
      <c r="G19" s="1053">
        <f>'数据-取费表'!B2</f>
        <v>43692</v>
      </c>
      <c r="H19" s="1460" t="s">
        <v>2988</v>
      </c>
      <c r="I19" s="2737" t="str">
        <f>IF(H19="季度增幅（自定义）",SUMIF(N21:N24,E2,O21:O24),"")</f>
        <v/>
      </c>
      <c r="J19" s="1456"/>
      <c r="K19" s="3143"/>
      <c r="L19" s="2987" t="s">
        <v>2836</v>
      </c>
      <c r="M19" s="2988">
        <f>ROUND(SUMIF(地价!B2:F2,E2,地价!B27:F27),0)</f>
        <v>0</v>
      </c>
      <c r="N19" s="2739" t="s">
        <v>1676</v>
      </c>
      <c r="O19" s="2738">
        <f>ROUNDDOWN(DATEDIF(E19,G19,"M")/3,0)</f>
        <v>22</v>
      </c>
      <c r="P19" s="1579"/>
      <c r="Q19" s="2876"/>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1836</v>
      </c>
      <c r="B20" s="2732" t="s">
        <v>971</v>
      </c>
      <c r="C20" s="2733" t="e">
        <f>ROUND(POWER(1+G20,J20-I20)*(POWER(1+G20,I20)-1)/(POWER(1+G20,J20)-1),4)</f>
        <v>#DIV/0!</v>
      </c>
      <c r="D20" s="2734" t="s">
        <v>972</v>
      </c>
      <c r="E20" s="3041">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5"/>
      <c r="L20" s="2989" t="s">
        <v>2837</v>
      </c>
      <c r="M20" s="3152">
        <f>ROUND(SUMPRODUCT((地价!A4:A27=YEAR(G19)&amp;"-"&amp;ROUNDUP(MONTH(G19)/3,0))*(地价!B2:F2=E2)*(地价!B4:F27)),0)</f>
        <v>0</v>
      </c>
      <c r="N20" s="2742" t="s">
        <v>2640</v>
      </c>
      <c r="O20" s="2740" t="s">
        <v>2639</v>
      </c>
      <c r="P20" s="2741" t="s">
        <v>2645</v>
      </c>
      <c r="Q20" s="2876"/>
      <c r="R20" s="2177"/>
      <c r="S20" s="2177"/>
      <c r="T20" s="2177"/>
      <c r="U20" s="2177"/>
      <c r="V20" s="2177"/>
      <c r="W20" s="2177"/>
      <c r="X20" s="2177"/>
      <c r="Y20" s="1457"/>
      <c r="Z20" s="1457"/>
      <c r="AA20" s="1457"/>
      <c r="AB20" s="1457"/>
      <c r="AC20" s="1457"/>
      <c r="AD20" s="1457"/>
    </row>
    <row r="21" spans="1:40" s="1414" customFormat="1" ht="14.25">
      <c r="A21" s="1624" t="s">
        <v>1837</v>
      </c>
      <c r="B21" s="1465" t="s">
        <v>2756</v>
      </c>
      <c r="C21" s="1152">
        <f>IF(B21="容积率修正",IF(G3&lt;=10,D22,J22),C23)</f>
        <v>0</v>
      </c>
      <c r="D21" s="1466"/>
      <c r="E21" s="1466"/>
      <c r="F21" s="1466"/>
      <c r="G21" s="1466"/>
      <c r="H21" s="1466"/>
      <c r="I21" s="1466"/>
      <c r="J21" s="1467"/>
      <c r="K21" s="3143"/>
      <c r="L21" s="1466"/>
      <c r="M21" s="1466"/>
      <c r="N21" s="1463" t="s">
        <v>975</v>
      </c>
      <c r="O21" s="1526"/>
      <c r="P21" s="2729">
        <f>SUMPRODUCT((地价!A3:A27=YEAR(G19)&amp;"-"&amp;ROUNDUP(MONTH(G19)/3,0))*(地价!AD2:AH2=N21)*(地价!AD3:AH27))</f>
        <v>1.44E-2</v>
      </c>
      <c r="Q21" s="2876"/>
      <c r="R21" s="2177"/>
      <c r="S21" s="2177"/>
      <c r="T21" s="2177"/>
      <c r="U21" s="2177"/>
      <c r="V21" s="2177"/>
      <c r="W21" s="2177"/>
      <c r="X21" s="2177"/>
      <c r="Y21" s="1396"/>
      <c r="Z21" s="1396"/>
      <c r="AA21" s="1396"/>
      <c r="AB21" s="1396"/>
      <c r="AC21" s="1457"/>
      <c r="AD21" s="1457"/>
    </row>
    <row r="22" spans="1:40" s="1414" customFormat="1" ht="14.25">
      <c r="A22" s="1625" t="s">
        <v>1870</v>
      </c>
      <c r="B22" s="1468" t="s">
        <v>976</v>
      </c>
      <c r="C22" s="1054" t="s">
        <v>1702</v>
      </c>
      <c r="D22" s="1054" t="b">
        <f>IF(E22=G22,F22,IF(G3&lt;=10,ROUND(F22+(H22-F22)*(G3-E22)/(G22-E22),4),"——"))</f>
        <v>0</v>
      </c>
      <c r="E22" s="1037">
        <f>ROUNDDOWN(G3,1)</f>
        <v>2.5</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2.5</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46"/>
      <c r="L22" s="1466"/>
      <c r="M22" s="1466"/>
      <c r="N22" s="1463" t="s">
        <v>978</v>
      </c>
      <c r="O22" s="1526"/>
      <c r="P22" s="2729">
        <f>SUMPRODUCT((地价!A3:A27=YEAR(G19)&amp;"-"&amp;ROUNDUP(MONTH(G19)/3,0))*(地价!AD2:AH2=N22)*(地价!AD3:AH27))</f>
        <v>1.44E-2</v>
      </c>
      <c r="Q22" s="2876"/>
      <c r="R22" s="2177"/>
      <c r="S22" s="2177"/>
      <c r="T22" s="2177"/>
      <c r="U22" s="2177"/>
      <c r="V22" s="2177"/>
      <c r="W22" s="2177"/>
      <c r="X22" s="2177"/>
      <c r="Y22" s="1457"/>
      <c r="Z22" s="1457"/>
      <c r="AA22" s="1457"/>
      <c r="AB22" s="1457"/>
      <c r="AC22" s="1457"/>
      <c r="AD22" s="1457"/>
    </row>
    <row r="23" spans="1:40" ht="15.75" thickBot="1">
      <c r="A23" s="1625" t="s">
        <v>1871</v>
      </c>
      <c r="B23" s="1468" t="s">
        <v>979</v>
      </c>
      <c r="C23" s="1055">
        <f>ROUND(IF(G3&gt;1,IF(I3&lt;7,SUMPRODUCT((B93:B98=I3)*(C92:N92=G2)*(C93:N98)),SUMIF(C92:N92,G2,C100:N100)),IF(I3&lt;7,SUMPRODUCT((B102:B107=I3)*(C92:N92=G2)*(C102:N107)),SUMIF(C92:N92,G2,C109:N109))),4)</f>
        <v>0</v>
      </c>
      <c r="D23" s="1514"/>
      <c r="E23" s="1514"/>
      <c r="F23" s="1515"/>
      <c r="G23" s="1516"/>
      <c r="H23" s="1517"/>
      <c r="I23" s="1518"/>
      <c r="J23" s="1518"/>
      <c r="K23" s="3147"/>
      <c r="L23" s="1394"/>
      <c r="M23" s="1394"/>
      <c r="N23" s="1463" t="s">
        <v>923</v>
      </c>
      <c r="O23" s="1526"/>
      <c r="P23" s="2729">
        <f>SUMPRODUCT((地价!A3:A27=YEAR(G19)&amp;"-"&amp;ROUNDUP(MONTH(G19)/3,0))*(地价!AD2:AH2=N23)*(地价!AD3:AH27))</f>
        <v>2.23E-2</v>
      </c>
      <c r="Q23" s="2876"/>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1872</v>
      </c>
      <c r="B24" s="1408" t="s">
        <v>980</v>
      </c>
      <c r="C24" s="1056">
        <f>SUMIF(A44:A87,E2,B44:B87)</f>
        <v>0</v>
      </c>
      <c r="D24" s="1519"/>
      <c r="E24" s="1520"/>
      <c r="F24" s="1520"/>
      <c r="G24" s="1520"/>
      <c r="H24" s="1520"/>
      <c r="I24" s="1520"/>
      <c r="J24" s="1520"/>
      <c r="K24" s="3147"/>
      <c r="L24" s="1466"/>
      <c r="M24" s="1466"/>
      <c r="N24" s="1463" t="s">
        <v>981</v>
      </c>
      <c r="O24" s="3151"/>
      <c r="P24" s="2729">
        <f>SUMPRODUCT((地价!A3:A27=YEAR(G19)&amp;"-"&amp;ROUNDUP(MONTH(G19)/3,0))*(地价!AD2:AH2=N24)*(地价!AD3:AH27))</f>
        <v>1.4E-2</v>
      </c>
      <c r="Q24" s="2876"/>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53" t="s">
        <v>2643</v>
      </c>
      <c r="O25" s="3154"/>
      <c r="P25" s="2408">
        <f>SUMPRODUCT((地价!A3:A27=YEAR(G19)&amp;"-"&amp;ROUNDUP(MONTH(G19)/3,0))*(地价!AD2:AH2=N25)*(地价!AD3:AH27))</f>
        <v>2.0400000000000001E-2</v>
      </c>
      <c r="Q25" s="2876"/>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7" t="e">
        <f>E29+SUM(E33:E39)</f>
        <v>#DIV/0!</v>
      </c>
      <c r="D26" s="1474"/>
      <c r="E26" s="1449"/>
      <c r="F26" s="1475"/>
      <c r="G26" s="1449"/>
      <c r="H26" s="1449"/>
      <c r="I26" s="1449"/>
      <c r="J26" s="1476"/>
      <c r="K26" s="1449"/>
      <c r="L26" s="1580" t="s">
        <v>898</v>
      </c>
      <c r="M26" s="1421" t="s">
        <v>983</v>
      </c>
      <c r="N26" s="1421" t="s">
        <v>984</v>
      </c>
      <c r="O26" s="1421" t="s">
        <v>902</v>
      </c>
      <c r="P26" s="1461" t="s">
        <v>985</v>
      </c>
      <c r="Q26" s="2876"/>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8" t="e">
        <f>E30+SUM(I33:I39)</f>
        <v>#DIV/0!</v>
      </c>
      <c r="D27" s="1478"/>
      <c r="E27" s="1479"/>
      <c r="F27" s="1480"/>
      <c r="G27" s="1479"/>
      <c r="H27" s="1479"/>
      <c r="I27" s="1479"/>
      <c r="J27" s="1481"/>
      <c r="K27" s="1449"/>
      <c r="L27" s="1453" t="s">
        <v>987</v>
      </c>
      <c r="M27" s="1045">
        <v>0.25</v>
      </c>
      <c r="N27" s="1045">
        <v>0.2</v>
      </c>
      <c r="O27" s="1045">
        <v>0.15</v>
      </c>
      <c r="P27" s="1523">
        <v>0.1</v>
      </c>
      <c r="Q27" s="2177"/>
      <c r="R27" s="2876"/>
      <c r="S27" s="2876"/>
      <c r="T27" s="2876"/>
      <c r="U27" s="2876"/>
      <c r="V27" s="2876"/>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6"/>
      <c r="S28" s="2876"/>
      <c r="T28" s="2876"/>
      <c r="U28" s="2876"/>
      <c r="V28" s="2876"/>
      <c r="W28" s="2177"/>
      <c r="X28" s="2177"/>
      <c r="Y28" s="2177"/>
      <c r="Z28" s="2177"/>
      <c r="AA28" s="2177"/>
      <c r="AB28" s="2177"/>
      <c r="AC28" s="2177"/>
      <c r="AD28" s="1457"/>
      <c r="AE28" s="1457"/>
      <c r="AF28" s="1457"/>
      <c r="AG28" s="1457"/>
    </row>
    <row r="29" spans="1:40" ht="14.25">
      <c r="A29" s="1486"/>
      <c r="B29" s="1487" t="s">
        <v>993</v>
      </c>
      <c r="C29" s="1057" t="e">
        <f>ROUND(C5*C18*C19*C20*C21*C24,0)</f>
        <v>#DIV/0!</v>
      </c>
      <c r="D29" s="1488"/>
      <c r="E29" s="1831" t="e">
        <f>ROUND(C29*D29/10000,0)</f>
        <v>#DIV/0!</v>
      </c>
      <c r="F29" s="1489" t="s">
        <v>1701</v>
      </c>
      <c r="G29" s="1490"/>
      <c r="H29" s="1490"/>
      <c r="I29" s="1490"/>
      <c r="J29" s="1491"/>
      <c r="K29" s="3148"/>
      <c r="L29" s="3148"/>
      <c r="M29" s="3148"/>
      <c r="N29" s="3148"/>
      <c r="O29" s="3148"/>
      <c r="P29" s="1394"/>
      <c r="Q29" s="2177"/>
      <c r="R29" s="2177"/>
      <c r="S29" s="2177"/>
      <c r="T29" s="2177"/>
      <c r="U29" s="2177"/>
      <c r="V29" s="2177"/>
      <c r="W29" s="2876"/>
      <c r="X29" s="2876"/>
      <c r="Y29" s="2876"/>
      <c r="Z29" s="2876"/>
      <c r="AA29" s="2876"/>
      <c r="AB29" s="2177"/>
      <c r="AC29" s="2177"/>
      <c r="AD29" s="2177"/>
      <c r="AE29" s="2177"/>
      <c r="AF29" s="2177"/>
      <c r="AG29" s="2177"/>
      <c r="AH29" s="2177"/>
      <c r="AJ29" s="1396"/>
      <c r="AK29" s="1396"/>
      <c r="AL29" s="1396"/>
      <c r="AM29" s="1395"/>
      <c r="AN29" s="1395"/>
    </row>
    <row r="30" spans="1:40" ht="24.75" thickBot="1">
      <c r="A30" s="1492"/>
      <c r="B30" s="1493" t="s">
        <v>994</v>
      </c>
      <c r="C30" s="1049"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49"/>
      <c r="L32" s="3149"/>
      <c r="M32" s="3149"/>
      <c r="N32" s="3149"/>
      <c r="O32" s="3149"/>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534" t="s">
        <v>2953</v>
      </c>
      <c r="B33" s="1508" t="s">
        <v>999</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50"/>
      <c r="L33" s="3150"/>
      <c r="M33" s="3150"/>
      <c r="N33" s="3150"/>
      <c r="O33" s="3150"/>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535"/>
      <c r="B34" s="1438" t="s">
        <v>1000</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50"/>
      <c r="L34" s="3150"/>
      <c r="M34" s="3150"/>
      <c r="N34" s="3150"/>
      <c r="O34" s="3150"/>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535"/>
      <c r="B35" s="1438" t="s">
        <v>1001</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50"/>
      <c r="L35" s="3150"/>
      <c r="M35" s="3150"/>
      <c r="N35" s="3150"/>
      <c r="O35" s="3150"/>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536"/>
      <c r="B36" s="1438" t="s">
        <v>1002</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50"/>
      <c r="L36" s="3150"/>
      <c r="M36" s="3150"/>
      <c r="N36" s="3150"/>
      <c r="O36" s="3150"/>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1" t="s">
        <v>2980</v>
      </c>
      <c r="C41" s="838" t="e">
        <f>ROUND(POWER(1+E41,H41-G41)*(POWER(1+E41,G41)-1)/(POWER(1+E41,H41)-1),4)</f>
        <v>#DIV/0!</v>
      </c>
      <c r="D41" s="377" t="s">
        <v>2978</v>
      </c>
      <c r="E41" s="3140">
        <f>G20</f>
        <v>0</v>
      </c>
      <c r="F41" s="377" t="s">
        <v>2979</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1008</v>
      </c>
      <c r="B46" s="2369" t="s">
        <v>1009</v>
      </c>
      <c r="C46" s="2391" t="s">
        <v>1010</v>
      </c>
      <c r="D46" s="2392" t="s">
        <v>1011</v>
      </c>
      <c r="E46" s="2393" t="s">
        <v>1013</v>
      </c>
      <c r="F46" s="2394" t="s">
        <v>2248</v>
      </c>
      <c r="G46" s="2392" t="s">
        <v>1014</v>
      </c>
      <c r="H46" s="2375" t="s">
        <v>2414</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24">
      <c r="A47" s="1061" t="s">
        <v>1020</v>
      </c>
      <c r="B47" s="2372" t="str">
        <f>估价对象房地状况!C16</f>
        <v>一般</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14.25">
      <c r="A48" s="1061" t="s">
        <v>1021</v>
      </c>
      <c r="B48" s="2369" t="str">
        <f>估价对象房地状况!C18</f>
        <v>一般</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1022</v>
      </c>
      <c r="B49" s="2369">
        <f>估价对象房地状况!C19</f>
        <v>0</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1" t="s">
        <v>1023</v>
      </c>
      <c r="B50" s="3043" t="s">
        <v>2930</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1024</v>
      </c>
      <c r="B51" s="2369">
        <f>估价对象房地状况!C24</f>
        <v>0</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1" t="s">
        <v>1025</v>
      </c>
      <c r="B52" s="3042" t="s">
        <v>2929</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一般</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六通</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1028</v>
      </c>
      <c r="B55" s="2373" t="str">
        <f>估价对象房地状况!C20</f>
        <v>一般</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1008</v>
      </c>
      <c r="B57" s="2369"/>
      <c r="C57" s="2391" t="s">
        <v>1010</v>
      </c>
      <c r="D57" s="2392" t="s">
        <v>1011</v>
      </c>
      <c r="E57" s="2393" t="s">
        <v>1013</v>
      </c>
      <c r="F57" s="2394" t="s">
        <v>2249</v>
      </c>
      <c r="G57" s="2392" t="s">
        <v>1014</v>
      </c>
      <c r="H57" s="2375" t="s">
        <v>2414</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61" t="s">
        <v>1030</v>
      </c>
      <c r="B58" s="2372">
        <f>估价对象房地状况!C17</f>
        <v>0</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14.25">
      <c r="A59" s="1061" t="s">
        <v>1021</v>
      </c>
      <c r="B59" s="2369" t="str">
        <f>估价对象房地状况!C18</f>
        <v>一般</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1022</v>
      </c>
      <c r="B60" s="2369">
        <f>估价对象房地状况!C19</f>
        <v>0</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1" t="s">
        <v>1023</v>
      </c>
      <c r="B61" s="3043" t="s">
        <v>2931</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1024</v>
      </c>
      <c r="B62" s="2369">
        <f>估价对象房地状况!C24</f>
        <v>0</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1" t="s">
        <v>1025</v>
      </c>
      <c r="B63" s="3042" t="s">
        <v>2929</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1026</v>
      </c>
      <c r="B64" s="2370" t="str">
        <f>估价对象房地状况!C21</f>
        <v>一般</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1027</v>
      </c>
      <c r="B65" s="2370" t="str">
        <f>估价对象房地状况!C22</f>
        <v>六通</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1028</v>
      </c>
      <c r="B66" s="2374" t="str">
        <f>估价对象房地状况!C20</f>
        <v>一般</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1008</v>
      </c>
      <c r="B68" s="2369"/>
      <c r="C68" s="2391" t="s">
        <v>1010</v>
      </c>
      <c r="D68" s="2392" t="s">
        <v>1011</v>
      </c>
      <c r="E68" s="2393" t="s">
        <v>1013</v>
      </c>
      <c r="F68" s="2394" t="s">
        <v>2250</v>
      </c>
      <c r="G68" s="2392" t="s">
        <v>1014</v>
      </c>
      <c r="H68" s="2375" t="s">
        <v>2414</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24">
      <c r="A69" s="1061" t="s">
        <v>1032</v>
      </c>
      <c r="B69" s="2372" t="str">
        <f>估价对象房地状况!C15</f>
        <v>一般</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14.25">
      <c r="A70" s="1061" t="s">
        <v>1033</v>
      </c>
      <c r="B70" s="2369" t="str">
        <f>估价对象房地状况!C18</f>
        <v>一般</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1022</v>
      </c>
      <c r="B71" s="2369">
        <f>估价对象房地状况!C19</f>
        <v>0</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1" t="s">
        <v>1034</v>
      </c>
      <c r="B72" s="2369">
        <f>估价对象房地状况!C24</f>
        <v>0</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1026</v>
      </c>
      <c r="B73" s="2370" t="str">
        <f>估价对象房地状况!C21</f>
        <v>一般</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1027</v>
      </c>
      <c r="B74" s="2370" t="str">
        <f>估价对象房地状况!C22</f>
        <v>六通</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1" t="s">
        <v>1025</v>
      </c>
      <c r="B75" s="3042" t="s">
        <v>2929</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1" t="s">
        <v>1028</v>
      </c>
      <c r="B76" s="2372" t="str">
        <f>估价对象房地状况!C20</f>
        <v>一般</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1036</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1008</v>
      </c>
      <c r="B79" s="2369"/>
      <c r="C79" s="2391" t="s">
        <v>1010</v>
      </c>
      <c r="D79" s="2392" t="s">
        <v>1011</v>
      </c>
      <c r="E79" s="2393" t="s">
        <v>1013</v>
      </c>
      <c r="F79" s="2394" t="s">
        <v>2251</v>
      </c>
      <c r="G79" s="2392" t="s">
        <v>1014</v>
      </c>
      <c r="H79" s="2375" t="s">
        <v>2414</v>
      </c>
      <c r="I79" s="2392" t="s">
        <v>1012</v>
      </c>
      <c r="J79" s="2395" t="s">
        <v>1015</v>
      </c>
      <c r="K79" s="2395" t="s">
        <v>1016</v>
      </c>
      <c r="L79" s="2395" t="s">
        <v>1017</v>
      </c>
      <c r="M79" s="2395" t="s">
        <v>1018</v>
      </c>
      <c r="N79" s="2395" t="s">
        <v>1019</v>
      </c>
      <c r="AC79" s="1398"/>
      <c r="AD79" s="1397"/>
      <c r="AJ79" s="1396"/>
      <c r="AN79" s="1397"/>
    </row>
    <row r="80" spans="1:40" ht="36">
      <c r="A80" s="1061" t="s">
        <v>1037</v>
      </c>
      <c r="B80" s="2369" t="str">
        <f>估价对象房地状况!G15</f>
        <v>估价对象位于XX开发区，园区建设成熟度XX，产业集聚程度XX</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1" t="s">
        <v>1033</v>
      </c>
      <c r="B81" s="2369" t="str">
        <f>估价对象房地状况!G16</f>
        <v>估价对象周边道路状况、公共交通通达情况、停车便捷程度，综合评价交通便捷度较好</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1022</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1" t="s">
        <v>1034</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1026</v>
      </c>
      <c r="B84" s="2370" t="str">
        <f>估价对象房地状况!G19</f>
        <v>估价对象所在区域公共配套设施齐备情况</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1027</v>
      </c>
      <c r="B85" s="2370" t="str">
        <f>估价对象房地状况!G20</f>
        <v>估价对象所在区域基础设施水平</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1" t="s">
        <v>1025</v>
      </c>
      <c r="B86" s="3042" t="s">
        <v>2929</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1038</v>
      </c>
      <c r="B87" s="2371" t="str">
        <f>估价对象房地状况!G18</f>
        <v>该园区内是否有污染型企业，绿化情况，卫生条件，整体环境状况判断</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532" t="s">
        <v>1633</v>
      </c>
      <c r="B90" s="3532"/>
      <c r="C90" s="3532"/>
      <c r="D90" s="3532"/>
      <c r="E90" s="3532"/>
      <c r="F90" s="3532"/>
      <c r="G90" s="3532"/>
      <c r="H90" s="3532"/>
      <c r="I90" s="3532"/>
      <c r="J90" s="3532"/>
      <c r="K90" s="2411"/>
      <c r="L90" s="2411"/>
      <c r="M90" s="2411"/>
      <c r="N90" s="2411"/>
    </row>
    <row r="91" spans="1:40">
      <c r="A91" s="3533" t="s">
        <v>1443</v>
      </c>
      <c r="B91" s="3533" t="s">
        <v>1634</v>
      </c>
      <c r="C91" s="1134" t="s">
        <v>1635</v>
      </c>
      <c r="D91" s="1135"/>
      <c r="E91" s="1135"/>
      <c r="F91" s="1135"/>
      <c r="G91" s="1135"/>
      <c r="H91" s="1135"/>
      <c r="I91" s="1135"/>
      <c r="J91" s="1136"/>
      <c r="K91" s="1128"/>
      <c r="L91" s="1128"/>
      <c r="M91" s="1128"/>
      <c r="N91" s="1128"/>
    </row>
    <row r="92" spans="1:40">
      <c r="A92" s="3533"/>
      <c r="B92" s="3533"/>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519" t="s">
        <v>2759</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20"/>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20"/>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20"/>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20"/>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20"/>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20"/>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21"/>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519" t="s">
        <v>1637</v>
      </c>
      <c r="B101" s="1141" t="s">
        <v>906</v>
      </c>
      <c r="C101" s="1142">
        <f>$G$3</f>
        <v>2.5</v>
      </c>
      <c r="D101" s="1142">
        <f t="shared" ref="D101:N101" si="31">$G$3</f>
        <v>2.5</v>
      </c>
      <c r="E101" s="1142">
        <f t="shared" si="31"/>
        <v>2.5</v>
      </c>
      <c r="F101" s="1142">
        <f t="shared" si="31"/>
        <v>2.5</v>
      </c>
      <c r="G101" s="1142">
        <f t="shared" si="31"/>
        <v>2.5</v>
      </c>
      <c r="H101" s="1142">
        <f t="shared" si="31"/>
        <v>2.5</v>
      </c>
      <c r="I101" s="1142">
        <f t="shared" si="31"/>
        <v>2.5</v>
      </c>
      <c r="J101" s="1142">
        <f t="shared" si="31"/>
        <v>2.5</v>
      </c>
      <c r="K101" s="1142">
        <f t="shared" si="31"/>
        <v>2.5</v>
      </c>
      <c r="L101" s="1142">
        <f t="shared" si="31"/>
        <v>2.5</v>
      </c>
      <c r="M101" s="1142">
        <f t="shared" si="31"/>
        <v>2.5</v>
      </c>
      <c r="N101" s="1142">
        <f t="shared" si="31"/>
        <v>2.5</v>
      </c>
    </row>
    <row r="102" spans="1:14">
      <c r="A102" s="3520"/>
      <c r="B102" s="1137">
        <v>1</v>
      </c>
      <c r="C102" s="1138">
        <f>1.9362/C101</f>
        <v>0.77447999999999995</v>
      </c>
      <c r="D102" s="1138">
        <f>1.9362/D101</f>
        <v>0.77447999999999995</v>
      </c>
      <c r="E102" s="1138">
        <f>1.8629/E101</f>
        <v>0.74516000000000004</v>
      </c>
      <c r="F102" s="1138">
        <f>1.8629/F101</f>
        <v>0.74516000000000004</v>
      </c>
      <c r="G102" s="1138">
        <f>1.8629/G101</f>
        <v>0.74516000000000004</v>
      </c>
      <c r="H102" s="1138">
        <f>1.8629/H101</f>
        <v>0.74516000000000004</v>
      </c>
      <c r="I102" s="1138">
        <f>1.8629/I101</f>
        <v>0.74516000000000004</v>
      </c>
      <c r="J102" s="1138">
        <f>1.942/J101</f>
        <v>0.77679999999999993</v>
      </c>
      <c r="K102" s="1138">
        <f>1.942/K101</f>
        <v>0.77679999999999993</v>
      </c>
      <c r="L102" s="1138">
        <f>1.942/L101</f>
        <v>0.77679999999999993</v>
      </c>
      <c r="M102" s="1138">
        <f>1.942/M101</f>
        <v>0.77679999999999993</v>
      </c>
      <c r="N102" s="1138">
        <f>1.942/N101</f>
        <v>0.77679999999999993</v>
      </c>
    </row>
    <row r="103" spans="1:14">
      <c r="A103" s="3520"/>
      <c r="B103" s="1137">
        <v>2</v>
      </c>
      <c r="C103" s="1138">
        <f>1.4198/C101</f>
        <v>0.56791999999999998</v>
      </c>
      <c r="D103" s="1138">
        <f>1.4198/D101</f>
        <v>0.56791999999999998</v>
      </c>
      <c r="E103" s="1138">
        <f>1.3372/E101</f>
        <v>0.53488000000000002</v>
      </c>
      <c r="F103" s="1138">
        <f>1.3372/F101</f>
        <v>0.53488000000000002</v>
      </c>
      <c r="G103" s="1138">
        <f>1.3372/G101</f>
        <v>0.53488000000000002</v>
      </c>
      <c r="H103" s="1138">
        <f>1.3372/H101</f>
        <v>0.53488000000000002</v>
      </c>
      <c r="I103" s="1138">
        <f>1.3372/I101</f>
        <v>0.53488000000000002</v>
      </c>
      <c r="J103" s="1138">
        <f>1.2799/J101</f>
        <v>0.51195999999999997</v>
      </c>
      <c r="K103" s="1138">
        <f>1.2799/K101</f>
        <v>0.51195999999999997</v>
      </c>
      <c r="L103" s="1138">
        <f>1.2799/L101</f>
        <v>0.51195999999999997</v>
      </c>
      <c r="M103" s="1138">
        <f>1.2799/M101</f>
        <v>0.51195999999999997</v>
      </c>
      <c r="N103" s="1138">
        <f>1.2799/N101</f>
        <v>0.51195999999999997</v>
      </c>
    </row>
    <row r="104" spans="1:14">
      <c r="A104" s="3520"/>
      <c r="B104" s="1137">
        <v>3</v>
      </c>
      <c r="C104" s="1138">
        <f>1.1594/C101</f>
        <v>0.46376000000000001</v>
      </c>
      <c r="D104" s="1138">
        <f>1.1594/D101</f>
        <v>0.46376000000000001</v>
      </c>
      <c r="E104" s="1138">
        <f>1.0788/E101</f>
        <v>0.43152000000000001</v>
      </c>
      <c r="F104" s="1138">
        <f>1.0788/F101</f>
        <v>0.43152000000000001</v>
      </c>
      <c r="G104" s="1138">
        <f>1.0788/G101</f>
        <v>0.43152000000000001</v>
      </c>
      <c r="H104" s="1138">
        <f>1.0788/H101</f>
        <v>0.43152000000000001</v>
      </c>
      <c r="I104" s="1138">
        <f>1.0788/I101</f>
        <v>0.43152000000000001</v>
      </c>
      <c r="J104" s="1138">
        <f>1.0072/J101</f>
        <v>0.40288000000000002</v>
      </c>
      <c r="K104" s="1138">
        <f>1.0072/K101</f>
        <v>0.40288000000000002</v>
      </c>
      <c r="L104" s="1138">
        <f>1.0072/L101</f>
        <v>0.40288000000000002</v>
      </c>
      <c r="M104" s="1138">
        <f>1.0072/M101</f>
        <v>0.40288000000000002</v>
      </c>
      <c r="N104" s="1138">
        <f>1.0072/N101</f>
        <v>0.40288000000000002</v>
      </c>
    </row>
    <row r="105" spans="1:14">
      <c r="A105" s="3520"/>
      <c r="B105" s="1137">
        <v>4</v>
      </c>
      <c r="C105" s="1138">
        <f>0.9622/C101</f>
        <v>0.38488</v>
      </c>
      <c r="D105" s="1138">
        <f>0.9622/D101</f>
        <v>0.38488</v>
      </c>
      <c r="E105" s="1138">
        <f>0.8656/E101</f>
        <v>0.34623999999999999</v>
      </c>
      <c r="F105" s="1138">
        <f>0.8656/F101</f>
        <v>0.34623999999999999</v>
      </c>
      <c r="G105" s="1138">
        <f>0.8656/G101</f>
        <v>0.34623999999999999</v>
      </c>
      <c r="H105" s="1138">
        <f>0.8656/H101</f>
        <v>0.34623999999999999</v>
      </c>
      <c r="I105" s="1138">
        <f>0.8656/I101</f>
        <v>0.34623999999999999</v>
      </c>
      <c r="J105" s="1138">
        <f>0.7525/J101</f>
        <v>0.30099999999999999</v>
      </c>
      <c r="K105" s="1138">
        <f>0.7525/K101</f>
        <v>0.30099999999999999</v>
      </c>
      <c r="L105" s="1138">
        <f>0.7525/L101</f>
        <v>0.30099999999999999</v>
      </c>
      <c r="M105" s="1138">
        <f>0.7525/M101</f>
        <v>0.30099999999999999</v>
      </c>
      <c r="N105" s="1138">
        <f>0.7525/N101</f>
        <v>0.30099999999999999</v>
      </c>
    </row>
    <row r="106" spans="1:14">
      <c r="A106" s="3520"/>
      <c r="B106" s="1137">
        <v>5</v>
      </c>
      <c r="C106" s="1138">
        <f>0.8417/C101</f>
        <v>0.33667999999999998</v>
      </c>
      <c r="D106" s="1138">
        <f>0.8417/D101</f>
        <v>0.33667999999999998</v>
      </c>
      <c r="E106" s="1138">
        <f>0.7371/E101</f>
        <v>0.29483999999999999</v>
      </c>
      <c r="F106" s="1138">
        <f>0.7371/F101</f>
        <v>0.29483999999999999</v>
      </c>
      <c r="G106" s="1138">
        <f>0.7371/G101</f>
        <v>0.29483999999999999</v>
      </c>
      <c r="H106" s="1138">
        <f>0.7371/H101</f>
        <v>0.29483999999999999</v>
      </c>
      <c r="I106" s="1138">
        <f>0.7371/I101</f>
        <v>0.29483999999999999</v>
      </c>
      <c r="J106" s="1138">
        <f>0.5659/J101</f>
        <v>0.22635999999999998</v>
      </c>
      <c r="K106" s="1138">
        <f>0.5659/K101</f>
        <v>0.22635999999999998</v>
      </c>
      <c r="L106" s="1138">
        <f>0.5659/L101</f>
        <v>0.22635999999999998</v>
      </c>
      <c r="M106" s="1138">
        <f>0.5659/M101</f>
        <v>0.22635999999999998</v>
      </c>
      <c r="N106" s="1138">
        <f>0.5659/N101</f>
        <v>0.22635999999999998</v>
      </c>
    </row>
    <row r="107" spans="1:14">
      <c r="A107" s="3520"/>
      <c r="B107" s="1137">
        <v>6</v>
      </c>
      <c r="C107" s="1138">
        <f>0.7608/C101</f>
        <v>0.30432000000000003</v>
      </c>
      <c r="D107" s="1138">
        <f>0.7608/D101</f>
        <v>0.30432000000000003</v>
      </c>
      <c r="E107" s="1138">
        <f>0.6482/E101</f>
        <v>0.25928000000000001</v>
      </c>
      <c r="F107" s="1138">
        <f>0.6482/F101</f>
        <v>0.25928000000000001</v>
      </c>
      <c r="G107" s="1138">
        <f>0.6482/G101</f>
        <v>0.25928000000000001</v>
      </c>
      <c r="H107" s="1138">
        <f>0.6482/H101</f>
        <v>0.25928000000000001</v>
      </c>
      <c r="I107" s="1138">
        <f>0.6482/I101</f>
        <v>0.25928000000000001</v>
      </c>
      <c r="J107" s="1138">
        <f>0.4525/J101</f>
        <v>0.18099999999999999</v>
      </c>
      <c r="K107" s="1138">
        <f>0.4525/K101</f>
        <v>0.18099999999999999</v>
      </c>
      <c r="L107" s="1138">
        <f>0.4525/L101</f>
        <v>0.18099999999999999</v>
      </c>
      <c r="M107" s="1138">
        <f>0.4525/M101</f>
        <v>0.18099999999999999</v>
      </c>
      <c r="N107" s="1138">
        <f>0.4525/N101</f>
        <v>0.18099999999999999</v>
      </c>
    </row>
    <row r="108" spans="1:14">
      <c r="A108" s="3520"/>
      <c r="B108" s="3522"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21"/>
      <c r="B109" s="3523"/>
      <c r="C109" s="1140">
        <f>(-0.163*(C108^2)-0.59*C108+7617)*(10^(-4))/C101</f>
        <v>0.30407392</v>
      </c>
      <c r="D109" s="1140">
        <f>(-0.163*(D108^2)-0.59*D108+7617)*(10^(-4))/D101</f>
        <v>0.30407392</v>
      </c>
      <c r="E109" s="1140">
        <f>(-0.161*(E108^2)-7.509*E108+6533)*(10^(-4))/E101</f>
        <v>0.25850496000000001</v>
      </c>
      <c r="F109" s="1140">
        <f>(-0.161*(F108^2)-7.509*F108+6533)*(10^(-4))/F101</f>
        <v>0.25850496000000001</v>
      </c>
      <c r="G109" s="1140">
        <f>(-0.161*(G108^2)-7.509*G108+6533)*(10^(-4))/G101</f>
        <v>0.25850496000000001</v>
      </c>
      <c r="H109" s="1140">
        <f>(-0.161*(H108^2)-7.509*H108+6533)*(10^(-4))/H101</f>
        <v>0.25850496000000001</v>
      </c>
      <c r="I109" s="1140">
        <f>(-0.161*(I108^2)-7.509*I108+6533)*(10^(-4))/I101</f>
        <v>0.25850496000000001</v>
      </c>
      <c r="J109" s="1140">
        <f>(-0.214*(J108^2)-21.991*J108+4665)*(10^(-4))/J101</f>
        <v>0.17901504000000001</v>
      </c>
      <c r="K109" s="1140">
        <f>(-0.214*(K108^2)-21.991*K108+4665)*(10^(-4))/K101</f>
        <v>0.17901504000000001</v>
      </c>
      <c r="L109" s="1140">
        <f>(-0.214*(L108^2)-21.991*L108+4665)*(10^(-4))/L101</f>
        <v>0.17901504000000001</v>
      </c>
      <c r="M109" s="1140">
        <f>(-0.214*(M108^2)-21.991*M108+4665)*(10^(-4))/M101</f>
        <v>0.17901504000000001</v>
      </c>
      <c r="N109" s="1140">
        <f>(-0.214*(N108^2)-21.991*N108+4665)*(10^(-4))/N101</f>
        <v>0.17901504000000001</v>
      </c>
    </row>
    <row r="110" spans="1:14">
      <c r="A110" s="3526" t="s">
        <v>1639</v>
      </c>
      <c r="B110" s="3526"/>
      <c r="C110" s="3526"/>
      <c r="D110" s="3526"/>
      <c r="E110" s="3526"/>
      <c r="F110" s="3526"/>
      <c r="G110" s="3526"/>
      <c r="H110" s="3526"/>
      <c r="I110" s="3526"/>
      <c r="J110" s="3526"/>
      <c r="K110" s="2409"/>
      <c r="L110" s="2409"/>
      <c r="M110" s="2409"/>
      <c r="N110" s="2409"/>
    </row>
    <row r="112" spans="1:14" ht="12.75" thickBot="1"/>
    <row r="113" spans="1:13" ht="25.5" thickBot="1">
      <c r="A113" s="1014" t="s">
        <v>896</v>
      </c>
      <c r="B113" s="2412">
        <f>G3</f>
        <v>2.5</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v>
      </c>
      <c r="C115" s="1028">
        <f>B115</f>
        <v>0.91</v>
      </c>
      <c r="D115" s="1028">
        <f>ROUND(0.8331-0.0109*B113,4)</f>
        <v>0.80589999999999995</v>
      </c>
      <c r="E115" s="1028">
        <f>D115</f>
        <v>0.80589999999999995</v>
      </c>
      <c r="F115" s="1028">
        <f>E115</f>
        <v>0.80589999999999995</v>
      </c>
      <c r="G115" s="1028">
        <f>F115</f>
        <v>0.80589999999999995</v>
      </c>
      <c r="H115" s="1028">
        <f>G115</f>
        <v>0.80589999999999995</v>
      </c>
      <c r="I115" s="1028">
        <f>ROUND(0.689-0.0155*B113,4)</f>
        <v>0.65029999999999999</v>
      </c>
      <c r="J115" s="1028">
        <f t="shared" ref="J115:M118" si="33">I115</f>
        <v>0.65029999999999999</v>
      </c>
      <c r="K115" s="1028">
        <f t="shared" si="33"/>
        <v>0.65029999999999999</v>
      </c>
      <c r="L115" s="1028">
        <f t="shared" si="33"/>
        <v>0.65029999999999999</v>
      </c>
      <c r="M115" s="1029">
        <f t="shared" si="33"/>
        <v>0.65029999999999999</v>
      </c>
    </row>
    <row r="116" spans="1:13" ht="12.75">
      <c r="A116" s="1027" t="s">
        <v>901</v>
      </c>
      <c r="B116" s="1028">
        <f>ROUND(0.949-0.012*B113,4)</f>
        <v>0.91900000000000004</v>
      </c>
      <c r="C116" s="1028">
        <f>B116</f>
        <v>0.91900000000000004</v>
      </c>
      <c r="D116" s="1028">
        <f>ROUND(0.8567-0.013*B113,4)</f>
        <v>0.82420000000000004</v>
      </c>
      <c r="E116" s="1028">
        <f t="shared" ref="E116:H117" si="34">D116</f>
        <v>0.82420000000000004</v>
      </c>
      <c r="F116" s="1028">
        <f t="shared" si="34"/>
        <v>0.82420000000000004</v>
      </c>
      <c r="G116" s="1028">
        <f t="shared" si="34"/>
        <v>0.82420000000000004</v>
      </c>
      <c r="H116" s="1028">
        <f t="shared" si="34"/>
        <v>0.82420000000000004</v>
      </c>
      <c r="I116" s="1028">
        <f>ROUND(0.7694-0.014*B113,4)</f>
        <v>0.73440000000000005</v>
      </c>
      <c r="J116" s="1028">
        <f t="shared" si="33"/>
        <v>0.73440000000000005</v>
      </c>
      <c r="K116" s="1028">
        <f t="shared" si="33"/>
        <v>0.73440000000000005</v>
      </c>
      <c r="L116" s="1028">
        <f t="shared" si="33"/>
        <v>0.73440000000000005</v>
      </c>
      <c r="M116" s="1029">
        <f t="shared" si="33"/>
        <v>0.73440000000000005</v>
      </c>
    </row>
    <row r="117" spans="1:13" ht="12.75">
      <c r="A117" s="1030" t="s">
        <v>902</v>
      </c>
      <c r="B117" s="1028">
        <f>ROUND(0.8808-0.006*B113,4)</f>
        <v>0.86580000000000001</v>
      </c>
      <c r="C117" s="1028">
        <f>B117</f>
        <v>0.86580000000000001</v>
      </c>
      <c r="D117" s="1028">
        <f>ROUND(0.8748-0.008*B113,4)</f>
        <v>0.8548</v>
      </c>
      <c r="E117" s="1028">
        <f t="shared" si="34"/>
        <v>0.8548</v>
      </c>
      <c r="F117" s="1028">
        <f t="shared" si="34"/>
        <v>0.8548</v>
      </c>
      <c r="G117" s="1028">
        <f t="shared" si="34"/>
        <v>0.8548</v>
      </c>
      <c r="H117" s="1028">
        <f t="shared" si="34"/>
        <v>0.8548</v>
      </c>
      <c r="I117" s="1028">
        <f>ROUND(0.7412-0.0095*B113,4)</f>
        <v>0.71750000000000003</v>
      </c>
      <c r="J117" s="1028">
        <f t="shared" si="33"/>
        <v>0.71750000000000003</v>
      </c>
      <c r="K117" s="1028">
        <f t="shared" si="33"/>
        <v>0.71750000000000003</v>
      </c>
      <c r="L117" s="1028">
        <f t="shared" si="33"/>
        <v>0.71750000000000003</v>
      </c>
      <c r="M117" s="1029">
        <f t="shared" si="33"/>
        <v>0.71750000000000003</v>
      </c>
    </row>
    <row r="118" spans="1:13" ht="13.5" thickBot="1">
      <c r="A118" s="1031" t="s">
        <v>903</v>
      </c>
      <c r="B118" s="1032">
        <f>ROUND(0.7275-0.01*B113,4)</f>
        <v>0.70250000000000001</v>
      </c>
      <c r="C118" s="1032">
        <f>B118</f>
        <v>0.70250000000000001</v>
      </c>
      <c r="D118" s="1032">
        <f>ROUND(0.7043-0.012*B113,4)</f>
        <v>0.67430000000000001</v>
      </c>
      <c r="E118" s="1032">
        <f>D118</f>
        <v>0.67430000000000001</v>
      </c>
      <c r="F118" s="1032">
        <f>E118</f>
        <v>0.67430000000000001</v>
      </c>
      <c r="G118" s="1032">
        <f>ROUND(0.6299-0.0122*B113,4)</f>
        <v>0.59940000000000004</v>
      </c>
      <c r="H118" s="1032">
        <f>G118</f>
        <v>0.59940000000000004</v>
      </c>
      <c r="I118" s="1032">
        <f>ROUND(0.5667-0.0136*B113,4)</f>
        <v>0.53269999999999995</v>
      </c>
      <c r="J118" s="1032">
        <f t="shared" si="33"/>
        <v>0.53269999999999995</v>
      </c>
      <c r="K118" s="1032">
        <f t="shared" si="33"/>
        <v>0.53269999999999995</v>
      </c>
      <c r="L118" s="1032">
        <f t="shared" si="33"/>
        <v>0.53269999999999995</v>
      </c>
      <c r="M118" s="1033">
        <f t="shared" si="33"/>
        <v>0.53269999999999995</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0" t="s">
        <v>2983</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1" customFormat="1" ht="19.5" customHeight="1">
      <c r="A18" s="3533" t="s">
        <v>1007</v>
      </c>
      <c r="B18" s="1148" t="s">
        <v>1446</v>
      </c>
      <c r="C18" s="1125" t="s">
        <v>1447</v>
      </c>
      <c r="D18" s="1126"/>
      <c r="E18" s="1148">
        <v>1</v>
      </c>
      <c r="F18" s="1127" t="s">
        <v>1448</v>
      </c>
      <c r="G18" s="1128"/>
      <c r="H18" s="1099"/>
      <c r="I18" s="1099"/>
    </row>
    <row r="19" spans="1:9" s="1581" customFormat="1" ht="19.5" customHeight="1">
      <c r="A19" s="3533"/>
      <c r="B19" s="3533" t="s">
        <v>1449</v>
      </c>
      <c r="C19" s="1125" t="s">
        <v>1450</v>
      </c>
      <c r="D19" s="1126"/>
      <c r="E19" s="1148">
        <v>0.9</v>
      </c>
      <c r="F19" s="1127" t="s">
        <v>1451</v>
      </c>
      <c r="G19" s="1128"/>
      <c r="H19" s="1099"/>
      <c r="I19" s="1099"/>
    </row>
    <row r="20" spans="1:9" s="1581" customFormat="1" ht="19.5" customHeight="1">
      <c r="A20" s="3533"/>
      <c r="B20" s="3533"/>
      <c r="C20" s="1125" t="s">
        <v>1452</v>
      </c>
      <c r="D20" s="1126"/>
      <c r="E20" s="1148">
        <v>1.1000000000000001</v>
      </c>
      <c r="F20" s="1127" t="s">
        <v>1453</v>
      </c>
      <c r="G20" s="1128"/>
      <c r="H20" s="1099"/>
      <c r="I20" s="1099"/>
    </row>
    <row r="21" spans="1:9" s="1581" customFormat="1" ht="19.5" customHeight="1">
      <c r="A21" s="3533"/>
      <c r="B21" s="3533"/>
      <c r="C21" s="1125" t="s">
        <v>1454</v>
      </c>
      <c r="D21" s="1126"/>
      <c r="E21" s="1148">
        <v>0.8</v>
      </c>
      <c r="F21" s="1127" t="s">
        <v>1455</v>
      </c>
      <c r="G21" s="1128"/>
      <c r="H21" s="1099"/>
      <c r="I21" s="1099"/>
    </row>
    <row r="22" spans="1:9" s="1581" customFormat="1" ht="19.5" customHeight="1">
      <c r="A22" s="3533"/>
      <c r="B22" s="3533"/>
      <c r="C22" s="1125" t="s">
        <v>1456</v>
      </c>
      <c r="D22" s="1126"/>
      <c r="E22" s="1148">
        <v>0.5</v>
      </c>
      <c r="F22" s="1127"/>
      <c r="G22" s="1128"/>
      <c r="H22" s="1099"/>
      <c r="I22" s="1099"/>
    </row>
    <row r="23" spans="1:9" s="1581" customFormat="1" ht="19.5" customHeight="1">
      <c r="A23" s="3533" t="s">
        <v>1029</v>
      </c>
      <c r="B23" s="1148" t="s">
        <v>1446</v>
      </c>
      <c r="C23" s="1125" t="s">
        <v>1457</v>
      </c>
      <c r="D23" s="1126"/>
      <c r="E23" s="1148">
        <v>1</v>
      </c>
      <c r="F23" s="1127" t="s">
        <v>1458</v>
      </c>
      <c r="G23" s="1128"/>
      <c r="H23" s="1099"/>
      <c r="I23" s="1099"/>
    </row>
    <row r="24" spans="1:9" s="1581" customFormat="1" ht="19.5" customHeight="1">
      <c r="A24" s="3533"/>
      <c r="B24" s="3533" t="s">
        <v>1449</v>
      </c>
      <c r="C24" s="1125" t="s">
        <v>1459</v>
      </c>
      <c r="D24" s="1126"/>
      <c r="E24" s="1148">
        <v>0.5</v>
      </c>
      <c r="F24" s="1127"/>
      <c r="G24" s="1128"/>
      <c r="H24" s="1099"/>
      <c r="I24" s="1099"/>
    </row>
    <row r="25" spans="1:9" s="1581" customFormat="1" ht="19.5" customHeight="1">
      <c r="A25" s="3533"/>
      <c r="B25" s="3533"/>
      <c r="C25" s="1125" t="s">
        <v>1460</v>
      </c>
      <c r="D25" s="1126"/>
      <c r="E25" s="1148">
        <v>1.1000000000000001</v>
      </c>
      <c r="F25" s="1127"/>
      <c r="G25" s="1128"/>
      <c r="H25" s="1099"/>
      <c r="I25" s="1099"/>
    </row>
    <row r="26" spans="1:9" s="1581" customFormat="1" ht="19.5" customHeight="1">
      <c r="A26" s="3533"/>
      <c r="B26" s="3533"/>
      <c r="C26" s="1125" t="s">
        <v>1461</v>
      </c>
      <c r="D26" s="1126"/>
      <c r="E26" s="1148">
        <v>1.1000000000000001</v>
      </c>
      <c r="F26" s="1127"/>
      <c r="G26" s="1128"/>
      <c r="H26" s="1099"/>
      <c r="I26" s="1099"/>
    </row>
    <row r="27" spans="1:9" s="1581" customFormat="1" ht="19.5" customHeight="1">
      <c r="A27" s="3533"/>
      <c r="B27" s="3533"/>
      <c r="C27" s="1125" t="s">
        <v>1462</v>
      </c>
      <c r="D27" s="1126"/>
      <c r="E27" s="1148">
        <v>0.9</v>
      </c>
      <c r="F27" s="1127" t="s">
        <v>1463</v>
      </c>
      <c r="G27" s="1128"/>
      <c r="H27" s="1099"/>
      <c r="I27" s="1099"/>
    </row>
    <row r="28" spans="1:9" s="1581" customFormat="1" ht="19.5" customHeight="1">
      <c r="A28" s="3533"/>
      <c r="B28" s="3533"/>
      <c r="C28" s="1125" t="s">
        <v>1464</v>
      </c>
      <c r="D28" s="1126"/>
      <c r="E28" s="1148">
        <v>0.9</v>
      </c>
      <c r="F28" s="1127" t="s">
        <v>1465</v>
      </c>
      <c r="G28" s="1128"/>
      <c r="H28" s="1099"/>
      <c r="I28" s="1099"/>
    </row>
    <row r="29" spans="1:9" s="1581" customFormat="1" ht="19.5" customHeight="1">
      <c r="A29" s="3533"/>
      <c r="B29" s="3533"/>
      <c r="C29" s="1125" t="s">
        <v>1466</v>
      </c>
      <c r="D29" s="1126"/>
      <c r="E29" s="1148">
        <v>0.9</v>
      </c>
      <c r="F29" s="1127" t="s">
        <v>1467</v>
      </c>
      <c r="G29" s="1128"/>
      <c r="H29" s="1099"/>
      <c r="I29" s="1099"/>
    </row>
    <row r="30" spans="1:9" s="1581" customFormat="1" ht="19.5" customHeight="1">
      <c r="A30" s="3533"/>
      <c r="B30" s="3533"/>
      <c r="C30" s="1125" t="s">
        <v>1468</v>
      </c>
      <c r="D30" s="1126"/>
      <c r="E30" s="1148">
        <v>0.9</v>
      </c>
      <c r="F30" s="1127" t="s">
        <v>1469</v>
      </c>
      <c r="G30" s="1128"/>
      <c r="H30" s="1099"/>
      <c r="I30" s="1099"/>
    </row>
    <row r="31" spans="1:9" s="1581" customFormat="1" ht="19.5" customHeight="1">
      <c r="A31" s="3533"/>
      <c r="B31" s="3533"/>
      <c r="C31" s="1125" t="s">
        <v>1470</v>
      </c>
      <c r="D31" s="1126"/>
      <c r="E31" s="1148">
        <v>0.8</v>
      </c>
      <c r="F31" s="1127" t="s">
        <v>1471</v>
      </c>
      <c r="G31" s="1128"/>
      <c r="H31" s="1099"/>
      <c r="I31" s="1099"/>
    </row>
    <row r="32" spans="1:9" s="1581" customFormat="1" ht="19.5" customHeight="1">
      <c r="A32" s="3533"/>
      <c r="B32" s="3533"/>
      <c r="C32" s="1125" t="s">
        <v>1472</v>
      </c>
      <c r="D32" s="1126"/>
      <c r="E32" s="1148">
        <v>0.8</v>
      </c>
      <c r="F32" s="1127" t="s">
        <v>1473</v>
      </c>
      <c r="G32" s="1128"/>
      <c r="H32" s="1099"/>
      <c r="I32" s="1099"/>
    </row>
    <row r="33" spans="1:9" s="1581" customFormat="1" ht="19.5" customHeight="1">
      <c r="A33" s="3533" t="s">
        <v>1474</v>
      </c>
      <c r="B33" s="1148" t="s">
        <v>1446</v>
      </c>
      <c r="C33" s="1125" t="s">
        <v>1475</v>
      </c>
      <c r="D33" s="1126"/>
      <c r="E33" s="1148">
        <v>1</v>
      </c>
      <c r="F33" s="1127" t="s">
        <v>1476</v>
      </c>
      <c r="G33" s="1128"/>
      <c r="H33" s="1099"/>
      <c r="I33" s="1099"/>
    </row>
    <row r="34" spans="1:9" s="1581" customFormat="1" ht="19.5" customHeight="1">
      <c r="A34" s="3533"/>
      <c r="B34" s="1148" t="s">
        <v>1449</v>
      </c>
      <c r="C34" s="1125" t="s">
        <v>1477</v>
      </c>
      <c r="D34" s="1126"/>
      <c r="E34" s="1148">
        <v>1.5</v>
      </c>
      <c r="F34" s="1127" t="s">
        <v>1478</v>
      </c>
      <c r="G34" s="1128"/>
      <c r="H34" s="1099"/>
      <c r="I34" s="1099"/>
    </row>
    <row r="35" spans="1:9" s="1581" customFormat="1" ht="19.5" customHeight="1">
      <c r="A35" s="3533" t="s">
        <v>1432</v>
      </c>
      <c r="B35" s="1148" t="s">
        <v>1446</v>
      </c>
      <c r="C35" s="1125" t="s">
        <v>1479</v>
      </c>
      <c r="D35" s="1126"/>
      <c r="E35" s="1148">
        <v>1</v>
      </c>
      <c r="F35" s="1127" t="s">
        <v>1480</v>
      </c>
      <c r="G35" s="1128"/>
      <c r="H35" s="1099"/>
      <c r="I35" s="1099"/>
    </row>
    <row r="36" spans="1:9" s="1581" customFormat="1" ht="19.5" customHeight="1">
      <c r="A36" s="3533"/>
      <c r="B36" s="3533" t="s">
        <v>1449</v>
      </c>
      <c r="C36" s="1125" t="s">
        <v>1481</v>
      </c>
      <c r="D36" s="1126"/>
      <c r="E36" s="1148">
        <v>1</v>
      </c>
      <c r="F36" s="1127" t="s">
        <v>1482</v>
      </c>
      <c r="G36" s="1128"/>
      <c r="H36" s="1099"/>
      <c r="I36" s="1099"/>
    </row>
    <row r="37" spans="1:9" s="1581" customFormat="1" ht="19.5" customHeight="1">
      <c r="A37" s="3533"/>
      <c r="B37" s="3533"/>
      <c r="C37" s="1125" t="s">
        <v>1483</v>
      </c>
      <c r="D37" s="1126"/>
      <c r="E37" s="1148">
        <v>1.5</v>
      </c>
      <c r="F37" s="1127" t="s">
        <v>1484</v>
      </c>
      <c r="G37" s="1128"/>
      <c r="H37" s="1099"/>
      <c r="I37" s="1099"/>
    </row>
    <row r="38" spans="1:9" s="1581" customFormat="1" ht="19.5" customHeight="1">
      <c r="A38" s="3533"/>
      <c r="B38" s="3533"/>
      <c r="C38" s="1125" t="s">
        <v>1485</v>
      </c>
      <c r="D38" s="1126"/>
      <c r="E38" s="1148">
        <v>1</v>
      </c>
      <c r="F38" s="1127" t="s">
        <v>1486</v>
      </c>
      <c r="G38" s="1128"/>
      <c r="H38" s="1099"/>
      <c r="I38" s="1099"/>
    </row>
    <row r="39" spans="1:9" s="1581" customFormat="1" ht="19.5" customHeight="1">
      <c r="A39" s="3533"/>
      <c r="B39" s="3533"/>
      <c r="C39" s="1125" t="s">
        <v>1487</v>
      </c>
      <c r="D39" s="1126"/>
      <c r="E39" s="1148">
        <v>1</v>
      </c>
      <c r="F39" s="1127" t="s">
        <v>1488</v>
      </c>
      <c r="G39" s="1128"/>
      <c r="H39" s="1099"/>
      <c r="I39" s="1099"/>
    </row>
    <row r="40" spans="1:9" s="1581" customFormat="1" ht="19.5" customHeight="1">
      <c r="A40" s="1582" t="s">
        <v>1489</v>
      </c>
      <c r="B40" s="1582"/>
      <c r="C40" s="1582"/>
      <c r="D40" s="1582"/>
      <c r="E40" s="1582"/>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533" t="s">
        <v>1501</v>
      </c>
      <c r="C61" s="1062" t="s">
        <v>1502</v>
      </c>
      <c r="D61" s="1062" t="s">
        <v>1503</v>
      </c>
      <c r="E61" s="1133">
        <v>0.5</v>
      </c>
      <c r="F61" s="1148">
        <v>80</v>
      </c>
      <c r="H61" s="1099">
        <f>SUMIF(C59:C119,基准地价!C8,E59:E119)</f>
        <v>0</v>
      </c>
    </row>
    <row r="62" spans="1:8" s="1099" customFormat="1" ht="24">
      <c r="A62" s="1148">
        <v>2</v>
      </c>
      <c r="B62" s="3533"/>
      <c r="C62" s="1062" t="s">
        <v>1504</v>
      </c>
      <c r="D62" s="1062" t="s">
        <v>1505</v>
      </c>
      <c r="E62" s="1133">
        <v>0.5</v>
      </c>
      <c r="F62" s="1148">
        <v>80</v>
      </c>
    </row>
    <row r="63" spans="1:8" s="1099" customFormat="1" ht="36">
      <c r="A63" s="1148">
        <v>3</v>
      </c>
      <c r="B63" s="3533"/>
      <c r="C63" s="1062" t="s">
        <v>1506</v>
      </c>
      <c r="D63" s="1062" t="s">
        <v>1507</v>
      </c>
      <c r="E63" s="1133">
        <v>0.5</v>
      </c>
      <c r="F63" s="1148">
        <v>80</v>
      </c>
    </row>
    <row r="64" spans="1:8" s="1099" customFormat="1" ht="36">
      <c r="A64" s="1148">
        <v>4</v>
      </c>
      <c r="B64" s="3533"/>
      <c r="C64" s="1062" t="s">
        <v>1508</v>
      </c>
      <c r="D64" s="1062" t="s">
        <v>1509</v>
      </c>
      <c r="E64" s="1133">
        <v>0.4</v>
      </c>
      <c r="F64" s="1148">
        <v>60</v>
      </c>
    </row>
    <row r="65" spans="1:6" s="1099" customFormat="1" ht="36">
      <c r="A65" s="1148">
        <v>5</v>
      </c>
      <c r="B65" s="3533"/>
      <c r="C65" s="1062" t="s">
        <v>1510</v>
      </c>
      <c r="D65" s="1062" t="s">
        <v>1511</v>
      </c>
      <c r="E65" s="1133">
        <v>0.2</v>
      </c>
      <c r="F65" s="1148">
        <v>30</v>
      </c>
    </row>
    <row r="66" spans="1:6" s="1099" customFormat="1" ht="36">
      <c r="A66" s="1148">
        <v>6</v>
      </c>
      <c r="B66" s="3533"/>
      <c r="C66" s="1062" t="s">
        <v>1512</v>
      </c>
      <c r="D66" s="1062" t="s">
        <v>1513</v>
      </c>
      <c r="E66" s="1133">
        <v>0.3</v>
      </c>
      <c r="F66" s="1148">
        <v>50</v>
      </c>
    </row>
    <row r="67" spans="1:6" s="1099" customFormat="1" ht="36">
      <c r="A67" s="1148">
        <v>7</v>
      </c>
      <c r="B67" s="3533"/>
      <c r="C67" s="1062" t="s">
        <v>1514</v>
      </c>
      <c r="D67" s="1062" t="s">
        <v>1515</v>
      </c>
      <c r="E67" s="1133">
        <v>0.2</v>
      </c>
      <c r="F67" s="1148">
        <v>30</v>
      </c>
    </row>
    <row r="68" spans="1:6" s="1099" customFormat="1" ht="36">
      <c r="A68" s="1148">
        <v>8</v>
      </c>
      <c r="B68" s="3533"/>
      <c r="C68" s="1062" t="s">
        <v>1516</v>
      </c>
      <c r="D68" s="1062" t="s">
        <v>1517</v>
      </c>
      <c r="E68" s="1133">
        <v>0.2</v>
      </c>
      <c r="F68" s="1148">
        <v>30</v>
      </c>
    </row>
    <row r="69" spans="1:6" s="1099" customFormat="1" ht="36">
      <c r="A69" s="1148">
        <v>9</v>
      </c>
      <c r="B69" s="3533"/>
      <c r="C69" s="1062" t="s">
        <v>1518</v>
      </c>
      <c r="D69" s="1062" t="s">
        <v>1519</v>
      </c>
      <c r="E69" s="1133">
        <v>0.2</v>
      </c>
      <c r="F69" s="1148">
        <v>30</v>
      </c>
    </row>
    <row r="70" spans="1:6" s="1099" customFormat="1" ht="48">
      <c r="A70" s="1148">
        <v>10</v>
      </c>
      <c r="B70" s="3533"/>
      <c r="C70" s="1062" t="s">
        <v>1520</v>
      </c>
      <c r="D70" s="1062" t="s">
        <v>1521</v>
      </c>
      <c r="E70" s="1133">
        <v>0.2</v>
      </c>
      <c r="F70" s="1148">
        <v>30</v>
      </c>
    </row>
    <row r="71" spans="1:6" s="1099" customFormat="1" ht="48">
      <c r="A71" s="1148">
        <v>11</v>
      </c>
      <c r="B71" s="3533"/>
      <c r="C71" s="1062" t="s">
        <v>1522</v>
      </c>
      <c r="D71" s="1062" t="s">
        <v>1523</v>
      </c>
      <c r="E71" s="1133">
        <v>0.2</v>
      </c>
      <c r="F71" s="1148">
        <v>30</v>
      </c>
    </row>
    <row r="72" spans="1:6" s="1099" customFormat="1" ht="36">
      <c r="A72" s="1148">
        <v>12</v>
      </c>
      <c r="B72" s="3533"/>
      <c r="C72" s="1062" t="s">
        <v>1524</v>
      </c>
      <c r="D72" s="1062" t="s">
        <v>1525</v>
      </c>
      <c r="E72" s="1133">
        <v>0.5</v>
      </c>
      <c r="F72" s="1148">
        <v>80</v>
      </c>
    </row>
    <row r="73" spans="1:6" s="1099" customFormat="1" ht="24">
      <c r="A73" s="1148">
        <v>13</v>
      </c>
      <c r="B73" s="3533"/>
      <c r="C73" s="1062" t="s">
        <v>1526</v>
      </c>
      <c r="D73" s="1062" t="s">
        <v>1527</v>
      </c>
      <c r="E73" s="1133">
        <v>0.4</v>
      </c>
      <c r="F73" s="1148">
        <v>60</v>
      </c>
    </row>
    <row r="74" spans="1:6" s="1099" customFormat="1" ht="24">
      <c r="A74" s="1148">
        <v>14</v>
      </c>
      <c r="B74" s="3533"/>
      <c r="C74" s="1062" t="s">
        <v>1528</v>
      </c>
      <c r="D74" s="1062" t="s">
        <v>1529</v>
      </c>
      <c r="E74" s="1133">
        <v>0.2</v>
      </c>
      <c r="F74" s="1148">
        <v>30</v>
      </c>
    </row>
    <row r="75" spans="1:6" s="1099" customFormat="1" ht="24">
      <c r="A75" s="1148">
        <v>15</v>
      </c>
      <c r="B75" s="3533"/>
      <c r="C75" s="1062" t="s">
        <v>1530</v>
      </c>
      <c r="D75" s="1062" t="s">
        <v>1531</v>
      </c>
      <c r="E75" s="1133">
        <v>0.2</v>
      </c>
      <c r="F75" s="1148">
        <v>30</v>
      </c>
    </row>
    <row r="76" spans="1:6" s="1099" customFormat="1" ht="24">
      <c r="A76" s="1148">
        <v>16</v>
      </c>
      <c r="B76" s="3533" t="s">
        <v>1532</v>
      </c>
      <c r="C76" s="1062" t="s">
        <v>1533</v>
      </c>
      <c r="D76" s="1062" t="s">
        <v>1534</v>
      </c>
      <c r="E76" s="1133">
        <v>0.5</v>
      </c>
      <c r="F76" s="1148">
        <v>80</v>
      </c>
    </row>
    <row r="77" spans="1:6" s="1099" customFormat="1" ht="24">
      <c r="A77" s="1148">
        <v>17</v>
      </c>
      <c r="B77" s="3533"/>
      <c r="C77" s="1062" t="s">
        <v>1535</v>
      </c>
      <c r="D77" s="1062" t="s">
        <v>1536</v>
      </c>
      <c r="E77" s="1133">
        <v>0.5</v>
      </c>
      <c r="F77" s="1148">
        <v>80</v>
      </c>
    </row>
    <row r="78" spans="1:6" s="1099" customFormat="1" ht="24">
      <c r="A78" s="1148">
        <v>18</v>
      </c>
      <c r="B78" s="3533"/>
      <c r="C78" s="1062" t="s">
        <v>1537</v>
      </c>
      <c r="D78" s="1062" t="s">
        <v>1538</v>
      </c>
      <c r="E78" s="1133">
        <v>0.2</v>
      </c>
      <c r="F78" s="1148">
        <v>30</v>
      </c>
    </row>
    <row r="79" spans="1:6" s="1099" customFormat="1" ht="24">
      <c r="A79" s="1148">
        <v>19</v>
      </c>
      <c r="B79" s="3533"/>
      <c r="C79" s="1062" t="s">
        <v>1539</v>
      </c>
      <c r="D79" s="1062" t="s">
        <v>1540</v>
      </c>
      <c r="E79" s="1133">
        <v>0.5</v>
      </c>
      <c r="F79" s="1148">
        <v>80</v>
      </c>
    </row>
    <row r="80" spans="1:6" s="1099" customFormat="1" ht="36">
      <c r="A80" s="1148">
        <v>20</v>
      </c>
      <c r="B80" s="3533"/>
      <c r="C80" s="1062" t="s">
        <v>1541</v>
      </c>
      <c r="D80" s="1062" t="s">
        <v>1542</v>
      </c>
      <c r="E80" s="1133">
        <v>0.2</v>
      </c>
      <c r="F80" s="1148">
        <v>30</v>
      </c>
    </row>
    <row r="81" spans="1:6" s="1099" customFormat="1" ht="36">
      <c r="A81" s="1148">
        <v>21</v>
      </c>
      <c r="B81" s="3533"/>
      <c r="C81" s="1062" t="s">
        <v>1543</v>
      </c>
      <c r="D81" s="1062" t="s">
        <v>1544</v>
      </c>
      <c r="E81" s="1133">
        <v>0.2</v>
      </c>
      <c r="F81" s="1148">
        <v>30</v>
      </c>
    </row>
    <row r="82" spans="1:6" s="1099" customFormat="1" ht="48">
      <c r="A82" s="1148">
        <v>22</v>
      </c>
      <c r="B82" s="3533"/>
      <c r="C82" s="1062" t="s">
        <v>1545</v>
      </c>
      <c r="D82" s="1062" t="s">
        <v>1546</v>
      </c>
      <c r="E82" s="1133">
        <v>0.2</v>
      </c>
      <c r="F82" s="1148">
        <v>30</v>
      </c>
    </row>
    <row r="83" spans="1:6" s="1099" customFormat="1" ht="48">
      <c r="A83" s="1148">
        <v>23</v>
      </c>
      <c r="B83" s="3533"/>
      <c r="C83" s="1062" t="s">
        <v>1547</v>
      </c>
      <c r="D83" s="1062" t="s">
        <v>1548</v>
      </c>
      <c r="E83" s="1133">
        <v>0.2</v>
      </c>
      <c r="F83" s="1148">
        <v>30</v>
      </c>
    </row>
    <row r="84" spans="1:6" s="1099" customFormat="1" ht="36">
      <c r="A84" s="1148">
        <v>24</v>
      </c>
      <c r="B84" s="3533"/>
      <c r="C84" s="1062" t="s">
        <v>1549</v>
      </c>
      <c r="D84" s="1062" t="s">
        <v>1550</v>
      </c>
      <c r="E84" s="1133">
        <v>0.2</v>
      </c>
      <c r="F84" s="1148">
        <v>30</v>
      </c>
    </row>
    <row r="85" spans="1:6" s="1099" customFormat="1" ht="36">
      <c r="A85" s="1148">
        <v>25</v>
      </c>
      <c r="B85" s="3533"/>
      <c r="C85" s="1062" t="s">
        <v>1551</v>
      </c>
      <c r="D85" s="1062" t="s">
        <v>1552</v>
      </c>
      <c r="E85" s="1133">
        <v>0.5</v>
      </c>
      <c r="F85" s="1148">
        <v>80</v>
      </c>
    </row>
    <row r="86" spans="1:6" s="1099" customFormat="1" ht="36">
      <c r="A86" s="1148">
        <v>26</v>
      </c>
      <c r="B86" s="3533"/>
      <c r="C86" s="1062" t="s">
        <v>1553</v>
      </c>
      <c r="D86" s="1062" t="s">
        <v>1554</v>
      </c>
      <c r="E86" s="1133">
        <v>0.2</v>
      </c>
      <c r="F86" s="1148">
        <v>30</v>
      </c>
    </row>
    <row r="87" spans="1:6" s="1099" customFormat="1" ht="36">
      <c r="A87" s="1148">
        <v>27</v>
      </c>
      <c r="B87" s="3533"/>
      <c r="C87" s="1062" t="s">
        <v>1555</v>
      </c>
      <c r="D87" s="1062" t="s">
        <v>1556</v>
      </c>
      <c r="E87" s="1133">
        <v>0.2</v>
      </c>
      <c r="F87" s="1148">
        <v>30</v>
      </c>
    </row>
    <row r="88" spans="1:6" s="1099" customFormat="1" ht="36">
      <c r="A88" s="1148">
        <v>28</v>
      </c>
      <c r="B88" s="3533"/>
      <c r="C88" s="1062" t="s">
        <v>1557</v>
      </c>
      <c r="D88" s="1062" t="s">
        <v>1558</v>
      </c>
      <c r="E88" s="1133">
        <v>0.2</v>
      </c>
      <c r="F88" s="1148">
        <v>30</v>
      </c>
    </row>
    <row r="89" spans="1:6" s="1099" customFormat="1" ht="24">
      <c r="A89" s="1148">
        <v>29</v>
      </c>
      <c r="B89" s="3533"/>
      <c r="C89" s="1062" t="s">
        <v>1559</v>
      </c>
      <c r="D89" s="1062" t="s">
        <v>1560</v>
      </c>
      <c r="E89" s="1133">
        <v>0.2</v>
      </c>
      <c r="F89" s="1148">
        <v>30</v>
      </c>
    </row>
    <row r="90" spans="1:6" s="1099" customFormat="1" ht="24">
      <c r="A90" s="1148">
        <v>30</v>
      </c>
      <c r="B90" s="3533"/>
      <c r="C90" s="1062" t="s">
        <v>1561</v>
      </c>
      <c r="D90" s="1062" t="s">
        <v>1562</v>
      </c>
      <c r="E90" s="1133">
        <v>0.2</v>
      </c>
      <c r="F90" s="1148">
        <v>30</v>
      </c>
    </row>
    <row r="91" spans="1:6" s="1099" customFormat="1" ht="36">
      <c r="A91" s="1148">
        <v>31</v>
      </c>
      <c r="B91" s="3533"/>
      <c r="C91" s="1062" t="s">
        <v>1563</v>
      </c>
      <c r="D91" s="1062" t="s">
        <v>1564</v>
      </c>
      <c r="E91" s="1133">
        <v>0.2</v>
      </c>
      <c r="F91" s="1148">
        <v>30</v>
      </c>
    </row>
    <row r="92" spans="1:6" s="1099" customFormat="1" ht="24">
      <c r="A92" s="1148">
        <v>32</v>
      </c>
      <c r="B92" s="3533" t="s">
        <v>1565</v>
      </c>
      <c r="C92" s="1148" t="s">
        <v>1566</v>
      </c>
      <c r="D92" s="1062" t="s">
        <v>1567</v>
      </c>
      <c r="E92" s="1133">
        <v>0.2</v>
      </c>
      <c r="F92" s="1148">
        <v>30</v>
      </c>
    </row>
    <row r="93" spans="1:6" s="1099" customFormat="1" ht="36">
      <c r="A93" s="1148">
        <v>33</v>
      </c>
      <c r="B93" s="3533"/>
      <c r="C93" s="1148" t="s">
        <v>1568</v>
      </c>
      <c r="D93" s="1062" t="s">
        <v>1569</v>
      </c>
      <c r="E93" s="1133">
        <v>0.2</v>
      </c>
      <c r="F93" s="1148">
        <v>30</v>
      </c>
    </row>
    <row r="94" spans="1:6" s="1099" customFormat="1" ht="48">
      <c r="A94" s="1148">
        <v>34</v>
      </c>
      <c r="B94" s="3533"/>
      <c r="C94" s="1148" t="s">
        <v>1570</v>
      </c>
      <c r="D94" s="1062" t="s">
        <v>1571</v>
      </c>
      <c r="E94" s="1133">
        <v>0.2</v>
      </c>
      <c r="F94" s="1148">
        <v>30</v>
      </c>
    </row>
    <row r="95" spans="1:6" s="1099" customFormat="1" ht="36">
      <c r="A95" s="1148">
        <v>35</v>
      </c>
      <c r="B95" s="3533"/>
      <c r="C95" s="1148" t="s">
        <v>1572</v>
      </c>
      <c r="D95" s="1062" t="s">
        <v>1573</v>
      </c>
      <c r="E95" s="1133">
        <v>0.2</v>
      </c>
      <c r="F95" s="1148">
        <v>30</v>
      </c>
    </row>
    <row r="96" spans="1:6" s="1099" customFormat="1" ht="48">
      <c r="A96" s="1148">
        <v>36</v>
      </c>
      <c r="B96" s="3533"/>
      <c r="C96" s="1062" t="s">
        <v>1574</v>
      </c>
      <c r="D96" s="1062" t="s">
        <v>1575</v>
      </c>
      <c r="E96" s="1133">
        <v>0.2</v>
      </c>
      <c r="F96" s="1148">
        <v>30</v>
      </c>
    </row>
    <row r="97" spans="1:6" s="1099" customFormat="1" ht="36">
      <c r="A97" s="1148">
        <v>37</v>
      </c>
      <c r="B97" s="3533"/>
      <c r="C97" s="1148" t="s">
        <v>1576</v>
      </c>
      <c r="D97" s="1062" t="s">
        <v>1577</v>
      </c>
      <c r="E97" s="1133">
        <v>0.2</v>
      </c>
      <c r="F97" s="1148">
        <v>30</v>
      </c>
    </row>
    <row r="98" spans="1:6" s="1099" customFormat="1" ht="36">
      <c r="A98" s="1148">
        <v>38</v>
      </c>
      <c r="B98" s="3533"/>
      <c r="C98" s="1148" t="s">
        <v>1578</v>
      </c>
      <c r="D98" s="1062" t="s">
        <v>1579</v>
      </c>
      <c r="E98" s="1133">
        <v>0.2</v>
      </c>
      <c r="F98" s="1148">
        <v>30</v>
      </c>
    </row>
    <row r="99" spans="1:6" s="1099" customFormat="1" ht="36">
      <c r="A99" s="1148">
        <v>39</v>
      </c>
      <c r="B99" s="3533" t="s">
        <v>1580</v>
      </c>
      <c r="C99" s="1148" t="s">
        <v>1581</v>
      </c>
      <c r="D99" s="1062" t="s">
        <v>1582</v>
      </c>
      <c r="E99" s="1133">
        <v>0.3</v>
      </c>
      <c r="F99" s="1148">
        <v>50</v>
      </c>
    </row>
    <row r="100" spans="1:6" s="1099" customFormat="1" ht="24">
      <c r="A100" s="1148">
        <v>40</v>
      </c>
      <c r="B100" s="3533"/>
      <c r="C100" s="1148" t="s">
        <v>1583</v>
      </c>
      <c r="D100" s="1062" t="s">
        <v>1584</v>
      </c>
      <c r="E100" s="1133">
        <v>0.2</v>
      </c>
      <c r="F100" s="1148">
        <v>30</v>
      </c>
    </row>
    <row r="101" spans="1:6" s="1099" customFormat="1" ht="36">
      <c r="A101" s="1148">
        <v>41</v>
      </c>
      <c r="B101" s="3533"/>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533" t="s">
        <v>1595</v>
      </c>
      <c r="C105" s="1148" t="s">
        <v>1596</v>
      </c>
      <c r="D105" s="1062" t="s">
        <v>1597</v>
      </c>
      <c r="E105" s="1133">
        <v>0.2</v>
      </c>
      <c r="F105" s="1148">
        <v>30</v>
      </c>
    </row>
    <row r="106" spans="1:6" s="1099" customFormat="1" ht="36">
      <c r="A106" s="1148">
        <v>46</v>
      </c>
      <c r="B106" s="3533"/>
      <c r="C106" s="1148" t="s">
        <v>1598</v>
      </c>
      <c r="D106" s="1062" t="s">
        <v>1599</v>
      </c>
      <c r="E106" s="1133">
        <v>0.2</v>
      </c>
      <c r="F106" s="1148">
        <v>30</v>
      </c>
    </row>
    <row r="107" spans="1:6" s="1099" customFormat="1" ht="36">
      <c r="A107" s="1148">
        <v>47</v>
      </c>
      <c r="B107" s="3533" t="s">
        <v>1600</v>
      </c>
      <c r="C107" s="1148" t="s">
        <v>1601</v>
      </c>
      <c r="D107" s="1062" t="s">
        <v>1602</v>
      </c>
      <c r="E107" s="1133">
        <v>0.3</v>
      </c>
      <c r="F107" s="1148">
        <v>50</v>
      </c>
    </row>
    <row r="108" spans="1:6" s="1099" customFormat="1" ht="36">
      <c r="A108" s="1148">
        <v>48</v>
      </c>
      <c r="B108" s="3533"/>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533" t="s">
        <v>1611</v>
      </c>
      <c r="C111" s="1148" t="s">
        <v>1612</v>
      </c>
      <c r="D111" s="1062" t="s">
        <v>1613</v>
      </c>
      <c r="E111" s="1133">
        <v>0.2</v>
      </c>
      <c r="F111" s="1148">
        <v>30</v>
      </c>
    </row>
    <row r="112" spans="1:6" s="1099" customFormat="1" ht="24">
      <c r="A112" s="1148">
        <v>52</v>
      </c>
      <c r="B112" s="3533"/>
      <c r="C112" s="1148" t="s">
        <v>1614</v>
      </c>
      <c r="D112" s="1062" t="s">
        <v>1615</v>
      </c>
      <c r="E112" s="1133">
        <v>0.2</v>
      </c>
      <c r="F112" s="1148">
        <v>30</v>
      </c>
    </row>
    <row r="113" spans="1:14" s="1099" customFormat="1" ht="24">
      <c r="A113" s="1148">
        <v>53</v>
      </c>
      <c r="B113" s="3533"/>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533" t="s">
        <v>1624</v>
      </c>
      <c r="C116" s="1148" t="s">
        <v>1625</v>
      </c>
      <c r="D116" s="1062" t="s">
        <v>1626</v>
      </c>
      <c r="E116" s="1133">
        <v>0.2</v>
      </c>
      <c r="F116" s="1148">
        <v>30</v>
      </c>
    </row>
    <row r="117" spans="1:14" ht="36">
      <c r="A117" s="1148">
        <v>57</v>
      </c>
      <c r="B117" s="3533"/>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532" t="s">
        <v>1633</v>
      </c>
      <c r="B121" s="3532"/>
      <c r="C121" s="3532"/>
      <c r="D121" s="3532"/>
      <c r="E121" s="3532"/>
      <c r="F121" s="3532"/>
      <c r="G121" s="3532"/>
      <c r="H121" s="3532"/>
      <c r="I121" s="3532"/>
      <c r="J121" s="3532"/>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537" t="s">
        <v>1039</v>
      </c>
      <c r="B1" s="3537"/>
      <c r="C1" s="3537"/>
      <c r="D1" s="3537"/>
      <c r="E1" s="3537"/>
      <c r="F1" s="3537"/>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538" t="s">
        <v>1052</v>
      </c>
      <c r="B2" s="3538"/>
      <c r="C2" s="3538"/>
      <c r="D2" s="3538"/>
      <c r="E2" s="3538"/>
      <c r="F2" s="3538"/>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539"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540"/>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2418</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2419</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541" t="s">
        <v>2077</v>
      </c>
      <c r="B1" s="3541"/>
    </row>
    <row r="2" spans="1:6" ht="14.25" thickBot="1">
      <c r="A2" s="1833"/>
      <c r="B2" s="1833"/>
    </row>
    <row r="3" spans="1:6" ht="14.25" thickBot="1">
      <c r="A3" s="1833"/>
      <c r="B3" s="1833"/>
      <c r="C3" s="1834" t="s">
        <v>2078</v>
      </c>
      <c r="D3" s="1834" t="s">
        <v>2079</v>
      </c>
      <c r="E3" s="1834" t="s">
        <v>2080</v>
      </c>
      <c r="F3" s="1834" t="s">
        <v>2081</v>
      </c>
    </row>
    <row r="4" spans="1:6" ht="14.25" thickBot="1">
      <c r="A4" s="1835" t="s">
        <v>2082</v>
      </c>
      <c r="B4" s="1836" t="s">
        <v>2083</v>
      </c>
      <c r="C4" s="1834"/>
      <c r="D4" s="1834"/>
      <c r="E4" s="1834"/>
      <c r="F4" s="1834"/>
    </row>
    <row r="5" spans="1:6" ht="14.25" thickBot="1">
      <c r="A5" s="1837" t="s">
        <v>2084</v>
      </c>
      <c r="B5" s="1838" t="s">
        <v>2085</v>
      </c>
      <c r="C5" s="1839">
        <v>8.8999999999999996E-2</v>
      </c>
      <c r="D5" s="1839">
        <v>7.3999999999999996E-2</v>
      </c>
      <c r="E5" s="1839">
        <v>7.4999999999999997E-2</v>
      </c>
      <c r="F5" s="1840">
        <v>0.1</v>
      </c>
    </row>
    <row r="6" spans="1:6" ht="14.25" thickBot="1">
      <c r="A6" s="1837" t="s">
        <v>1096</v>
      </c>
      <c r="B6" s="1841" t="s">
        <v>2086</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2087</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2088</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2089</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2090</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2091</v>
      </c>
      <c r="C72" s="1851"/>
      <c r="D72" s="1851"/>
      <c r="E72" s="1851"/>
      <c r="F72" s="1843">
        <v>0.05</v>
      </c>
    </row>
    <row r="73" spans="1:6" ht="14.25" thickBot="1">
      <c r="A73" s="1837" t="s">
        <v>925</v>
      </c>
      <c r="B73" s="1841" t="s">
        <v>2092</v>
      </c>
      <c r="C73" s="1851"/>
      <c r="D73" s="1851"/>
      <c r="E73" s="1851"/>
      <c r="F73" s="1843">
        <v>0.05</v>
      </c>
    </row>
    <row r="74" spans="1:6" ht="14.25" thickBot="1">
      <c r="A74" s="1837" t="s">
        <v>925</v>
      </c>
      <c r="B74" s="1841" t="s">
        <v>2093</v>
      </c>
      <c r="C74" s="1851"/>
      <c r="D74" s="1851"/>
      <c r="E74" s="1851"/>
      <c r="F74" s="1843">
        <v>0.05</v>
      </c>
    </row>
    <row r="75" spans="1:6" ht="14.25" thickBot="1">
      <c r="A75" s="1845" t="s">
        <v>925</v>
      </c>
      <c r="B75" s="1852" t="s">
        <v>2094</v>
      </c>
      <c r="C75" s="1848"/>
      <c r="D75" s="1848"/>
      <c r="E75" s="1848"/>
      <c r="F75" s="1853">
        <v>0.05</v>
      </c>
    </row>
    <row r="76" spans="1:6" ht="14.25" thickBot="1">
      <c r="A76" s="1837" t="s">
        <v>1407</v>
      </c>
      <c r="B76" s="1838" t="s">
        <v>2095</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2096</v>
      </c>
      <c r="C102" s="1851"/>
      <c r="D102" s="1851"/>
      <c r="E102" s="1851"/>
      <c r="F102" s="1843">
        <v>0.05</v>
      </c>
    </row>
    <row r="103" spans="1:6" ht="24.75" thickBot="1">
      <c r="A103" s="1837" t="s">
        <v>1407</v>
      </c>
      <c r="B103" s="1841" t="s">
        <v>2097</v>
      </c>
      <c r="C103" s="1851"/>
      <c r="D103" s="1851"/>
      <c r="E103" s="1851"/>
      <c r="F103" s="1843">
        <v>0.05</v>
      </c>
    </row>
    <row r="104" spans="1:6" ht="14.25" thickBot="1">
      <c r="A104" s="1837" t="s">
        <v>1407</v>
      </c>
      <c r="B104" s="1841" t="s">
        <v>2098</v>
      </c>
      <c r="C104" s="1851"/>
      <c r="D104" s="1851"/>
      <c r="E104" s="1851"/>
      <c r="F104" s="1843">
        <v>0.05</v>
      </c>
    </row>
    <row r="105" spans="1:6" ht="14.25" thickBot="1">
      <c r="A105" s="1837" t="s">
        <v>1407</v>
      </c>
      <c r="B105" s="1841" t="s">
        <v>2099</v>
      </c>
      <c r="C105" s="1851"/>
      <c r="D105" s="1851"/>
      <c r="E105" s="1851"/>
      <c r="F105" s="1843">
        <v>0.05</v>
      </c>
    </row>
    <row r="106" spans="1:6" ht="14.25" thickBot="1">
      <c r="A106" s="1837" t="s">
        <v>1407</v>
      </c>
      <c r="B106" s="1841" t="s">
        <v>2100</v>
      </c>
      <c r="C106" s="1851"/>
      <c r="D106" s="1851"/>
      <c r="E106" s="1851"/>
      <c r="F106" s="1843">
        <v>0.05</v>
      </c>
    </row>
    <row r="107" spans="1:6" ht="24.75" thickBot="1">
      <c r="A107" s="1837" t="s">
        <v>1407</v>
      </c>
      <c r="B107" s="1841" t="s">
        <v>2101</v>
      </c>
      <c r="C107" s="1851"/>
      <c r="D107" s="1851"/>
      <c r="E107" s="1851"/>
      <c r="F107" s="1843">
        <v>0.05</v>
      </c>
    </row>
    <row r="108" spans="1:6" ht="24.75" thickBot="1">
      <c r="A108" s="1837" t="s">
        <v>1407</v>
      </c>
      <c r="B108" s="1841" t="s">
        <v>2102</v>
      </c>
      <c r="C108" s="1851"/>
      <c r="D108" s="1851"/>
      <c r="E108" s="1851"/>
      <c r="F108" s="1843">
        <v>0.05</v>
      </c>
    </row>
    <row r="109" spans="1:6" ht="24.75" thickBot="1">
      <c r="A109" s="1845" t="s">
        <v>1407</v>
      </c>
      <c r="B109" s="1852" t="s">
        <v>2103</v>
      </c>
      <c r="C109" s="1848"/>
      <c r="D109" s="1848"/>
      <c r="E109" s="1848"/>
      <c r="F109" s="1853">
        <v>0.05</v>
      </c>
    </row>
    <row r="110" spans="1:6" ht="14.25" thickBot="1">
      <c r="A110" s="1837" t="s">
        <v>1409</v>
      </c>
      <c r="B110" s="1838" t="s">
        <v>2104</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2105</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2106</v>
      </c>
      <c r="C138" s="1842">
        <v>0.105</v>
      </c>
      <c r="D138" s="1842">
        <v>0.125</v>
      </c>
      <c r="E138" s="1842">
        <v>0.112</v>
      </c>
      <c r="F138" s="1850"/>
    </row>
    <row r="139" spans="1:6" ht="14.25" thickBot="1">
      <c r="A139" s="1837" t="s">
        <v>1409</v>
      </c>
      <c r="B139" s="1841" t="s">
        <v>2107</v>
      </c>
      <c r="C139" s="1842">
        <v>0.127</v>
      </c>
      <c r="D139" s="1842">
        <v>0.127</v>
      </c>
      <c r="E139" s="1842">
        <v>0.122</v>
      </c>
      <c r="F139" s="1843">
        <v>0.13</v>
      </c>
    </row>
    <row r="140" spans="1:6" ht="14.25" thickBot="1">
      <c r="A140" s="1837" t="s">
        <v>1409</v>
      </c>
      <c r="B140" s="1841" t="s">
        <v>2108</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2109</v>
      </c>
      <c r="C144" s="1855">
        <v>0.126</v>
      </c>
      <c r="D144" s="1855">
        <v>0.126</v>
      </c>
      <c r="E144" s="1855">
        <v>0.121</v>
      </c>
      <c r="F144" s="1850"/>
    </row>
    <row r="145" spans="1:6" ht="14.25" thickBot="1">
      <c r="A145" s="1845" t="s">
        <v>1409</v>
      </c>
      <c r="B145" s="1856" t="s">
        <v>2110</v>
      </c>
      <c r="C145" s="1857"/>
      <c r="D145" s="1857"/>
      <c r="E145" s="1857"/>
      <c r="F145" s="1858">
        <v>0.05</v>
      </c>
    </row>
    <row r="146" spans="1:6" ht="24.75" thickBot="1">
      <c r="A146" s="1859" t="s">
        <v>1409</v>
      </c>
      <c r="B146" s="1844" t="s">
        <v>2111</v>
      </c>
      <c r="C146" s="1851"/>
      <c r="D146" s="1851"/>
      <c r="E146" s="1851"/>
      <c r="F146" s="1860">
        <v>0.05</v>
      </c>
    </row>
    <row r="147" spans="1:6" ht="24.75" thickBot="1">
      <c r="A147" s="1837" t="s">
        <v>1409</v>
      </c>
      <c r="B147" s="1841" t="s">
        <v>2112</v>
      </c>
      <c r="C147" s="1851"/>
      <c r="D147" s="1851"/>
      <c r="E147" s="1851"/>
      <c r="F147" s="1843">
        <v>0.05</v>
      </c>
    </row>
    <row r="148" spans="1:6" ht="24.75" thickBot="1">
      <c r="A148" s="1837" t="s">
        <v>1409</v>
      </c>
      <c r="B148" s="1841" t="s">
        <v>2113</v>
      </c>
      <c r="C148" s="1851"/>
      <c r="D148" s="1851"/>
      <c r="E148" s="1851"/>
      <c r="F148" s="1843">
        <v>0.05</v>
      </c>
    </row>
    <row r="149" spans="1:6" ht="24.75" thickBot="1">
      <c r="A149" s="1837" t="s">
        <v>1409</v>
      </c>
      <c r="B149" s="1841" t="s">
        <v>2114</v>
      </c>
      <c r="C149" s="1851"/>
      <c r="D149" s="1851"/>
      <c r="E149" s="1851"/>
      <c r="F149" s="1843">
        <v>0.05</v>
      </c>
    </row>
    <row r="150" spans="1:6" ht="24.75" thickBot="1">
      <c r="A150" s="1837" t="s">
        <v>1409</v>
      </c>
      <c r="B150" s="1841" t="s">
        <v>2115</v>
      </c>
      <c r="C150" s="1851"/>
      <c r="D150" s="1851"/>
      <c r="E150" s="1851"/>
      <c r="F150" s="1843">
        <v>0.05</v>
      </c>
    </row>
    <row r="151" spans="1:6" ht="24.75" thickBot="1">
      <c r="A151" s="1837" t="s">
        <v>1409</v>
      </c>
      <c r="B151" s="1841" t="s">
        <v>2116</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2117</v>
      </c>
      <c r="C153" s="1851"/>
      <c r="D153" s="1851"/>
      <c r="E153" s="1851"/>
      <c r="F153" s="1843">
        <v>0.05</v>
      </c>
    </row>
    <row r="154" spans="1:6" ht="14.25" thickBot="1">
      <c r="A154" s="1837" t="s">
        <v>1409</v>
      </c>
      <c r="B154" s="1841" t="s">
        <v>2118</v>
      </c>
      <c r="C154" s="1851"/>
      <c r="D154" s="1851"/>
      <c r="E154" s="1851"/>
      <c r="F154" s="1843">
        <v>0.05</v>
      </c>
    </row>
    <row r="155" spans="1:6" ht="24.75" thickBot="1">
      <c r="A155" s="1837" t="s">
        <v>1409</v>
      </c>
      <c r="B155" s="1841" t="s">
        <v>2119</v>
      </c>
      <c r="C155" s="1851"/>
      <c r="D155" s="1851"/>
      <c r="E155" s="1851"/>
      <c r="F155" s="1843">
        <v>0.05</v>
      </c>
    </row>
    <row r="156" spans="1:6" ht="24.75" thickBot="1">
      <c r="A156" s="1837" t="s">
        <v>1409</v>
      </c>
      <c r="B156" s="1841" t="s">
        <v>2120</v>
      </c>
      <c r="C156" s="1851"/>
      <c r="D156" s="1851"/>
      <c r="E156" s="1851"/>
      <c r="F156" s="1843">
        <v>0.05</v>
      </c>
    </row>
    <row r="157" spans="1:6" ht="14.25" thickBot="1">
      <c r="A157" s="1845" t="s">
        <v>1409</v>
      </c>
      <c r="B157" s="1852" t="s">
        <v>2121</v>
      </c>
      <c r="C157" s="1848"/>
      <c r="D157" s="1848"/>
      <c r="E157" s="1848"/>
      <c r="F157" s="1853">
        <v>0.05</v>
      </c>
    </row>
    <row r="158" spans="1:6" ht="14.25" thickBot="1">
      <c r="A158" s="1837" t="s">
        <v>1411</v>
      </c>
      <c r="B158" s="1838" t="s">
        <v>2122</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2123</v>
      </c>
      <c r="C171" s="1842">
        <v>0.127</v>
      </c>
      <c r="D171" s="1842">
        <v>0.126</v>
      </c>
      <c r="E171" s="1842">
        <v>0.126</v>
      </c>
      <c r="F171" s="1843">
        <v>0.11799999999999999</v>
      </c>
    </row>
    <row r="172" spans="1:6" ht="14.25" thickBot="1">
      <c r="A172" s="1837" t="s">
        <v>1411</v>
      </c>
      <c r="B172" s="1841" t="s">
        <v>2124</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2125</v>
      </c>
      <c r="C174" s="1842">
        <v>0.13</v>
      </c>
      <c r="D174" s="1842">
        <v>0.13</v>
      </c>
      <c r="E174" s="1842">
        <v>0.13</v>
      </c>
      <c r="F174" s="1843">
        <v>0.13</v>
      </c>
    </row>
    <row r="175" spans="1:6" ht="14.25" thickBot="1">
      <c r="A175" s="1837" t="s">
        <v>1411</v>
      </c>
      <c r="B175" s="1841" t="s">
        <v>2126</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2127</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2128</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2129</v>
      </c>
      <c r="C185" s="1842">
        <v>0.127</v>
      </c>
      <c r="D185" s="1842">
        <v>0.127</v>
      </c>
      <c r="E185" s="1842">
        <v>0.128</v>
      </c>
      <c r="F185" s="1843">
        <v>0.13</v>
      </c>
    </row>
    <row r="186" spans="1:6" ht="24.75" thickBot="1">
      <c r="A186" s="1837" t="s">
        <v>1411</v>
      </c>
      <c r="B186" s="1841" t="s">
        <v>2130</v>
      </c>
      <c r="C186" s="1851"/>
      <c r="D186" s="1851"/>
      <c r="E186" s="1851"/>
      <c r="F186" s="1843">
        <v>0.05</v>
      </c>
    </row>
    <row r="187" spans="1:6" ht="14.25" thickBot="1">
      <c r="A187" s="1837" t="s">
        <v>1411</v>
      </c>
      <c r="B187" s="1841" t="s">
        <v>2131</v>
      </c>
      <c r="C187" s="1851"/>
      <c r="D187" s="1851"/>
      <c r="E187" s="1851"/>
      <c r="F187" s="1843">
        <v>0.05</v>
      </c>
    </row>
    <row r="188" spans="1:6" ht="14.25" thickBot="1">
      <c r="A188" s="1837" t="s">
        <v>1411</v>
      </c>
      <c r="B188" s="1841" t="s">
        <v>2132</v>
      </c>
      <c r="C188" s="1851"/>
      <c r="D188" s="1851"/>
      <c r="E188" s="1851"/>
      <c r="F188" s="1843">
        <v>0.05</v>
      </c>
    </row>
    <row r="189" spans="1:6" ht="24.75" thickBot="1">
      <c r="A189" s="1837" t="s">
        <v>1411</v>
      </c>
      <c r="B189" s="1841" t="s">
        <v>2133</v>
      </c>
      <c r="C189" s="1851"/>
      <c r="D189" s="1851"/>
      <c r="E189" s="1851"/>
      <c r="F189" s="1843">
        <v>0.05</v>
      </c>
    </row>
    <row r="190" spans="1:6" ht="24.75" thickBot="1">
      <c r="A190" s="1837" t="s">
        <v>1411</v>
      </c>
      <c r="B190" s="1841" t="s">
        <v>2134</v>
      </c>
      <c r="C190" s="1851"/>
      <c r="D190" s="1851"/>
      <c r="E190" s="1851"/>
      <c r="F190" s="1843">
        <v>0.05</v>
      </c>
    </row>
    <row r="191" spans="1:6" ht="24.75" thickBot="1">
      <c r="A191" s="1837" t="s">
        <v>1411</v>
      </c>
      <c r="B191" s="1841" t="s">
        <v>2135</v>
      </c>
      <c r="C191" s="1851"/>
      <c r="D191" s="1851"/>
      <c r="E191" s="1851"/>
      <c r="F191" s="1843">
        <v>0.05</v>
      </c>
    </row>
    <row r="192" spans="1:6" ht="24.75" thickBot="1">
      <c r="A192" s="1837" t="s">
        <v>1411</v>
      </c>
      <c r="B192" s="1841" t="s">
        <v>2136</v>
      </c>
      <c r="C192" s="1851"/>
      <c r="D192" s="1851"/>
      <c r="E192" s="1851"/>
      <c r="F192" s="1843">
        <v>0.05</v>
      </c>
    </row>
    <row r="193" spans="1:6" ht="24.75" thickBot="1">
      <c r="A193" s="1837" t="s">
        <v>1411</v>
      </c>
      <c r="B193" s="1841" t="s">
        <v>2137</v>
      </c>
      <c r="C193" s="1851"/>
      <c r="D193" s="1851"/>
      <c r="E193" s="1851"/>
      <c r="F193" s="1843">
        <v>0.05</v>
      </c>
    </row>
    <row r="194" spans="1:6" ht="24.75" thickBot="1">
      <c r="A194" s="1837" t="s">
        <v>1411</v>
      </c>
      <c r="B194" s="1841" t="s">
        <v>2138</v>
      </c>
      <c r="C194" s="1851"/>
      <c r="D194" s="1851"/>
      <c r="E194" s="1851"/>
      <c r="F194" s="1843">
        <v>0.05</v>
      </c>
    </row>
    <row r="195" spans="1:6" ht="14.25" thickBot="1">
      <c r="A195" s="1837" t="s">
        <v>1411</v>
      </c>
      <c r="B195" s="1841" t="s">
        <v>2139</v>
      </c>
      <c r="C195" s="1851"/>
      <c r="D195" s="1851"/>
      <c r="E195" s="1851"/>
      <c r="F195" s="1843">
        <v>0.05</v>
      </c>
    </row>
    <row r="196" spans="1:6" ht="24.75" thickBot="1">
      <c r="A196" s="1837" t="s">
        <v>1411</v>
      </c>
      <c r="B196" s="1841" t="s">
        <v>2140</v>
      </c>
      <c r="C196" s="1851"/>
      <c r="D196" s="1851"/>
      <c r="E196" s="1851"/>
      <c r="F196" s="1843">
        <v>0.05</v>
      </c>
    </row>
    <row r="197" spans="1:6" ht="24.75" thickBot="1">
      <c r="A197" s="1837" t="s">
        <v>1411</v>
      </c>
      <c r="B197" s="1841" t="s">
        <v>2141</v>
      </c>
      <c r="C197" s="1851"/>
      <c r="D197" s="1851"/>
      <c r="E197" s="1851"/>
      <c r="F197" s="1843">
        <v>0.05</v>
      </c>
    </row>
    <row r="198" spans="1:6" ht="24.75" thickBot="1">
      <c r="A198" s="1837" t="s">
        <v>1411</v>
      </c>
      <c r="B198" s="1841" t="s">
        <v>2142</v>
      </c>
      <c r="C198" s="1851"/>
      <c r="D198" s="1851"/>
      <c r="E198" s="1851"/>
      <c r="F198" s="1843">
        <v>0.05</v>
      </c>
    </row>
    <row r="199" spans="1:6" ht="24.75" thickBot="1">
      <c r="A199" s="1837" t="s">
        <v>1411</v>
      </c>
      <c r="B199" s="1841" t="s">
        <v>2143</v>
      </c>
      <c r="C199" s="1851"/>
      <c r="D199" s="1851"/>
      <c r="E199" s="1851"/>
      <c r="F199" s="1843">
        <v>0.05</v>
      </c>
    </row>
    <row r="200" spans="1:6" ht="24.75" thickBot="1">
      <c r="A200" s="1837" t="s">
        <v>1411</v>
      </c>
      <c r="B200" s="1841" t="s">
        <v>2144</v>
      </c>
      <c r="C200" s="1851"/>
      <c r="D200" s="1851"/>
      <c r="E200" s="1851"/>
      <c r="F200" s="1843">
        <v>0.05</v>
      </c>
    </row>
    <row r="201" spans="1:6" ht="24.75" thickBot="1">
      <c r="A201" s="1837" t="s">
        <v>1411</v>
      </c>
      <c r="B201" s="1841" t="s">
        <v>2145</v>
      </c>
      <c r="C201" s="1851"/>
      <c r="D201" s="1851"/>
      <c r="E201" s="1851"/>
      <c r="F201" s="1843">
        <v>0.05</v>
      </c>
    </row>
    <row r="202" spans="1:6" ht="24.75" thickBot="1">
      <c r="A202" s="1837" t="s">
        <v>1411</v>
      </c>
      <c r="B202" s="1841" t="s">
        <v>2146</v>
      </c>
      <c r="C202" s="1851"/>
      <c r="D202" s="1851"/>
      <c r="E202" s="1851"/>
      <c r="F202" s="1843">
        <v>0.05</v>
      </c>
    </row>
    <row r="203" spans="1:6" ht="24.75" thickBot="1">
      <c r="A203" s="1837" t="s">
        <v>1411</v>
      </c>
      <c r="B203" s="1841" t="s">
        <v>2147</v>
      </c>
      <c r="C203" s="1851"/>
      <c r="D203" s="1851"/>
      <c r="E203" s="1851"/>
      <c r="F203" s="1843">
        <v>0.05</v>
      </c>
    </row>
    <row r="204" spans="1:6" ht="14.25" thickBot="1">
      <c r="A204" s="1837" t="s">
        <v>1411</v>
      </c>
      <c r="B204" s="1841" t="s">
        <v>2148</v>
      </c>
      <c r="C204" s="1851"/>
      <c r="D204" s="1851"/>
      <c r="E204" s="1851"/>
      <c r="F204" s="1843">
        <v>0.05</v>
      </c>
    </row>
    <row r="205" spans="1:6" ht="14.25" thickBot="1">
      <c r="A205" s="1845" t="s">
        <v>1411</v>
      </c>
      <c r="B205" s="1852" t="s">
        <v>2149</v>
      </c>
      <c r="C205" s="1848"/>
      <c r="D205" s="1848"/>
      <c r="E205" s="1848"/>
      <c r="F205" s="1853">
        <v>0.05</v>
      </c>
    </row>
    <row r="206" spans="1:6" ht="14.25" thickBot="1">
      <c r="A206" s="1837" t="s">
        <v>1413</v>
      </c>
      <c r="B206" s="1838" t="s">
        <v>2150</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2151</v>
      </c>
      <c r="C210" s="1842">
        <v>0.15</v>
      </c>
      <c r="D210" s="1842">
        <v>0.15</v>
      </c>
      <c r="E210" s="1842">
        <v>0.15</v>
      </c>
      <c r="F210" s="1843">
        <v>0.13800000000000001</v>
      </c>
    </row>
    <row r="211" spans="1:6" ht="14.25" thickBot="1">
      <c r="A211" s="1837" t="s">
        <v>1413</v>
      </c>
      <c r="B211" s="1841" t="s">
        <v>2152</v>
      </c>
      <c r="C211" s="1842">
        <v>0.13700000000000001</v>
      </c>
      <c r="D211" s="1842">
        <v>0.13500000000000001</v>
      </c>
      <c r="E211" s="1842">
        <v>0.13600000000000001</v>
      </c>
      <c r="F211" s="1843">
        <v>0.1</v>
      </c>
    </row>
    <row r="212" spans="1:6" ht="14.25" thickBot="1">
      <c r="A212" s="1837" t="s">
        <v>1413</v>
      </c>
      <c r="B212" s="1841" t="s">
        <v>2153</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2154</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2155</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2156</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2157</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2158</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2159</v>
      </c>
      <c r="C231" s="1842">
        <v>0.128</v>
      </c>
      <c r="D231" s="1842">
        <v>0.125</v>
      </c>
      <c r="E231" s="1842">
        <v>0.13200000000000001</v>
      </c>
      <c r="F231" s="1850"/>
    </row>
    <row r="232" spans="1:6" ht="14.25" thickBot="1">
      <c r="A232" s="1837" t="s">
        <v>1413</v>
      </c>
      <c r="B232" s="1841" t="s">
        <v>2160</v>
      </c>
      <c r="C232" s="1842">
        <v>0.14499999999999999</v>
      </c>
      <c r="D232" s="1842">
        <v>0.14399999999999999</v>
      </c>
      <c r="E232" s="1842">
        <v>0.14599999999999999</v>
      </c>
      <c r="F232" s="1843">
        <v>0.13800000000000001</v>
      </c>
    </row>
    <row r="233" spans="1:6" ht="14.25" thickBot="1">
      <c r="A233" s="1837" t="s">
        <v>1413</v>
      </c>
      <c r="B233" s="1841" t="s">
        <v>2161</v>
      </c>
      <c r="C233" s="1842">
        <v>0.14499999999999999</v>
      </c>
      <c r="D233" s="1842">
        <v>0.14299999999999999</v>
      </c>
      <c r="E233" s="1842">
        <v>0.14199999999999999</v>
      </c>
      <c r="F233" s="1850"/>
    </row>
    <row r="234" spans="1:6" ht="14.25" thickBot="1">
      <c r="A234" s="1837" t="s">
        <v>1413</v>
      </c>
      <c r="B234" s="1841" t="s">
        <v>2162</v>
      </c>
      <c r="C234" s="1842">
        <v>0.14000000000000001</v>
      </c>
      <c r="D234" s="1842">
        <v>0.14000000000000001</v>
      </c>
      <c r="E234" s="1842">
        <v>0.14399999999999999</v>
      </c>
      <c r="F234" s="1850"/>
    </row>
    <row r="235" spans="1:6" ht="14.25" thickBot="1">
      <c r="A235" s="1837" t="s">
        <v>1413</v>
      </c>
      <c r="B235" s="1841" t="s">
        <v>2163</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2164</v>
      </c>
      <c r="C237" s="1851"/>
      <c r="D237" s="1851"/>
      <c r="E237" s="1851"/>
      <c r="F237" s="1843">
        <v>0.05</v>
      </c>
    </row>
    <row r="238" spans="1:6" ht="24.75" thickBot="1">
      <c r="A238" s="1837" t="s">
        <v>1413</v>
      </c>
      <c r="B238" s="1841" t="s">
        <v>2165</v>
      </c>
      <c r="C238" s="1851"/>
      <c r="D238" s="1851"/>
      <c r="E238" s="1851"/>
      <c r="F238" s="1843">
        <v>0.05</v>
      </c>
    </row>
    <row r="239" spans="1:6" ht="24.75" thickBot="1">
      <c r="A239" s="1837" t="s">
        <v>1413</v>
      </c>
      <c r="B239" s="1841" t="s">
        <v>2166</v>
      </c>
      <c r="C239" s="1851"/>
      <c r="D239" s="1851"/>
      <c r="E239" s="1851"/>
      <c r="F239" s="1843">
        <v>0.05</v>
      </c>
    </row>
    <row r="240" spans="1:6" ht="24.75" thickBot="1">
      <c r="A240" s="1837" t="s">
        <v>1413</v>
      </c>
      <c r="B240" s="1841" t="s">
        <v>2167</v>
      </c>
      <c r="C240" s="1851"/>
      <c r="D240" s="1851"/>
      <c r="E240" s="1851"/>
      <c r="F240" s="1843">
        <v>0.05</v>
      </c>
    </row>
    <row r="241" spans="1:6" ht="24.75" thickBot="1">
      <c r="A241" s="1837" t="s">
        <v>1413</v>
      </c>
      <c r="B241" s="1841" t="s">
        <v>2168</v>
      </c>
      <c r="C241" s="1851"/>
      <c r="D241" s="1851"/>
      <c r="E241" s="1851"/>
      <c r="F241" s="1843">
        <v>0.05</v>
      </c>
    </row>
    <row r="242" spans="1:6" ht="24.75" thickBot="1">
      <c r="A242" s="1837" t="s">
        <v>1413</v>
      </c>
      <c r="B242" s="1841" t="s">
        <v>2169</v>
      </c>
      <c r="C242" s="1851"/>
      <c r="D242" s="1851"/>
      <c r="E242" s="1851"/>
      <c r="F242" s="1843">
        <v>0.05</v>
      </c>
    </row>
    <row r="243" spans="1:6" ht="24.75" thickBot="1">
      <c r="A243" s="1837" t="s">
        <v>1413</v>
      </c>
      <c r="B243" s="1841" t="s">
        <v>2170</v>
      </c>
      <c r="C243" s="1851"/>
      <c r="D243" s="1851"/>
      <c r="E243" s="1851"/>
      <c r="F243" s="1843">
        <v>0.05</v>
      </c>
    </row>
    <row r="244" spans="1:6" ht="24.75" thickBot="1">
      <c r="A244" s="1845" t="s">
        <v>1413</v>
      </c>
      <c r="B244" s="1852" t="s">
        <v>2171</v>
      </c>
      <c r="C244" s="1848"/>
      <c r="D244" s="1848"/>
      <c r="E244" s="1848"/>
      <c r="F244" s="1853">
        <v>0.05</v>
      </c>
    </row>
    <row r="245" spans="1:6" ht="14.25" thickBot="1">
      <c r="A245" s="1837" t="s">
        <v>1415</v>
      </c>
      <c r="B245" s="1838" t="s">
        <v>2172</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2173</v>
      </c>
      <c r="C247" s="1842">
        <v>0.15</v>
      </c>
      <c r="D247" s="1842">
        <v>0.15</v>
      </c>
      <c r="E247" s="1842">
        <v>0.15</v>
      </c>
      <c r="F247" s="1843">
        <v>0.15</v>
      </c>
    </row>
    <row r="248" spans="1:6" ht="14.25" thickBot="1">
      <c r="A248" s="1837" t="s">
        <v>1415</v>
      </c>
      <c r="B248" s="1841" t="s">
        <v>2174</v>
      </c>
      <c r="C248" s="1842">
        <v>0.15</v>
      </c>
      <c r="D248" s="1842">
        <v>0.15</v>
      </c>
      <c r="E248" s="1842">
        <v>0.15</v>
      </c>
      <c r="F248" s="1843">
        <v>0.14000000000000001</v>
      </c>
    </row>
    <row r="249" spans="1:6" ht="14.25" thickBot="1">
      <c r="A249" s="1837" t="s">
        <v>1415</v>
      </c>
      <c r="B249" s="1841" t="s">
        <v>2175</v>
      </c>
      <c r="C249" s="1842">
        <v>0.15</v>
      </c>
      <c r="D249" s="1842">
        <v>0.14899999999999999</v>
      </c>
      <c r="E249" s="1842">
        <v>0.15</v>
      </c>
      <c r="F249" s="1843">
        <v>0.1</v>
      </c>
    </row>
    <row r="250" spans="1:6" ht="14.25" thickBot="1">
      <c r="A250" s="1837" t="s">
        <v>1415</v>
      </c>
      <c r="B250" s="1841" t="s">
        <v>2176</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2177</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2178</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2179</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2180</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2181</v>
      </c>
      <c r="C273" s="1842">
        <v>0.14199999999999999</v>
      </c>
      <c r="D273" s="1842">
        <v>0.14299999999999999</v>
      </c>
      <c r="E273" s="1842">
        <v>0.15</v>
      </c>
      <c r="F273" s="1843">
        <v>0.1</v>
      </c>
    </row>
    <row r="274" spans="1:6" ht="14.25" thickBot="1">
      <c r="A274" s="1837" t="s">
        <v>1415</v>
      </c>
      <c r="B274" s="1841" t="s">
        <v>2182</v>
      </c>
      <c r="C274" s="1842">
        <v>0.14799999999999999</v>
      </c>
      <c r="D274" s="1842">
        <v>0.14799999999999999</v>
      </c>
      <c r="E274" s="1842">
        <v>0.15</v>
      </c>
      <c r="F274" s="1843">
        <v>6.7000000000000004E-2</v>
      </c>
    </row>
    <row r="275" spans="1:6" ht="14.25" thickBot="1">
      <c r="A275" s="1837" t="s">
        <v>1415</v>
      </c>
      <c r="B275" s="1841" t="s">
        <v>2183</v>
      </c>
      <c r="C275" s="1842">
        <v>0.15</v>
      </c>
      <c r="D275" s="1842">
        <v>0.15</v>
      </c>
      <c r="E275" s="1842">
        <v>0.15</v>
      </c>
      <c r="F275" s="1843">
        <v>0.15</v>
      </c>
    </row>
    <row r="276" spans="1:6" ht="14.25" thickBot="1">
      <c r="A276" s="1837" t="s">
        <v>1415</v>
      </c>
      <c r="B276" s="1841" t="s">
        <v>2184</v>
      </c>
      <c r="C276" s="1842">
        <v>0.14499999999999999</v>
      </c>
      <c r="D276" s="1842">
        <v>0.14299999999999999</v>
      </c>
      <c r="E276" s="1842">
        <v>0.15</v>
      </c>
      <c r="F276" s="1843">
        <v>5.8999999999999997E-2</v>
      </c>
    </row>
    <row r="277" spans="1:6" ht="14.25" thickBot="1">
      <c r="A277" s="1837" t="s">
        <v>1415</v>
      </c>
      <c r="B277" s="1841" t="s">
        <v>2185</v>
      </c>
      <c r="C277" s="1842">
        <v>0.15</v>
      </c>
      <c r="D277" s="1842">
        <v>0.15</v>
      </c>
      <c r="E277" s="1842">
        <v>0.15</v>
      </c>
      <c r="F277" s="1843">
        <v>0.121</v>
      </c>
    </row>
    <row r="278" spans="1:6" ht="14.25" thickBot="1">
      <c r="A278" s="1837" t="s">
        <v>1415</v>
      </c>
      <c r="B278" s="1841" t="s">
        <v>2186</v>
      </c>
      <c r="C278" s="1842">
        <v>0.15</v>
      </c>
      <c r="D278" s="1842">
        <v>0.15</v>
      </c>
      <c r="E278" s="1842">
        <v>0.15</v>
      </c>
      <c r="F278" s="1843">
        <v>0.13800000000000001</v>
      </c>
    </row>
    <row r="279" spans="1:6" ht="24.75" thickBot="1">
      <c r="A279" s="1837" t="s">
        <v>1415</v>
      </c>
      <c r="B279" s="1841" t="s">
        <v>2187</v>
      </c>
      <c r="C279" s="1851"/>
      <c r="D279" s="1851"/>
      <c r="E279" s="1851"/>
      <c r="F279" s="1843">
        <v>0.05</v>
      </c>
    </row>
    <row r="280" spans="1:6" ht="24.75" thickBot="1">
      <c r="A280" s="1837" t="s">
        <v>1415</v>
      </c>
      <c r="B280" s="1841" t="s">
        <v>2188</v>
      </c>
      <c r="C280" s="1851"/>
      <c r="D280" s="1851"/>
      <c r="E280" s="1851"/>
      <c r="F280" s="1843">
        <v>0.05</v>
      </c>
    </row>
    <row r="281" spans="1:6" ht="24.75" thickBot="1">
      <c r="A281" s="1837" t="s">
        <v>1415</v>
      </c>
      <c r="B281" s="1841" t="s">
        <v>2189</v>
      </c>
      <c r="C281" s="1851"/>
      <c r="D281" s="1851"/>
      <c r="E281" s="1851"/>
      <c r="F281" s="1843">
        <v>0.05</v>
      </c>
    </row>
    <row r="282" spans="1:6" ht="24.75" thickBot="1">
      <c r="A282" s="1837" t="s">
        <v>1415</v>
      </c>
      <c r="B282" s="1841" t="s">
        <v>2190</v>
      </c>
      <c r="C282" s="1851"/>
      <c r="D282" s="1851"/>
      <c r="E282" s="1851"/>
      <c r="F282" s="1843">
        <v>0.05</v>
      </c>
    </row>
    <row r="283" spans="1:6" ht="24.75" thickBot="1">
      <c r="A283" s="1837" t="s">
        <v>1415</v>
      </c>
      <c r="B283" s="1841" t="s">
        <v>2191</v>
      </c>
      <c r="C283" s="1851"/>
      <c r="D283" s="1851"/>
      <c r="E283" s="1851"/>
      <c r="F283" s="1843">
        <v>0.05</v>
      </c>
    </row>
    <row r="284" spans="1:6" ht="24.75" thickBot="1">
      <c r="A284" s="1837" t="s">
        <v>1415</v>
      </c>
      <c r="B284" s="1841" t="s">
        <v>2192</v>
      </c>
      <c r="C284" s="1851"/>
      <c r="D284" s="1851"/>
      <c r="E284" s="1851"/>
      <c r="F284" s="1843">
        <v>0.05</v>
      </c>
    </row>
    <row r="285" spans="1:6" ht="24.75" thickBot="1">
      <c r="A285" s="1837" t="s">
        <v>1415</v>
      </c>
      <c r="B285" s="1841" t="s">
        <v>2193</v>
      </c>
      <c r="C285" s="1851"/>
      <c r="D285" s="1851"/>
      <c r="E285" s="1851"/>
      <c r="F285" s="1843">
        <v>0.05</v>
      </c>
    </row>
    <row r="286" spans="1:6" ht="24.75" thickBot="1">
      <c r="A286" s="1837" t="s">
        <v>1415</v>
      </c>
      <c r="B286" s="1841" t="s">
        <v>2194</v>
      </c>
      <c r="C286" s="1851"/>
      <c r="D286" s="1851"/>
      <c r="E286" s="1851"/>
      <c r="F286" s="1843">
        <v>0.05</v>
      </c>
    </row>
    <row r="287" spans="1:6" ht="24.75" thickBot="1">
      <c r="A287" s="1837" t="s">
        <v>1415</v>
      </c>
      <c r="B287" s="1841" t="s">
        <v>2195</v>
      </c>
      <c r="C287" s="1851"/>
      <c r="D287" s="1851"/>
      <c r="E287" s="1851"/>
      <c r="F287" s="1843">
        <v>0.05</v>
      </c>
    </row>
    <row r="288" spans="1:6" ht="24.75" thickBot="1">
      <c r="A288" s="1837" t="s">
        <v>1415</v>
      </c>
      <c r="B288" s="1841" t="s">
        <v>2196</v>
      </c>
      <c r="C288" s="1851"/>
      <c r="D288" s="1851"/>
      <c r="E288" s="1851"/>
      <c r="F288" s="1843">
        <v>0.05</v>
      </c>
    </row>
    <row r="289" spans="1:6" ht="24.75" thickBot="1">
      <c r="A289" s="1845" t="s">
        <v>1415</v>
      </c>
      <c r="B289" s="1852" t="s">
        <v>2197</v>
      </c>
      <c r="C289" s="1848"/>
      <c r="D289" s="1848"/>
      <c r="E289" s="1848"/>
      <c r="F289" s="1853">
        <v>0.05</v>
      </c>
    </row>
    <row r="290" spans="1:6" ht="14.25" thickBot="1">
      <c r="A290" s="1837" t="s">
        <v>1419</v>
      </c>
      <c r="B290" s="1838" t="s">
        <v>2198</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2199</v>
      </c>
      <c r="C292" s="1842">
        <v>0.15</v>
      </c>
      <c r="D292" s="1842">
        <v>0.15</v>
      </c>
      <c r="E292" s="1842">
        <v>0.15</v>
      </c>
      <c r="F292" s="1843">
        <v>0.14699999999999999</v>
      </c>
    </row>
    <row r="293" spans="1:6" ht="14.25" thickBot="1">
      <c r="A293" s="1837" t="s">
        <v>1419</v>
      </c>
      <c r="B293" s="1841" t="s">
        <v>2200</v>
      </c>
      <c r="C293" s="1851"/>
      <c r="D293" s="1851"/>
      <c r="E293" s="1851"/>
      <c r="F293" s="1843">
        <v>0.1</v>
      </c>
    </row>
    <row r="294" spans="1:6" ht="14.25" thickBot="1">
      <c r="A294" s="1837" t="s">
        <v>1419</v>
      </c>
      <c r="B294" s="1841" t="s">
        <v>2201</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2202</v>
      </c>
      <c r="C296" s="1842">
        <v>0.15</v>
      </c>
      <c r="D296" s="1842">
        <v>0.15</v>
      </c>
      <c r="E296" s="1842">
        <v>0.15</v>
      </c>
      <c r="F296" s="1843">
        <v>0.15</v>
      </c>
    </row>
    <row r="297" spans="1:6" ht="14.25" thickBot="1">
      <c r="A297" s="1837" t="s">
        <v>1419</v>
      </c>
      <c r="B297" s="1841" t="s">
        <v>2203</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2204</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2205</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2206</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2207</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2208</v>
      </c>
      <c r="C310" s="1842">
        <v>0.15</v>
      </c>
      <c r="D310" s="1842">
        <v>0.15</v>
      </c>
      <c r="E310" s="1842">
        <v>0.15</v>
      </c>
      <c r="F310" s="1843">
        <v>0.13700000000000001</v>
      </c>
    </row>
    <row r="311" spans="1:6" ht="14.25" thickBot="1">
      <c r="A311" s="1837" t="s">
        <v>1419</v>
      </c>
      <c r="B311" s="1841" t="s">
        <v>2209</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2210</v>
      </c>
      <c r="C313" s="1842">
        <v>0.15</v>
      </c>
      <c r="D313" s="1842">
        <v>0.15</v>
      </c>
      <c r="E313" s="1842">
        <v>0.15</v>
      </c>
      <c r="F313" s="1843">
        <v>0.15</v>
      </c>
    </row>
    <row r="314" spans="1:6" ht="24.75" thickBot="1">
      <c r="A314" s="1837" t="s">
        <v>1419</v>
      </c>
      <c r="B314" s="1841" t="s">
        <v>2211</v>
      </c>
      <c r="C314" s="1851"/>
      <c r="D314" s="1851"/>
      <c r="E314" s="1851"/>
      <c r="F314" s="1843">
        <v>0.05</v>
      </c>
    </row>
    <row r="315" spans="1:6" ht="24.75" thickBot="1">
      <c r="A315" s="1837" t="s">
        <v>1419</v>
      </c>
      <c r="B315" s="1841" t="s">
        <v>2212</v>
      </c>
      <c r="C315" s="1851"/>
      <c r="D315" s="1851"/>
      <c r="E315" s="1851"/>
      <c r="F315" s="1843">
        <v>0.05</v>
      </c>
    </row>
    <row r="316" spans="1:6" ht="24.75" thickBot="1">
      <c r="A316" s="1845" t="s">
        <v>1419</v>
      </c>
      <c r="B316" s="1852" t="s">
        <v>2213</v>
      </c>
      <c r="C316" s="1848"/>
      <c r="D316" s="1848"/>
      <c r="E316" s="1848"/>
      <c r="F316" s="1853">
        <v>0.05</v>
      </c>
    </row>
    <row r="317" spans="1:6" ht="14.25" thickBot="1">
      <c r="A317" s="1837" t="s">
        <v>2214</v>
      </c>
      <c r="B317" s="1838" t="s">
        <v>2215</v>
      </c>
      <c r="C317" s="1839">
        <v>0.15</v>
      </c>
      <c r="D317" s="1839">
        <v>0.15</v>
      </c>
      <c r="E317" s="1839">
        <v>0.15</v>
      </c>
      <c r="F317" s="1840">
        <v>0.15</v>
      </c>
    </row>
    <row r="318" spans="1:6" ht="14.25" thickBot="1">
      <c r="A318" s="1837" t="s">
        <v>2214</v>
      </c>
      <c r="B318" s="1841" t="s">
        <v>2216</v>
      </c>
      <c r="C318" s="1842">
        <v>0.107</v>
      </c>
      <c r="D318" s="1842">
        <v>0.11</v>
      </c>
      <c r="E318" s="1842">
        <v>0.112</v>
      </c>
      <c r="F318" s="1850"/>
    </row>
    <row r="319" spans="1:6" ht="14.25" thickBot="1">
      <c r="A319" s="1837" t="s">
        <v>2214</v>
      </c>
      <c r="B319" s="1841" t="s">
        <v>2217</v>
      </c>
      <c r="C319" s="1842">
        <v>0.15</v>
      </c>
      <c r="D319" s="1842">
        <v>0.15</v>
      </c>
      <c r="E319" s="1842">
        <v>0.15</v>
      </c>
      <c r="F319" s="1843">
        <v>0.15</v>
      </c>
    </row>
    <row r="320" spans="1:6" ht="14.25" thickBot="1">
      <c r="A320" s="1837" t="s">
        <v>2214</v>
      </c>
      <c r="B320" s="1841" t="s">
        <v>1107</v>
      </c>
      <c r="C320" s="1842">
        <v>0.15</v>
      </c>
      <c r="D320" s="1842">
        <v>0.15</v>
      </c>
      <c r="E320" s="1842">
        <v>0.15</v>
      </c>
      <c r="F320" s="1850"/>
    </row>
    <row r="321" spans="1:6" ht="14.25" thickBot="1">
      <c r="A321" s="1837" t="s">
        <v>2214</v>
      </c>
      <c r="B321" s="1841" t="s">
        <v>2218</v>
      </c>
      <c r="C321" s="1842">
        <v>0.15</v>
      </c>
      <c r="D321" s="1842">
        <v>0.15</v>
      </c>
      <c r="E321" s="1842">
        <v>0.15</v>
      </c>
      <c r="F321" s="1850"/>
    </row>
    <row r="322" spans="1:6" ht="14.25" thickBot="1">
      <c r="A322" s="1837" t="s">
        <v>2214</v>
      </c>
      <c r="B322" s="1841" t="s">
        <v>2219</v>
      </c>
      <c r="C322" s="1842">
        <v>0.15</v>
      </c>
      <c r="D322" s="1842">
        <v>0.15</v>
      </c>
      <c r="E322" s="1842">
        <v>0.15</v>
      </c>
      <c r="F322" s="1843">
        <v>0.15</v>
      </c>
    </row>
    <row r="323" spans="1:6" ht="14.25" thickBot="1">
      <c r="A323" s="1837" t="s">
        <v>2214</v>
      </c>
      <c r="B323" s="1841" t="s">
        <v>2220</v>
      </c>
      <c r="C323" s="1842">
        <v>0.15</v>
      </c>
      <c r="D323" s="1842">
        <v>0.15</v>
      </c>
      <c r="E323" s="1842">
        <v>0.15</v>
      </c>
      <c r="F323" s="1850"/>
    </row>
    <row r="324" spans="1:6" ht="14.25" thickBot="1">
      <c r="A324" s="1837" t="s">
        <v>2214</v>
      </c>
      <c r="B324" s="1841" t="s">
        <v>2221</v>
      </c>
      <c r="C324" s="1842">
        <v>0.15</v>
      </c>
      <c r="D324" s="1842">
        <v>0.15</v>
      </c>
      <c r="E324" s="1842">
        <v>0.15</v>
      </c>
      <c r="F324" s="1850"/>
    </row>
    <row r="325" spans="1:6" ht="14.25" thickBot="1">
      <c r="A325" s="1837" t="s">
        <v>2214</v>
      </c>
      <c r="B325" s="1841" t="s">
        <v>2222</v>
      </c>
      <c r="C325" s="1842">
        <v>0.15</v>
      </c>
      <c r="D325" s="1842">
        <v>0.15</v>
      </c>
      <c r="E325" s="1842">
        <v>0.15</v>
      </c>
      <c r="F325" s="1843">
        <v>0.14699999999999999</v>
      </c>
    </row>
    <row r="326" spans="1:6" ht="14.25" thickBot="1">
      <c r="A326" s="1837" t="s">
        <v>2214</v>
      </c>
      <c r="B326" s="1841" t="s">
        <v>1176</v>
      </c>
      <c r="C326" s="1842">
        <v>0.15</v>
      </c>
      <c r="D326" s="1842">
        <v>0.15</v>
      </c>
      <c r="E326" s="1842">
        <v>0.15</v>
      </c>
      <c r="F326" s="1850"/>
    </row>
    <row r="327" spans="1:6" ht="14.25" thickBot="1">
      <c r="A327" s="1837" t="s">
        <v>2214</v>
      </c>
      <c r="B327" s="1841" t="s">
        <v>2223</v>
      </c>
      <c r="C327" s="1842">
        <v>0.15</v>
      </c>
      <c r="D327" s="1842">
        <v>0.15</v>
      </c>
      <c r="E327" s="1842">
        <v>0.15</v>
      </c>
      <c r="F327" s="1843">
        <v>0.15</v>
      </c>
    </row>
    <row r="328" spans="1:6" ht="14.25" thickBot="1">
      <c r="A328" s="1837" t="s">
        <v>2214</v>
      </c>
      <c r="B328" s="1841" t="s">
        <v>1196</v>
      </c>
      <c r="C328" s="1842">
        <v>0.15</v>
      </c>
      <c r="D328" s="1842">
        <v>0.15</v>
      </c>
      <c r="E328" s="1842">
        <v>0.15</v>
      </c>
      <c r="F328" s="1843">
        <v>0.14099999999999999</v>
      </c>
    </row>
    <row r="329" spans="1:6" ht="14.25" thickBot="1">
      <c r="A329" s="1837" t="s">
        <v>2214</v>
      </c>
      <c r="B329" s="1841" t="s">
        <v>1206</v>
      </c>
      <c r="C329" s="1842">
        <v>0.15</v>
      </c>
      <c r="D329" s="1842">
        <v>0.15</v>
      </c>
      <c r="E329" s="1842">
        <v>0.15</v>
      </c>
      <c r="F329" s="1843">
        <v>0.15</v>
      </c>
    </row>
    <row r="330" spans="1:6" ht="14.25" thickBot="1">
      <c r="A330" s="1837" t="s">
        <v>2214</v>
      </c>
      <c r="B330" s="1841" t="s">
        <v>1216</v>
      </c>
      <c r="C330" s="1842">
        <v>0.15</v>
      </c>
      <c r="D330" s="1842">
        <v>0.15</v>
      </c>
      <c r="E330" s="1842">
        <v>0.15</v>
      </c>
      <c r="F330" s="1850"/>
    </row>
    <row r="331" spans="1:6" ht="14.25" thickBot="1">
      <c r="A331" s="1837" t="s">
        <v>2214</v>
      </c>
      <c r="B331" s="1841" t="s">
        <v>2224</v>
      </c>
      <c r="C331" s="1842">
        <v>0.15</v>
      </c>
      <c r="D331" s="1842">
        <v>0.15</v>
      </c>
      <c r="E331" s="1842">
        <v>0.15</v>
      </c>
      <c r="F331" s="1843">
        <v>0.15</v>
      </c>
    </row>
    <row r="332" spans="1:6" ht="14.25" thickBot="1">
      <c r="A332" s="1837" t="s">
        <v>2214</v>
      </c>
      <c r="B332" s="1841" t="s">
        <v>1236</v>
      </c>
      <c r="C332" s="1842">
        <v>0.15</v>
      </c>
      <c r="D332" s="1842">
        <v>0.15</v>
      </c>
      <c r="E332" s="1842">
        <v>0.15</v>
      </c>
      <c r="F332" s="1843">
        <v>0.15</v>
      </c>
    </row>
    <row r="333" spans="1:6" ht="14.25" thickBot="1">
      <c r="A333" s="1837" t="s">
        <v>2214</v>
      </c>
      <c r="B333" s="1841" t="s">
        <v>2225</v>
      </c>
      <c r="C333" s="1842">
        <v>0.15</v>
      </c>
      <c r="D333" s="1842">
        <v>0.15</v>
      </c>
      <c r="E333" s="1842">
        <v>0.15</v>
      </c>
      <c r="F333" s="1843">
        <v>0.14099999999999999</v>
      </c>
    </row>
    <row r="334" spans="1:6" ht="14.25" thickBot="1">
      <c r="A334" s="1837" t="s">
        <v>2214</v>
      </c>
      <c r="B334" s="1841" t="s">
        <v>1256</v>
      </c>
      <c r="C334" s="1842">
        <v>0.15</v>
      </c>
      <c r="D334" s="1842">
        <v>0.15</v>
      </c>
      <c r="E334" s="1842">
        <v>0.15</v>
      </c>
      <c r="F334" s="1843">
        <v>0.15</v>
      </c>
    </row>
    <row r="335" spans="1:6" ht="14.25" thickBot="1">
      <c r="A335" s="1837" t="s">
        <v>2214</v>
      </c>
      <c r="B335" s="1841" t="s">
        <v>1266</v>
      </c>
      <c r="C335" s="1842">
        <v>0.15</v>
      </c>
      <c r="D335" s="1842">
        <v>0.15</v>
      </c>
      <c r="E335" s="1842">
        <v>0.15</v>
      </c>
      <c r="F335" s="1850"/>
    </row>
    <row r="336" spans="1:6" ht="14.25" thickBot="1">
      <c r="A336" s="1837" t="s">
        <v>2214</v>
      </c>
      <c r="B336" s="1841" t="s">
        <v>2226</v>
      </c>
      <c r="C336" s="1842">
        <v>0.15</v>
      </c>
      <c r="D336" s="1842">
        <v>0.15</v>
      </c>
      <c r="E336" s="1842">
        <v>0.15</v>
      </c>
      <c r="F336" s="1843">
        <v>0.11799999999999999</v>
      </c>
    </row>
    <row r="337" spans="1:6" ht="14.25" thickBot="1">
      <c r="A337" s="1845" t="s">
        <v>2214</v>
      </c>
      <c r="B337" s="1852" t="s">
        <v>1284</v>
      </c>
      <c r="C337" s="1848"/>
      <c r="D337" s="1848"/>
      <c r="E337" s="1848"/>
      <c r="F337" s="1853">
        <v>0.14299999999999999</v>
      </c>
    </row>
    <row r="338" spans="1:6" ht="14.25" thickBot="1">
      <c r="A338" s="1837" t="s">
        <v>2227</v>
      </c>
      <c r="B338" s="1838" t="s">
        <v>2228</v>
      </c>
      <c r="C338" s="1839">
        <v>0.15</v>
      </c>
      <c r="D338" s="1839">
        <v>0.15</v>
      </c>
      <c r="E338" s="1839">
        <v>0.15</v>
      </c>
      <c r="F338" s="1861"/>
    </row>
    <row r="339" spans="1:6" ht="14.25" thickBot="1">
      <c r="A339" s="1837" t="s">
        <v>2227</v>
      </c>
      <c r="B339" s="1841" t="s">
        <v>2229</v>
      </c>
      <c r="C339" s="1842">
        <v>0.15</v>
      </c>
      <c r="D339" s="1842">
        <v>0.15</v>
      </c>
      <c r="E339" s="1842">
        <v>0.15</v>
      </c>
      <c r="F339" s="1850"/>
    </row>
    <row r="340" spans="1:6" ht="14.25" thickBot="1">
      <c r="A340" s="1837" t="s">
        <v>2227</v>
      </c>
      <c r="B340" s="1841" t="s">
        <v>2230</v>
      </c>
      <c r="C340" s="1842">
        <v>0.15</v>
      </c>
      <c r="D340" s="1842">
        <v>0.15</v>
      </c>
      <c r="E340" s="1842">
        <v>0.15</v>
      </c>
      <c r="F340" s="1850"/>
    </row>
    <row r="341" spans="1:6" ht="14.25" thickBot="1">
      <c r="A341" s="1837" t="s">
        <v>2231</v>
      </c>
      <c r="B341" s="1841" t="s">
        <v>2232</v>
      </c>
      <c r="C341" s="1842">
        <v>0.15</v>
      </c>
      <c r="D341" s="1842">
        <v>0.15</v>
      </c>
      <c r="E341" s="1842">
        <v>0.15</v>
      </c>
      <c r="F341" s="1843">
        <v>0.15</v>
      </c>
    </row>
    <row r="342" spans="1:6" ht="14.25" thickBot="1">
      <c r="A342" s="1837" t="s">
        <v>2227</v>
      </c>
      <c r="B342" s="1841" t="s">
        <v>2233</v>
      </c>
      <c r="C342" s="1842">
        <v>0.15</v>
      </c>
      <c r="D342" s="1842">
        <v>0.15</v>
      </c>
      <c r="E342" s="1842">
        <v>0.15</v>
      </c>
      <c r="F342" s="1843">
        <v>0.15</v>
      </c>
    </row>
    <row r="343" spans="1:6" ht="14.25" thickBot="1">
      <c r="A343" s="1837" t="s">
        <v>2227</v>
      </c>
      <c r="B343" s="1841" t="s">
        <v>2234</v>
      </c>
      <c r="C343" s="1842">
        <v>0.15</v>
      </c>
      <c r="D343" s="1842">
        <v>0.15</v>
      </c>
      <c r="E343" s="1842">
        <v>0.15</v>
      </c>
      <c r="F343" s="1843">
        <v>0.15</v>
      </c>
    </row>
    <row r="344" spans="1:6" ht="14.25" thickBot="1">
      <c r="A344" s="1845" t="s">
        <v>2227</v>
      </c>
      <c r="B344" s="1852" t="s">
        <v>2235</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H110"/>
  <sheetViews>
    <sheetView zoomScale="80" zoomScaleNormal="80" workbookViewId="0">
      <selection activeCell="I39" sqref="I39"/>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549" t="s">
        <v>2571</v>
      </c>
      <c r="C1" s="3549"/>
      <c r="D1" s="3549"/>
      <c r="E1" s="3549"/>
      <c r="F1" s="3549"/>
      <c r="G1" s="3548" t="s">
        <v>2572</v>
      </c>
      <c r="H1" s="3548"/>
      <c r="I1" s="3548"/>
      <c r="J1" s="3548"/>
      <c r="K1" s="3548"/>
      <c r="L1" s="3548"/>
      <c r="N1" s="3548" t="s">
        <v>2573</v>
      </c>
      <c r="O1" s="3548"/>
      <c r="P1" s="3548"/>
      <c r="Q1" s="3548"/>
      <c r="R1" s="2615"/>
      <c r="S1" s="3548" t="s">
        <v>2574</v>
      </c>
      <c r="T1" s="3548"/>
      <c r="U1" s="3548"/>
      <c r="V1" s="3548"/>
      <c r="X1" s="3547" t="s">
        <v>2634</v>
      </c>
      <c r="Y1" s="3548"/>
      <c r="Z1" s="3548"/>
      <c r="AA1" s="3548"/>
      <c r="AB1" s="3548"/>
      <c r="AD1" s="3547" t="s">
        <v>2638</v>
      </c>
      <c r="AE1" s="3548"/>
      <c r="AF1" s="3548"/>
      <c r="AG1" s="3548"/>
      <c r="AH1" s="3548"/>
    </row>
    <row r="2" spans="1:34" s="2716" customFormat="1" ht="14.25" thickBot="1">
      <c r="B2" s="2724" t="s">
        <v>2575</v>
      </c>
      <c r="C2" s="2724" t="s">
        <v>2636</v>
      </c>
      <c r="D2" s="2717" t="s">
        <v>1644</v>
      </c>
      <c r="E2" s="2717" t="s">
        <v>1949</v>
      </c>
      <c r="F2" s="2724" t="s">
        <v>2637</v>
      </c>
      <c r="G2" s="2720"/>
      <c r="H2" s="2719"/>
      <c r="I2" s="2724" t="s">
        <v>2948</v>
      </c>
      <c r="J2" s="2717" t="s">
        <v>2950</v>
      </c>
      <c r="K2" s="2717" t="s">
        <v>2951</v>
      </c>
      <c r="L2" s="2724" t="s">
        <v>2952</v>
      </c>
      <c r="N2" s="2724" t="s">
        <v>2575</v>
      </c>
      <c r="O2" s="2717" t="s">
        <v>2949</v>
      </c>
      <c r="P2" s="2717" t="s">
        <v>1949</v>
      </c>
      <c r="Q2" s="2724" t="s">
        <v>2637</v>
      </c>
      <c r="R2" s="2718"/>
      <c r="S2" s="2724" t="s">
        <v>2575</v>
      </c>
      <c r="T2" s="2717" t="s">
        <v>2949</v>
      </c>
      <c r="U2" s="2717" t="s">
        <v>1949</v>
      </c>
      <c r="V2" s="2724" t="s">
        <v>2637</v>
      </c>
      <c r="X2" s="2724" t="s">
        <v>2575</v>
      </c>
      <c r="Y2" s="2724" t="s">
        <v>2636</v>
      </c>
      <c r="Z2" s="2717" t="s">
        <v>1644</v>
      </c>
      <c r="AA2" s="2717" t="s">
        <v>1949</v>
      </c>
      <c r="AB2" s="2724" t="s">
        <v>2637</v>
      </c>
      <c r="AD2" s="2724" t="s">
        <v>2575</v>
      </c>
      <c r="AE2" s="2724" t="s">
        <v>2636</v>
      </c>
      <c r="AF2" s="2717" t="s">
        <v>1644</v>
      </c>
      <c r="AG2" s="2717" t="s">
        <v>1949</v>
      </c>
      <c r="AH2" s="2724" t="s">
        <v>2637</v>
      </c>
    </row>
    <row r="3" spans="1:34" s="3077" customFormat="1" ht="14.25">
      <c r="A3" s="3089" t="s">
        <v>2961</v>
      </c>
      <c r="B3" s="3078"/>
      <c r="C3" s="3078"/>
      <c r="D3" s="3079"/>
      <c r="E3" s="3079"/>
      <c r="F3" s="3078"/>
      <c r="G3" s="3080"/>
      <c r="H3" s="3081"/>
      <c r="I3" s="3088">
        <f>ROUND(AVERAGE($I4:$I27),2)</f>
        <v>2.04</v>
      </c>
      <c r="J3" s="3088">
        <f>ROUND(AVERAGE($J4:$J27),2)</f>
        <v>1.44</v>
      </c>
      <c r="K3" s="3088">
        <f>ROUND(AVERAGE($K4:$K27),2)</f>
        <v>2.23</v>
      </c>
      <c r="L3" s="3088">
        <f>ROUND(AVERAGE($L4:$L27),2)</f>
        <v>1.4</v>
      </c>
      <c r="N3" s="3080"/>
      <c r="O3" s="3082"/>
      <c r="P3" s="3082"/>
      <c r="Q3" s="3082"/>
      <c r="R3" s="3082"/>
      <c r="S3" s="3080"/>
      <c r="T3" s="3082"/>
      <c r="U3" s="3082"/>
      <c r="V3" s="3082"/>
      <c r="W3" s="3085"/>
      <c r="X3" s="3083">
        <f>ROUND(SUMPRODUCT(PRODUCT(1+N3:N$26)),4)</f>
        <v>1.5422</v>
      </c>
      <c r="Y3" s="3083">
        <f>ROUND(SUMPRODUCT(PRODUCT(1+O3:O$26)),4)</f>
        <v>1.3557999999999999</v>
      </c>
      <c r="Z3" s="3083">
        <f t="shared" ref="Z3:Z24" si="0">Y3</f>
        <v>1.3557999999999999</v>
      </c>
      <c r="AA3" s="3083">
        <f>ROUND(SUMPRODUCT(PRODUCT(1+P3:P$26)),4)</f>
        <v>1.6036999999999999</v>
      </c>
      <c r="AB3" s="3083">
        <f>ROUND(SUMPRODUCT(PRODUCT(1+Q3:Q$26)),4)</f>
        <v>1.3573</v>
      </c>
      <c r="AD3" s="3084">
        <f>ROUND(AVERAGE(I3:I$27)/100,4)</f>
        <v>2.0400000000000001E-2</v>
      </c>
      <c r="AE3" s="3084">
        <f>ROUND(AVERAGE(J3:J$27)/100,4)</f>
        <v>1.44E-2</v>
      </c>
      <c r="AF3" s="3084">
        <f t="shared" ref="AF3:AF25" si="1">AE3</f>
        <v>1.44E-2</v>
      </c>
      <c r="AG3" s="3084">
        <f>ROUND(AVERAGE(K3:K$27)/100,4)</f>
        <v>2.23E-2</v>
      </c>
      <c r="AH3" s="3084">
        <f>ROUND(AVERAGE(L3:L$27)/100,4)</f>
        <v>1.4E-2</v>
      </c>
    </row>
    <row r="4" spans="1:34" s="2709" customFormat="1" ht="14.25">
      <c r="B4" s="2710"/>
      <c r="C4" s="2710"/>
      <c r="D4" s="2711"/>
      <c r="E4" s="2711"/>
      <c r="F4" s="2710"/>
      <c r="G4" s="2715"/>
      <c r="H4" s="2712"/>
      <c r="I4" s="3073"/>
      <c r="J4" s="3073"/>
      <c r="K4" s="3073"/>
      <c r="L4" s="3073"/>
      <c r="N4" s="2715"/>
      <c r="O4" s="2713"/>
      <c r="P4" s="2713"/>
      <c r="Q4" s="2713"/>
      <c r="R4" s="2713"/>
      <c r="S4" s="2715"/>
      <c r="T4" s="2713"/>
      <c r="U4" s="2713"/>
      <c r="V4" s="2713"/>
      <c r="W4" s="3086"/>
      <c r="X4" s="2714"/>
      <c r="Y4" s="2714"/>
      <c r="Z4" s="2714"/>
      <c r="AA4" s="2714"/>
      <c r="AB4" s="2714"/>
      <c r="AD4" s="2634"/>
      <c r="AE4" s="2634"/>
      <c r="AF4" s="2634"/>
      <c r="AG4" s="2634"/>
      <c r="AH4" s="2634"/>
    </row>
    <row r="5" spans="1:34" s="3061" customFormat="1" ht="13.5" thickBot="1">
      <c r="A5" s="3059" t="s">
        <v>2987</v>
      </c>
      <c r="B5" s="2748">
        <f t="shared" ref="B5" si="2">B6*(1+N5)</f>
        <v>474.30670301923408</v>
      </c>
      <c r="C5" s="2748">
        <f t="shared" ref="C5" si="3">C6*(1+O5)</f>
        <v>349.50705005996491</v>
      </c>
      <c r="D5" s="2748">
        <f t="shared" ref="D5" si="4">C5</f>
        <v>349.50705005996491</v>
      </c>
      <c r="E5" s="2748">
        <f t="shared" ref="E5" si="5">E6*(1+P5)</f>
        <v>678.22831959706957</v>
      </c>
      <c r="F5" s="2748">
        <f t="shared" ref="F5" si="6">F6*(1+Q5)</f>
        <v>312.0556832169558</v>
      </c>
      <c r="G5" s="2715">
        <v>2019</v>
      </c>
      <c r="H5" s="3060">
        <v>3</v>
      </c>
      <c r="I5" s="3074">
        <v>0</v>
      </c>
      <c r="J5" s="3074">
        <v>0</v>
      </c>
      <c r="K5" s="3074">
        <v>0</v>
      </c>
      <c r="L5" s="3074">
        <v>0</v>
      </c>
      <c r="N5" s="2722">
        <f t="shared" ref="N5" si="7">I5/100</f>
        <v>0</v>
      </c>
      <c r="O5" s="2722">
        <f t="shared" ref="O5" si="8">J5/100</f>
        <v>0</v>
      </c>
      <c r="P5" s="2722">
        <f t="shared" ref="P5" si="9">K5/100</f>
        <v>0</v>
      </c>
      <c r="Q5" s="2722">
        <f t="shared" ref="Q5" si="10">L5/100</f>
        <v>0</v>
      </c>
      <c r="R5" s="3062"/>
      <c r="S5" s="3063"/>
      <c r="T5" s="3062"/>
      <c r="U5" s="3062"/>
      <c r="V5" s="3062"/>
      <c r="W5" s="3087" t="s">
        <v>2962</v>
      </c>
      <c r="X5" s="3064">
        <f>ROUND(IF(项目基本情况!B8="出让",SUMPRODUCT(PRODUCT(1+N5:N$27)),SUMPRODUCT(PRODUCT(1+N5:N$26))),4)</f>
        <v>1.5422</v>
      </c>
      <c r="Y5" s="3064">
        <f>ROUND(IF(项目基本情况!B8="出让",SUMPRODUCT(PRODUCT(1+O5:O$27)),SUMPRODUCT(PRODUCT(1+O5:O$26))),4)</f>
        <v>1.3557999999999999</v>
      </c>
      <c r="Z5" s="3064">
        <f t="shared" ref="Z5" si="11">Y5</f>
        <v>1.3557999999999999</v>
      </c>
      <c r="AA5" s="3064">
        <f>ROUND(IF(项目基本情况!B8="出让",SUMPRODUCT(PRODUCT(1+P5:P$27)),SUMPRODUCT(PRODUCT(1+P5:P$26))),4)</f>
        <v>1.6036999999999999</v>
      </c>
      <c r="AB5" s="3064">
        <f>ROUND(IF(项目基本情况!B8="出让",SUMPRODUCT(PRODUCT(1+Q5:Q$27)),SUMPRODUCT(PRODUCT(1+Q5:Q$26))),4)</f>
        <v>1.3573</v>
      </c>
      <c r="AD5" s="3065">
        <f>ROUND(AVERAGE(I5:I$27)/100,4)</f>
        <v>2.0400000000000001E-2</v>
      </c>
      <c r="AE5" s="3065">
        <f>ROUND(AVERAGE(J5:J$27)/100,4)</f>
        <v>1.44E-2</v>
      </c>
      <c r="AF5" s="3065">
        <f t="shared" ref="AF5" si="12">AE5</f>
        <v>1.44E-2</v>
      </c>
      <c r="AG5" s="3065">
        <f>ROUND(AVERAGE(K5:K$27)/100,4)</f>
        <v>2.23E-2</v>
      </c>
      <c r="AH5" s="3065">
        <f>ROUND(AVERAGE(L5:L$27)/100,4)</f>
        <v>1.4E-2</v>
      </c>
    </row>
    <row r="6" spans="1:34" s="2721" customFormat="1">
      <c r="A6" s="2616" t="s">
        <v>2986</v>
      </c>
      <c r="B6" s="2629">
        <f t="shared" ref="B6:B11" si="13">B7*(1+N6)</f>
        <v>474.30670301923408</v>
      </c>
      <c r="C6" s="2629">
        <f t="shared" ref="C6" si="14">C7*(1+O6)</f>
        <v>349.50705005996491</v>
      </c>
      <c r="D6" s="2629">
        <f t="shared" ref="D6" si="15">C6</f>
        <v>349.50705005996491</v>
      </c>
      <c r="E6" s="2629">
        <f t="shared" ref="E6" si="16">E7*(1+P6)</f>
        <v>678.22831959706957</v>
      </c>
      <c r="F6" s="2629">
        <f t="shared" ref="F6" si="17">F7*(1+Q6)</f>
        <v>312.0556832169558</v>
      </c>
      <c r="G6" s="2715">
        <v>2019</v>
      </c>
      <c r="H6" s="2617">
        <v>2</v>
      </c>
      <c r="I6" s="3176">
        <v>1.53</v>
      </c>
      <c r="J6" s="3176">
        <v>1.01</v>
      </c>
      <c r="K6" s="3176">
        <v>1.62</v>
      </c>
      <c r="L6" s="3177">
        <v>1.25</v>
      </c>
      <c r="M6" s="2623"/>
      <c r="N6" s="2624">
        <f t="shared" ref="N6" si="18">I6/100</f>
        <v>1.5300000000000001E-2</v>
      </c>
      <c r="O6" s="2625">
        <f t="shared" ref="O6" si="19">J6/100</f>
        <v>1.01E-2</v>
      </c>
      <c r="P6" s="2625">
        <f t="shared" ref="P6" si="20">K6/100</f>
        <v>1.6200000000000003E-2</v>
      </c>
      <c r="Q6" s="2625">
        <f t="shared" ref="Q6" si="21">L6/100</f>
        <v>1.2500000000000001E-2</v>
      </c>
      <c r="R6" s="2626"/>
      <c r="S6" s="2632"/>
      <c r="T6" s="2633"/>
      <c r="U6" s="2633"/>
      <c r="V6" s="2633"/>
      <c r="W6" s="2623"/>
      <c r="X6" s="2714">
        <f>ROUND(IF(项目基本情况!B8="出让",SUMPRODUCT(PRODUCT(1+N6:N$27)),SUMPRODUCT(PRODUCT(1+N6:N$26))),4)</f>
        <v>1.5422</v>
      </c>
      <c r="Y6" s="2714">
        <f>ROUND(IF(项目基本情况!B8="出让",SUMPRODUCT(PRODUCT(1+O6:O$27)),SUMPRODUCT(PRODUCT(1+O6:O$26))),4)</f>
        <v>1.3557999999999999</v>
      </c>
      <c r="Z6" s="2714">
        <f t="shared" ref="Z6" si="22">Y6</f>
        <v>1.3557999999999999</v>
      </c>
      <c r="AA6" s="2714">
        <f>ROUND(IF(项目基本情况!B8="出让",SUMPRODUCT(PRODUCT(1+P6:P$27)),SUMPRODUCT(PRODUCT(1+P6:P$26))),4)</f>
        <v>1.6036999999999999</v>
      </c>
      <c r="AB6" s="2714">
        <f>ROUND(IF(项目基本情况!B8="出让",SUMPRODUCT(PRODUCT(1+Q6:Q$27)),SUMPRODUCT(PRODUCT(1+Q6:Q$26))),4)</f>
        <v>1.3573</v>
      </c>
      <c r="AC6" s="2623"/>
      <c r="AD6" s="2634">
        <f>ROUND(AVERAGE(I6:I$27)/100,4)</f>
        <v>2.1299999999999999E-2</v>
      </c>
      <c r="AE6" s="2634">
        <f>ROUND(AVERAGE(J6:J$27)/100,4)</f>
        <v>1.4999999999999999E-2</v>
      </c>
      <c r="AF6" s="2634">
        <f t="shared" ref="AF6" si="23">AE6</f>
        <v>1.4999999999999999E-2</v>
      </c>
      <c r="AG6" s="2634">
        <f>ROUND(AVERAGE(K6:K$27)/100,4)</f>
        <v>2.3300000000000001E-2</v>
      </c>
      <c r="AH6" s="2634">
        <f>ROUND(AVERAGE(L6:L$27)/100,4)</f>
        <v>1.46E-2</v>
      </c>
    </row>
    <row r="7" spans="1:34" s="2721" customFormat="1" ht="13.5" thickBot="1">
      <c r="A7" s="2616" t="s">
        <v>2984</v>
      </c>
      <c r="B7" s="2629">
        <f t="shared" si="13"/>
        <v>467.15916775261894</v>
      </c>
      <c r="C7" s="2629">
        <f t="shared" ref="C7" si="24">C8*(1+O7)</f>
        <v>346.01232557169084</v>
      </c>
      <c r="D7" s="2629">
        <f t="shared" ref="D7" si="25">C7</f>
        <v>346.01232557169084</v>
      </c>
      <c r="E7" s="2629">
        <f t="shared" ref="E7" si="26">E8*(1+P7)</f>
        <v>667.41617752122568</v>
      </c>
      <c r="F7" s="2629">
        <f t="shared" ref="F7" si="27">F8*(1+Q7)</f>
        <v>308.20314391798104</v>
      </c>
      <c r="G7" s="2715">
        <v>2019</v>
      </c>
      <c r="H7" s="2619">
        <v>1</v>
      </c>
      <c r="I7" s="2619">
        <v>0.6</v>
      </c>
      <c r="J7" s="2619">
        <v>0.37</v>
      </c>
      <c r="K7" s="2619">
        <v>0.63</v>
      </c>
      <c r="L7" s="2630">
        <v>1.1299999999999999</v>
      </c>
      <c r="M7" s="2623"/>
      <c r="N7" s="2624">
        <f t="shared" ref="N7" si="28">I7/100</f>
        <v>6.0000000000000001E-3</v>
      </c>
      <c r="O7" s="2625">
        <f t="shared" ref="O7" si="29">J7/100</f>
        <v>3.7000000000000002E-3</v>
      </c>
      <c r="P7" s="2625">
        <f t="shared" ref="P7" si="30">K7/100</f>
        <v>6.3E-3</v>
      </c>
      <c r="Q7" s="2625">
        <f t="shared" ref="Q7" si="31">L7/100</f>
        <v>1.1299999999999999E-2</v>
      </c>
      <c r="R7" s="2626"/>
      <c r="S7" s="2632">
        <f>B7/B8-1</f>
        <v>6.0000000000000053E-3</v>
      </c>
      <c r="T7" s="2633">
        <f>C7/C8-1</f>
        <v>3.7000000000000366E-3</v>
      </c>
      <c r="U7" s="2633">
        <f>E7/E8-1</f>
        <v>6.2999999999999723E-3</v>
      </c>
      <c r="V7" s="2633">
        <f>F7/F8-1</f>
        <v>1.1300000000000088E-2</v>
      </c>
      <c r="W7" s="2623"/>
      <c r="X7" s="2714">
        <f>ROUND(IF(项目基本情况!B8="出让",SUMPRODUCT(PRODUCT(1+N7:N$27)),SUMPRODUCT(PRODUCT(1+N7:N$26))),4)</f>
        <v>1.5189999999999999</v>
      </c>
      <c r="Y7" s="2714">
        <f>ROUND(IF(项目基本情况!B8="出让",SUMPRODUCT(PRODUCT(1+O7:O$27)),SUMPRODUCT(PRODUCT(1+O7:O$26))),4)</f>
        <v>1.3423</v>
      </c>
      <c r="Z7" s="2714">
        <f t="shared" ref="Z7" si="32">Y7</f>
        <v>1.3423</v>
      </c>
      <c r="AA7" s="2714">
        <f>ROUND(IF(项目基本情况!B8="出让",SUMPRODUCT(PRODUCT(1+P7:P$27)),SUMPRODUCT(PRODUCT(1+P7:P$26))),4)</f>
        <v>1.5782</v>
      </c>
      <c r="AB7" s="2714">
        <f>ROUND(IF(项目基本情况!B8="出让",SUMPRODUCT(PRODUCT(1+Q7:Q$27)),SUMPRODUCT(PRODUCT(1+Q7:Q$26))),4)</f>
        <v>1.3405</v>
      </c>
      <c r="AC7" s="2623"/>
      <c r="AD7" s="2634">
        <f>ROUND(AVERAGE(I7:I$27)/100,4)</f>
        <v>2.1600000000000001E-2</v>
      </c>
      <c r="AE7" s="2634">
        <f>ROUND(AVERAGE(J7:J$27)/100,4)</f>
        <v>1.5299999999999999E-2</v>
      </c>
      <c r="AF7" s="2634">
        <f t="shared" ref="AF7" si="33">AE7</f>
        <v>1.5299999999999999E-2</v>
      </c>
      <c r="AG7" s="2634">
        <f>ROUND(AVERAGE(K7:K$27)/100,4)</f>
        <v>2.3699999999999999E-2</v>
      </c>
      <c r="AH7" s="2634">
        <f>ROUND(AVERAGE(L7:L$27)/100,4)</f>
        <v>1.47E-2</v>
      </c>
    </row>
    <row r="8" spans="1:34" s="2721" customFormat="1">
      <c r="A8" s="2616" t="s">
        <v>2981</v>
      </c>
      <c r="B8" s="3173">
        <f t="shared" si="13"/>
        <v>464.37293017158942</v>
      </c>
      <c r="C8" s="3173">
        <f t="shared" ref="C8" si="34">C9*(1+O8)</f>
        <v>344.73679941385956</v>
      </c>
      <c r="D8" s="3173">
        <f t="shared" ref="D8" si="35">C8</f>
        <v>344.73679941385956</v>
      </c>
      <c r="E8" s="3173">
        <f t="shared" ref="E8" si="36">E9*(1+P8)</f>
        <v>663.2377795103107</v>
      </c>
      <c r="F8" s="3174">
        <f t="shared" ref="F8" si="37">F9*(1+Q8)</f>
        <v>304.75936311478398</v>
      </c>
      <c r="G8" s="3543">
        <v>2018</v>
      </c>
      <c r="H8" s="2617">
        <v>4</v>
      </c>
      <c r="I8" s="2617">
        <v>0.96</v>
      </c>
      <c r="J8" s="2617">
        <v>1.03</v>
      </c>
      <c r="K8" s="2617">
        <v>0.92</v>
      </c>
      <c r="L8" s="2618">
        <v>1.29</v>
      </c>
      <c r="M8" s="2623"/>
      <c r="N8" s="2624">
        <f t="shared" ref="N8" si="38">I8/100</f>
        <v>9.5999999999999992E-3</v>
      </c>
      <c r="O8" s="2625">
        <f t="shared" ref="O8" si="39">J8/100</f>
        <v>1.03E-2</v>
      </c>
      <c r="P8" s="2625">
        <f t="shared" ref="P8" si="40">K8/100</f>
        <v>9.1999999999999998E-3</v>
      </c>
      <c r="Q8" s="2625">
        <f t="shared" ref="Q8" si="41">L8/100</f>
        <v>1.29E-2</v>
      </c>
      <c r="R8" s="2626"/>
      <c r="S8" s="2627"/>
      <c r="T8" s="2628"/>
      <c r="U8" s="2628"/>
      <c r="V8" s="2628"/>
      <c r="W8" s="2623"/>
      <c r="X8" s="2714">
        <f>ROUND(SUMPRODUCT(PRODUCT(1+N8:N$26)),4)</f>
        <v>1.5099</v>
      </c>
      <c r="Y8" s="2714">
        <f>ROUND(SUMPRODUCT(PRODUCT(1+O8:O$26)),4)</f>
        <v>1.3372999999999999</v>
      </c>
      <c r="Z8" s="2714">
        <f t="shared" ref="Z8" si="42">Y8</f>
        <v>1.3372999999999999</v>
      </c>
      <c r="AA8" s="2714">
        <f>ROUND(SUMPRODUCT(PRODUCT(1+P8:P$26)),4)</f>
        <v>1.5683</v>
      </c>
      <c r="AB8" s="2714">
        <f>ROUND(SUMPRODUCT(PRODUCT(1+Q8:Q$26)),4)</f>
        <v>1.3255999999999999</v>
      </c>
      <c r="AC8" s="2623"/>
      <c r="AD8" s="2634">
        <f>ROUND(AVERAGE(I8:I$27)/100,4)</f>
        <v>2.24E-2</v>
      </c>
      <c r="AE8" s="2634">
        <f>ROUND(AVERAGE(J8:J$27)/100,4)</f>
        <v>1.5800000000000002E-2</v>
      </c>
      <c r="AF8" s="2634">
        <f t="shared" ref="AF8" si="43">AE8</f>
        <v>1.5800000000000002E-2</v>
      </c>
      <c r="AG8" s="2634">
        <f>ROUND(AVERAGE(K8:K$27)/100,4)</f>
        <v>2.4500000000000001E-2</v>
      </c>
      <c r="AH8" s="2634">
        <f>ROUND(AVERAGE(L8:L$27)/100,4)</f>
        <v>1.49E-2</v>
      </c>
    </row>
    <row r="9" spans="1:34" s="2721" customFormat="1" ht="14.45" customHeight="1">
      <c r="A9" s="2616" t="s">
        <v>2971</v>
      </c>
      <c r="B9" s="2629">
        <f t="shared" si="13"/>
        <v>459.95733971036987</v>
      </c>
      <c r="C9" s="2629">
        <f t="shared" ref="C9" si="44">C10*(1+O9)</f>
        <v>341.22221064422405</v>
      </c>
      <c r="D9" s="2629">
        <f t="shared" ref="D9" si="45">C9</f>
        <v>341.22221064422405</v>
      </c>
      <c r="E9" s="2629">
        <f t="shared" ref="E9" si="46">E10*(1+P9)</f>
        <v>657.19161663724799</v>
      </c>
      <c r="F9" s="2629">
        <f t="shared" ref="F9" si="47">F10*(1+Q9)</f>
        <v>300.87803644464805</v>
      </c>
      <c r="G9" s="3543"/>
      <c r="H9" s="2619">
        <v>3</v>
      </c>
      <c r="I9" s="2619">
        <v>1.51</v>
      </c>
      <c r="J9" s="2619">
        <v>1.41</v>
      </c>
      <c r="K9" s="2619">
        <v>1.52</v>
      </c>
      <c r="L9" s="2630">
        <v>1.74</v>
      </c>
      <c r="M9" s="2623"/>
      <c r="N9" s="2624">
        <f t="shared" ref="N9" si="48">I9/100</f>
        <v>1.5100000000000001E-2</v>
      </c>
      <c r="O9" s="2625">
        <f t="shared" ref="O9" si="49">J9/100</f>
        <v>1.41E-2</v>
      </c>
      <c r="P9" s="2625">
        <f t="shared" ref="P9" si="50">K9/100</f>
        <v>1.52E-2</v>
      </c>
      <c r="Q9" s="2625">
        <f t="shared" ref="Q9" si="51">L9/100</f>
        <v>1.7399999999999999E-2</v>
      </c>
      <c r="R9" s="2626"/>
      <c r="S9" s="2624"/>
      <c r="T9" s="2625"/>
      <c r="U9" s="2625"/>
      <c r="V9" s="2625"/>
      <c r="W9" s="2623"/>
      <c r="X9" s="2714">
        <f>ROUND(SUMPRODUCT(PRODUCT(1+N9:N$26)),4)</f>
        <v>1.4956</v>
      </c>
      <c r="Y9" s="2714">
        <f>ROUND(SUMPRODUCT(PRODUCT(1+O9:O$26)),4)</f>
        <v>1.3237000000000001</v>
      </c>
      <c r="Z9" s="2714">
        <f t="shared" ref="Z9" si="52">Y9</f>
        <v>1.3237000000000001</v>
      </c>
      <c r="AA9" s="2714">
        <f>ROUND(SUMPRODUCT(PRODUCT(1+P9:P$26)),4)</f>
        <v>1.554</v>
      </c>
      <c r="AB9" s="2714">
        <f>ROUND(SUMPRODUCT(PRODUCT(1+Q9:Q$26)),4)</f>
        <v>1.3087</v>
      </c>
      <c r="AC9" s="2623"/>
      <c r="AD9" s="2634">
        <f>ROUND(AVERAGE(I9:I$27)/100,4)</f>
        <v>2.3099999999999999E-2</v>
      </c>
      <c r="AE9" s="2634">
        <f>ROUND(AVERAGE(J9:J$27)/100,4)</f>
        <v>1.61E-2</v>
      </c>
      <c r="AF9" s="2634">
        <f t="shared" ref="AF9" si="53">AE9</f>
        <v>1.61E-2</v>
      </c>
      <c r="AG9" s="2634">
        <f>ROUND(AVERAGE(K9:K$27)/100,4)</f>
        <v>2.53E-2</v>
      </c>
      <c r="AH9" s="2634">
        <f>ROUND(AVERAGE(L9:L$27)/100,4)</f>
        <v>1.4999999999999999E-2</v>
      </c>
    </row>
    <row r="10" spans="1:34" s="2721" customFormat="1" ht="14.45" customHeight="1">
      <c r="A10" s="2616" t="s">
        <v>2972</v>
      </c>
      <c r="B10" s="2629">
        <f t="shared" si="13"/>
        <v>453.11529869999993</v>
      </c>
      <c r="C10" s="2629">
        <f t="shared" ref="C10" si="54">C11*(1+O10)</f>
        <v>336.47787264000004</v>
      </c>
      <c r="D10" s="2629">
        <f t="shared" ref="D10" si="55">C10</f>
        <v>336.47787264000004</v>
      </c>
      <c r="E10" s="2629">
        <f t="shared" ref="E10" si="56">E11*(1+P10)</f>
        <v>647.35186823999993</v>
      </c>
      <c r="F10" s="2629">
        <f t="shared" ref="F10" si="57">F11*(1+Q10)</f>
        <v>295.73229452000004</v>
      </c>
      <c r="G10" s="3543"/>
      <c r="H10" s="2620">
        <v>2</v>
      </c>
      <c r="I10" s="2620">
        <v>1.49</v>
      </c>
      <c r="J10" s="2620">
        <v>0.96</v>
      </c>
      <c r="K10" s="2620">
        <v>1.58</v>
      </c>
      <c r="L10" s="2631">
        <v>2.44</v>
      </c>
      <c r="M10" s="2623"/>
      <c r="N10" s="2624">
        <f t="shared" ref="N10" si="58">I10/100</f>
        <v>1.49E-2</v>
      </c>
      <c r="O10" s="2625">
        <f t="shared" ref="O10" si="59">J10/100</f>
        <v>9.5999999999999992E-3</v>
      </c>
      <c r="P10" s="2625">
        <f t="shared" ref="P10" si="60">K10/100</f>
        <v>1.5800000000000002E-2</v>
      </c>
      <c r="Q10" s="2625">
        <f t="shared" ref="Q10" si="61">L10/100</f>
        <v>2.4399999999999998E-2</v>
      </c>
      <c r="R10" s="2626"/>
      <c r="S10" s="2624"/>
      <c r="T10" s="2625"/>
      <c r="U10" s="2625"/>
      <c r="V10" s="2625"/>
      <c r="W10" s="2623"/>
      <c r="X10" s="2714">
        <f>ROUND(SUMPRODUCT(PRODUCT(1+N10:N$26)),4)</f>
        <v>1.4733000000000001</v>
      </c>
      <c r="Y10" s="2714">
        <f>ROUND(SUMPRODUCT(PRODUCT(1+O10:O$26)),4)</f>
        <v>1.3052999999999999</v>
      </c>
      <c r="Z10" s="2714">
        <f t="shared" ref="Z10" si="62">Y10</f>
        <v>1.3052999999999999</v>
      </c>
      <c r="AA10" s="2714">
        <f>ROUND(SUMPRODUCT(PRODUCT(1+P10:P$26)),4)</f>
        <v>1.5306999999999999</v>
      </c>
      <c r="AB10" s="2714">
        <f>ROUND(SUMPRODUCT(PRODUCT(1+Q10:Q$26)),4)</f>
        <v>1.2863</v>
      </c>
      <c r="AC10" s="2623"/>
      <c r="AD10" s="2634">
        <f>ROUND(AVERAGE(I10:I$27)/100,4)</f>
        <v>2.35E-2</v>
      </c>
      <c r="AE10" s="2634">
        <f>ROUND(AVERAGE(J10:J$27)/100,4)</f>
        <v>1.6199999999999999E-2</v>
      </c>
      <c r="AF10" s="2634">
        <f t="shared" ref="AF10" si="63">AE10</f>
        <v>1.6199999999999999E-2</v>
      </c>
      <c r="AG10" s="2634">
        <f>ROUND(AVERAGE(K10:K$27)/100,4)</f>
        <v>2.5899999999999999E-2</v>
      </c>
      <c r="AH10" s="2634">
        <f>ROUND(AVERAGE(L10:L$27)/100,4)</f>
        <v>1.49E-2</v>
      </c>
    </row>
    <row r="11" spans="1:34" s="2721" customFormat="1" ht="15" customHeight="1" thickBot="1">
      <c r="A11" s="2616" t="s">
        <v>2968</v>
      </c>
      <c r="B11" s="2629">
        <f t="shared" si="13"/>
        <v>446.46299999999997</v>
      </c>
      <c r="C11" s="2629">
        <f t="shared" ref="C11" si="64">C12*(1+O11)</f>
        <v>333.27840000000003</v>
      </c>
      <c r="D11" s="2629">
        <f t="shared" ref="D11:D16" si="65">C11</f>
        <v>333.27840000000003</v>
      </c>
      <c r="E11" s="2629">
        <f t="shared" ref="E11" si="66">E12*(1+P11)</f>
        <v>637.28279999999995</v>
      </c>
      <c r="F11" s="2629">
        <f t="shared" ref="F11" si="67">F12*(1+Q11)</f>
        <v>288.68830000000003</v>
      </c>
      <c r="G11" s="3544"/>
      <c r="H11" s="2619">
        <v>1</v>
      </c>
      <c r="I11" s="2619">
        <v>1.7</v>
      </c>
      <c r="J11" s="2619">
        <v>1.92</v>
      </c>
      <c r="K11" s="2619">
        <v>1.64</v>
      </c>
      <c r="L11" s="2630">
        <v>2.0099999999999998</v>
      </c>
      <c r="M11" s="2623"/>
      <c r="N11" s="2624">
        <f t="shared" ref="N11:N16" si="68">I11/100</f>
        <v>1.7000000000000001E-2</v>
      </c>
      <c r="O11" s="2625">
        <f t="shared" ref="O11" si="69">J11/100</f>
        <v>1.9199999999999998E-2</v>
      </c>
      <c r="P11" s="2625">
        <f t="shared" ref="P11" si="70">K11/100</f>
        <v>1.6399999999999998E-2</v>
      </c>
      <c r="Q11" s="2625">
        <f t="shared" ref="Q11" si="71">L11/100</f>
        <v>2.0099999999999996E-2</v>
      </c>
      <c r="R11" s="2626"/>
      <c r="S11" s="2632">
        <f>B11/B12-1</f>
        <v>1.6999999999999904E-2</v>
      </c>
      <c r="T11" s="2633">
        <f>C11/C12-1</f>
        <v>1.9200000000000106E-2</v>
      </c>
      <c r="U11" s="2633">
        <f>E11/E12-1</f>
        <v>1.639999999999997E-2</v>
      </c>
      <c r="V11" s="2633">
        <f>F11/F12-1</f>
        <v>2.0100000000000007E-2</v>
      </c>
      <c r="W11" s="2623"/>
      <c r="X11" s="2714">
        <f>ROUND(SUMPRODUCT(PRODUCT(1+N11:N$26)),4)</f>
        <v>1.4517</v>
      </c>
      <c r="Y11" s="2714">
        <f>ROUND(SUMPRODUCT(PRODUCT(1+O11:O$26)),4)</f>
        <v>1.2928999999999999</v>
      </c>
      <c r="Z11" s="2714">
        <f t="shared" ref="Z11" si="72">Y11</f>
        <v>1.2928999999999999</v>
      </c>
      <c r="AA11" s="2714">
        <f>ROUND(SUMPRODUCT(PRODUCT(1+P11:P$26)),4)</f>
        <v>1.5068999999999999</v>
      </c>
      <c r="AB11" s="2714">
        <f>ROUND(SUMPRODUCT(PRODUCT(1+Q11:Q$26)),4)</f>
        <v>1.2557</v>
      </c>
      <c r="AC11" s="2623"/>
      <c r="AD11" s="2634">
        <f>ROUND(AVERAGE(I11:I$27)/100,4)</f>
        <v>2.4E-2</v>
      </c>
      <c r="AE11" s="2634">
        <f>ROUND(AVERAGE(J11:J$27)/100,4)</f>
        <v>1.66E-2</v>
      </c>
      <c r="AF11" s="2634">
        <f t="shared" ref="AF11" si="73">AE11</f>
        <v>1.66E-2</v>
      </c>
      <c r="AG11" s="2634">
        <f>ROUND(AVERAGE(K11:K$27)/100,4)</f>
        <v>2.6499999999999999E-2</v>
      </c>
      <c r="AH11" s="2634">
        <f>ROUND(AVERAGE(L11:L$27)/100,4)</f>
        <v>1.43E-2</v>
      </c>
    </row>
    <row r="12" spans="1:34">
      <c r="A12" s="2616" t="s">
        <v>2959</v>
      </c>
      <c r="B12" s="3091">
        <v>439</v>
      </c>
      <c r="C12" s="3091">
        <v>327</v>
      </c>
      <c r="D12" s="3091">
        <f t="shared" si="65"/>
        <v>327</v>
      </c>
      <c r="E12" s="3091">
        <v>627</v>
      </c>
      <c r="F12" s="3092">
        <v>283</v>
      </c>
      <c r="G12" s="3542">
        <v>2017</v>
      </c>
      <c r="H12" s="2617">
        <v>4</v>
      </c>
      <c r="I12" s="2617">
        <v>1.71</v>
      </c>
      <c r="J12" s="2617">
        <v>1.78</v>
      </c>
      <c r="K12" s="2617">
        <v>1.71</v>
      </c>
      <c r="L12" s="2618">
        <v>1.43</v>
      </c>
      <c r="N12" s="2637">
        <f t="shared" si="68"/>
        <v>1.7100000000000001E-2</v>
      </c>
      <c r="O12" s="2638">
        <f t="shared" ref="O12" si="74">J12/100</f>
        <v>1.78E-2</v>
      </c>
      <c r="P12" s="2638">
        <f t="shared" ref="P12" si="75">K12/100</f>
        <v>1.7100000000000001E-2</v>
      </c>
      <c r="Q12" s="2638">
        <f t="shared" ref="Q12" si="76">L12/100</f>
        <v>1.43E-2</v>
      </c>
      <c r="R12" s="2626"/>
      <c r="S12" s="2627"/>
      <c r="T12" s="2628"/>
      <c r="U12" s="2628"/>
      <c r="V12" s="2628"/>
      <c r="X12" s="2714">
        <f>ROUND(SUMPRODUCT(PRODUCT(1+N12:N$26)),4)</f>
        <v>1.4274</v>
      </c>
      <c r="Y12" s="2714">
        <f>ROUND(SUMPRODUCT(PRODUCT(1+O12:O$26)),4)</f>
        <v>1.2685</v>
      </c>
      <c r="Z12" s="2714">
        <f t="shared" si="0"/>
        <v>1.2685</v>
      </c>
      <c r="AA12" s="2714">
        <f>ROUND(SUMPRODUCT(PRODUCT(1+P12:P$26)),4)</f>
        <v>1.4825999999999999</v>
      </c>
      <c r="AB12" s="2714">
        <f>ROUND(SUMPRODUCT(PRODUCT(1+Q12:Q$26)),4)</f>
        <v>1.2309000000000001</v>
      </c>
      <c r="AD12" s="2634">
        <f>ROUND(AVERAGE(I12:I$27)/100,4)</f>
        <v>2.4500000000000001E-2</v>
      </c>
      <c r="AE12" s="2634">
        <f>ROUND(AVERAGE(J12:J$27)/100,4)</f>
        <v>1.6500000000000001E-2</v>
      </c>
      <c r="AF12" s="2634">
        <f t="shared" si="1"/>
        <v>1.6500000000000001E-2</v>
      </c>
      <c r="AG12" s="2634">
        <f>ROUND(AVERAGE(K12:K$27)/100,4)</f>
        <v>2.7099999999999999E-2</v>
      </c>
      <c r="AH12" s="2634">
        <f>ROUND(AVERAGE(L12:L$27)/100,4)</f>
        <v>1.3899999999999999E-2</v>
      </c>
    </row>
    <row r="13" spans="1:34" s="2721" customFormat="1" ht="14.45" customHeight="1">
      <c r="A13" s="2616" t="s">
        <v>2963</v>
      </c>
      <c r="B13" s="2629">
        <f t="shared" ref="B13:C15" si="77">B14*(1+N13)</f>
        <v>431.80730811680002</v>
      </c>
      <c r="C13" s="2629">
        <f t="shared" si="77"/>
        <v>320.57880516480003</v>
      </c>
      <c r="D13" s="2629">
        <f t="shared" si="65"/>
        <v>320.57880516480003</v>
      </c>
      <c r="E13" s="2629">
        <f t="shared" ref="E13:F15" si="78">E14*(1+P13)</f>
        <v>615.96110553196797</v>
      </c>
      <c r="F13" s="2629">
        <f t="shared" si="78"/>
        <v>279.46777300108801</v>
      </c>
      <c r="G13" s="3543"/>
      <c r="H13" s="2619">
        <v>3</v>
      </c>
      <c r="I13" s="2619">
        <v>2.98</v>
      </c>
      <c r="J13" s="2619">
        <v>2.11</v>
      </c>
      <c r="K13" s="2619">
        <v>3.24</v>
      </c>
      <c r="L13" s="2630">
        <v>1.72</v>
      </c>
      <c r="M13" s="2623"/>
      <c r="N13" s="2624">
        <f t="shared" si="68"/>
        <v>2.98E-2</v>
      </c>
      <c r="O13" s="2642">
        <f t="shared" ref="O13:O14" si="79">J13/100</f>
        <v>2.1099999999999997E-2</v>
      </c>
      <c r="P13" s="2642">
        <f t="shared" ref="P13:P14" si="80">K13/100</f>
        <v>3.2400000000000005E-2</v>
      </c>
      <c r="Q13" s="2642">
        <f t="shared" ref="Q13:Q14" si="81">L13/100</f>
        <v>1.72E-2</v>
      </c>
      <c r="R13" s="2626"/>
      <c r="S13" s="2624"/>
      <c r="T13" s="2625"/>
      <c r="U13" s="2625"/>
      <c r="V13" s="2625"/>
      <c r="W13" s="2623"/>
      <c r="X13" s="2714">
        <f>ROUND(SUMPRODUCT(PRODUCT(1+N13:N$26)),4)</f>
        <v>1.4034</v>
      </c>
      <c r="Y13" s="2714">
        <f>ROUND(SUMPRODUCT(PRODUCT(1+O13:O$26)),4)</f>
        <v>1.2463</v>
      </c>
      <c r="Z13" s="2714">
        <f t="shared" si="0"/>
        <v>1.2463</v>
      </c>
      <c r="AA13" s="2714">
        <f>ROUND(SUMPRODUCT(PRODUCT(1+P13:P$26)),4)</f>
        <v>1.4577</v>
      </c>
      <c r="AB13" s="2714">
        <f>ROUND(SUMPRODUCT(PRODUCT(1+Q13:Q$26)),4)</f>
        <v>1.2136</v>
      </c>
      <c r="AC13" s="2623"/>
      <c r="AD13" s="2634">
        <f>ROUND(AVERAGE(I13:I$27)/100,4)</f>
        <v>2.4899999999999999E-2</v>
      </c>
      <c r="AE13" s="2634">
        <f>ROUND(AVERAGE(J13:J$27)/100,4)</f>
        <v>1.6400000000000001E-2</v>
      </c>
      <c r="AF13" s="2634">
        <f t="shared" si="1"/>
        <v>1.6400000000000001E-2</v>
      </c>
      <c r="AG13" s="2634">
        <f>ROUND(AVERAGE(K13:K$27)/100,4)</f>
        <v>2.7799999999999998E-2</v>
      </c>
      <c r="AH13" s="2634">
        <f>ROUND(AVERAGE(L13:L$27)/100,4)</f>
        <v>1.3899999999999999E-2</v>
      </c>
    </row>
    <row r="14" spans="1:34" s="2614" customFormat="1" ht="14.45" customHeight="1">
      <c r="A14" s="2616" t="s">
        <v>2576</v>
      </c>
      <c r="B14" s="2629">
        <f t="shared" si="77"/>
        <v>419.31181600000002</v>
      </c>
      <c r="C14" s="2629">
        <f t="shared" si="77"/>
        <v>313.95436800000004</v>
      </c>
      <c r="D14" s="2629">
        <f t="shared" si="65"/>
        <v>313.95436800000004</v>
      </c>
      <c r="E14" s="2629">
        <f t="shared" si="78"/>
        <v>596.63028431999999</v>
      </c>
      <c r="F14" s="2629">
        <f t="shared" si="78"/>
        <v>274.74220703999998</v>
      </c>
      <c r="G14" s="3543"/>
      <c r="H14" s="2620">
        <v>2</v>
      </c>
      <c r="I14" s="2620">
        <v>3.4</v>
      </c>
      <c r="J14" s="2620">
        <v>2</v>
      </c>
      <c r="K14" s="2620">
        <v>3.82</v>
      </c>
      <c r="L14" s="2631">
        <v>1.68</v>
      </c>
      <c r="N14" s="2624">
        <f t="shared" si="68"/>
        <v>3.4000000000000002E-2</v>
      </c>
      <c r="O14" s="2642">
        <f t="shared" si="79"/>
        <v>0.02</v>
      </c>
      <c r="P14" s="2642">
        <f t="shared" si="80"/>
        <v>3.8199999999999998E-2</v>
      </c>
      <c r="Q14" s="2642">
        <f t="shared" si="81"/>
        <v>1.6799999999999999E-2</v>
      </c>
      <c r="R14" s="2615"/>
      <c r="S14" s="2624"/>
      <c r="T14" s="2625"/>
      <c r="U14" s="2625"/>
      <c r="V14" s="2625"/>
      <c r="X14" s="2714">
        <f>ROUND(SUMPRODUCT(PRODUCT(1+N14:N$26)),4)</f>
        <v>1.3628</v>
      </c>
      <c r="Y14" s="2714">
        <f>ROUND(SUMPRODUCT(PRODUCT(1+O14:O$26)),4)</f>
        <v>1.2205999999999999</v>
      </c>
      <c r="Z14" s="2714">
        <f t="shared" si="0"/>
        <v>1.2205999999999999</v>
      </c>
      <c r="AA14" s="2714">
        <f>ROUND(SUMPRODUCT(PRODUCT(1+P14:P$26)),4)</f>
        <v>1.4118999999999999</v>
      </c>
      <c r="AB14" s="2714">
        <f>ROUND(SUMPRODUCT(PRODUCT(1+Q14:Q$26)),4)</f>
        <v>1.1930000000000001</v>
      </c>
      <c r="AD14" s="2634">
        <f>ROUND(AVERAGE(I14:I$27)/100,4)</f>
        <v>2.46E-2</v>
      </c>
      <c r="AE14" s="2634">
        <f>ROUND(AVERAGE(J14:J$27)/100,4)</f>
        <v>1.6E-2</v>
      </c>
      <c r="AF14" s="2634">
        <f t="shared" si="1"/>
        <v>1.6E-2</v>
      </c>
      <c r="AG14" s="2634">
        <f>ROUND(AVERAGE(K14:K$27)/100,4)</f>
        <v>2.75E-2</v>
      </c>
      <c r="AH14" s="2634">
        <f>ROUND(AVERAGE(L14:L$27)/100,4)</f>
        <v>1.37E-2</v>
      </c>
    </row>
    <row r="15" spans="1:34" s="2721" customFormat="1" ht="15" customHeight="1" thickBot="1">
      <c r="A15" s="2616" t="s">
        <v>2577</v>
      </c>
      <c r="B15" s="2629">
        <f t="shared" si="77"/>
        <v>405.524</v>
      </c>
      <c r="C15" s="2629">
        <f t="shared" si="77"/>
        <v>307.79840000000002</v>
      </c>
      <c r="D15" s="2629">
        <f t="shared" si="65"/>
        <v>307.79840000000002</v>
      </c>
      <c r="E15" s="2629">
        <f t="shared" si="78"/>
        <v>574.67759999999998</v>
      </c>
      <c r="F15" s="2629">
        <f t="shared" si="78"/>
        <v>270.20280000000002</v>
      </c>
      <c r="G15" s="3544"/>
      <c r="H15" s="2619">
        <v>1</v>
      </c>
      <c r="I15" s="2619">
        <v>3.45</v>
      </c>
      <c r="J15" s="2619">
        <v>1.92</v>
      </c>
      <c r="K15" s="2619">
        <v>3.92</v>
      </c>
      <c r="L15" s="2630">
        <v>1.58</v>
      </c>
      <c r="M15" s="2623"/>
      <c r="N15" s="2632">
        <f t="shared" si="68"/>
        <v>3.4500000000000003E-2</v>
      </c>
      <c r="O15" s="2633">
        <f t="shared" ref="O15" si="82">J15/100</f>
        <v>1.9199999999999998E-2</v>
      </c>
      <c r="P15" s="2633">
        <f t="shared" ref="P15" si="83">K15/100</f>
        <v>3.9199999999999999E-2</v>
      </c>
      <c r="Q15" s="2633">
        <f t="shared" ref="Q15" si="84">L15/100</f>
        <v>1.5800000000000002E-2</v>
      </c>
      <c r="R15" s="2626"/>
      <c r="S15" s="2632">
        <f>B15/B16-1</f>
        <v>3.4499999999999975E-2</v>
      </c>
      <c r="T15" s="2633">
        <f>C15/C16-1</f>
        <v>1.9200000000000106E-2</v>
      </c>
      <c r="U15" s="2633">
        <f>E15/E16-1</f>
        <v>3.9199999999999902E-2</v>
      </c>
      <c r="V15" s="2633">
        <f>F15/F16-1</f>
        <v>1.5800000000000036E-2</v>
      </c>
      <c r="W15" s="2623"/>
      <c r="X15" s="2714">
        <f>ROUND(SUMPRODUCT(PRODUCT(1+N15:N$26)),4)</f>
        <v>1.3180000000000001</v>
      </c>
      <c r="Y15" s="2714">
        <f>ROUND(SUMPRODUCT(PRODUCT(1+O15:O$26)),4)</f>
        <v>1.1966000000000001</v>
      </c>
      <c r="Z15" s="2714">
        <f t="shared" si="0"/>
        <v>1.1966000000000001</v>
      </c>
      <c r="AA15" s="2714">
        <f>ROUND(SUMPRODUCT(PRODUCT(1+P15:P$26)),4)</f>
        <v>1.36</v>
      </c>
      <c r="AB15" s="2714">
        <f>ROUND(SUMPRODUCT(PRODUCT(1+Q15:Q$26)),4)</f>
        <v>1.1733</v>
      </c>
      <c r="AC15" s="2623"/>
      <c r="AD15" s="2634">
        <f>ROUND(AVERAGE(I15:I$27)/100,4)</f>
        <v>2.3900000000000001E-2</v>
      </c>
      <c r="AE15" s="2634">
        <f>ROUND(AVERAGE(J15:J$27)/100,4)</f>
        <v>1.5699999999999999E-2</v>
      </c>
      <c r="AF15" s="2634">
        <f t="shared" si="1"/>
        <v>1.5699999999999999E-2</v>
      </c>
      <c r="AG15" s="2634">
        <f>ROUND(AVERAGE(K15:K$27)/100,4)</f>
        <v>2.6599999999999999E-2</v>
      </c>
      <c r="AH15" s="2634">
        <f>ROUND(AVERAGE(L15:L$27)/100,4)</f>
        <v>1.34E-2</v>
      </c>
    </row>
    <row r="16" spans="1:34">
      <c r="A16" s="2616" t="s">
        <v>970</v>
      </c>
      <c r="B16" s="2621">
        <v>392</v>
      </c>
      <c r="C16" s="2621">
        <v>302</v>
      </c>
      <c r="D16" s="2621">
        <f t="shared" si="65"/>
        <v>302</v>
      </c>
      <c r="E16" s="2621">
        <v>553</v>
      </c>
      <c r="F16" s="2622">
        <v>266</v>
      </c>
      <c r="G16" s="3542">
        <v>2016</v>
      </c>
      <c r="H16" s="2617">
        <v>4</v>
      </c>
      <c r="I16" s="2617">
        <v>4.5599999999999996</v>
      </c>
      <c r="J16" s="2617">
        <v>2.15</v>
      </c>
      <c r="K16" s="2617">
        <v>5.32</v>
      </c>
      <c r="L16" s="2618">
        <v>1.57</v>
      </c>
      <c r="N16" s="2624">
        <f t="shared" si="68"/>
        <v>4.5599999999999995E-2</v>
      </c>
      <c r="O16" s="2625">
        <f t="shared" ref="O16:Q31" si="85">J16/100</f>
        <v>2.1499999999999998E-2</v>
      </c>
      <c r="P16" s="2625">
        <f t="shared" si="85"/>
        <v>5.3200000000000004E-2</v>
      </c>
      <c r="Q16" s="2625">
        <f t="shared" si="85"/>
        <v>1.5700000000000002E-2</v>
      </c>
      <c r="R16" s="2626"/>
      <c r="S16" s="2627"/>
      <c r="T16" s="2628"/>
      <c r="U16" s="2628"/>
      <c r="V16" s="2628"/>
      <c r="X16" s="2714">
        <f>ROUND(SUMPRODUCT(PRODUCT(1+N16:N$26)),4)</f>
        <v>1.274</v>
      </c>
      <c r="Y16" s="2714">
        <f>ROUND(SUMPRODUCT(PRODUCT(1+O16:O$26)),4)</f>
        <v>1.1740999999999999</v>
      </c>
      <c r="Z16" s="2714">
        <f t="shared" si="0"/>
        <v>1.1740999999999999</v>
      </c>
      <c r="AA16" s="2714">
        <f>ROUND(SUMPRODUCT(PRODUCT(1+P16:P$26)),4)</f>
        <v>1.3087</v>
      </c>
      <c r="AB16" s="2714">
        <f>ROUND(SUMPRODUCT(PRODUCT(1+Q16:Q$26)),4)</f>
        <v>1.1551</v>
      </c>
      <c r="AD16" s="2634">
        <f>ROUND(AVERAGE(I16:I$27)/100,4)</f>
        <v>2.3E-2</v>
      </c>
      <c r="AE16" s="2634">
        <f>ROUND(AVERAGE(J16:J$27)/100,4)</f>
        <v>1.55E-2</v>
      </c>
      <c r="AF16" s="2634">
        <f t="shared" si="1"/>
        <v>1.55E-2</v>
      </c>
      <c r="AG16" s="2634">
        <f>ROUND(AVERAGE(K16:K$27)/100,4)</f>
        <v>2.5600000000000001E-2</v>
      </c>
      <c r="AH16" s="2634">
        <f>ROUND(AVERAGE(L16:L$27)/100,4)</f>
        <v>1.32E-2</v>
      </c>
    </row>
    <row r="17" spans="1:34">
      <c r="A17" s="2616" t="s">
        <v>969</v>
      </c>
      <c r="B17" s="2629">
        <f t="shared" ref="B17:C19" si="86">B16/(1+N16)</f>
        <v>374.90436113236416</v>
      </c>
      <c r="C17" s="2629">
        <f t="shared" si="86"/>
        <v>295.64366128242779</v>
      </c>
      <c r="D17" s="2629">
        <f t="shared" ref="D17:D76" si="87">C17</f>
        <v>295.64366128242779</v>
      </c>
      <c r="E17" s="2629">
        <f t="shared" ref="E17:F19" si="88">E16/(1+P16)</f>
        <v>525.06646410938095</v>
      </c>
      <c r="F17" s="2629">
        <f t="shared" si="88"/>
        <v>261.88835286009646</v>
      </c>
      <c r="G17" s="3543"/>
      <c r="H17" s="2619">
        <v>3</v>
      </c>
      <c r="I17" s="2619">
        <v>4.12</v>
      </c>
      <c r="J17" s="2619">
        <v>2</v>
      </c>
      <c r="K17" s="2619">
        <v>4.79</v>
      </c>
      <c r="L17" s="2630">
        <v>1.97</v>
      </c>
      <c r="N17" s="2624">
        <f t="shared" ref="N17:Q51" si="89">I17/100</f>
        <v>4.1200000000000001E-2</v>
      </c>
      <c r="O17" s="2625">
        <f t="shared" si="85"/>
        <v>0.02</v>
      </c>
      <c r="P17" s="2625">
        <f t="shared" si="85"/>
        <v>4.7899999999999998E-2</v>
      </c>
      <c r="Q17" s="2625">
        <f t="shared" si="85"/>
        <v>1.9699999999999999E-2</v>
      </c>
      <c r="R17" s="2626"/>
      <c r="S17" s="2624"/>
      <c r="T17" s="2625"/>
      <c r="U17" s="2625"/>
      <c r="V17" s="2625"/>
      <c r="X17" s="2714">
        <f>ROUND(SUMPRODUCT(PRODUCT(1+N17:N$26)),4)</f>
        <v>1.2184999999999999</v>
      </c>
      <c r="Y17" s="2714">
        <f>ROUND(SUMPRODUCT(PRODUCT(1+O17:O$26)),4)</f>
        <v>1.1494</v>
      </c>
      <c r="Z17" s="2714">
        <f t="shared" si="0"/>
        <v>1.1494</v>
      </c>
      <c r="AA17" s="2714">
        <f>ROUND(SUMPRODUCT(PRODUCT(1+P17:P$26)),4)</f>
        <v>1.2425999999999999</v>
      </c>
      <c r="AB17" s="2714">
        <f>ROUND(SUMPRODUCT(PRODUCT(1+Q17:Q$26)),4)</f>
        <v>1.1372</v>
      </c>
      <c r="AD17" s="2634">
        <f>ROUND(AVERAGE(I17:I$27)/100,4)</f>
        <v>2.0899999999999998E-2</v>
      </c>
      <c r="AE17" s="2634">
        <f>ROUND(AVERAGE(J17:J$27)/100,4)</f>
        <v>1.49E-2</v>
      </c>
      <c r="AF17" s="2634">
        <f t="shared" si="1"/>
        <v>1.49E-2</v>
      </c>
      <c r="AG17" s="2634">
        <f>ROUND(AVERAGE(K17:K$27)/100,4)</f>
        <v>2.3099999999999999E-2</v>
      </c>
      <c r="AH17" s="2634">
        <f>ROUND(AVERAGE(L17:L$27)/100,4)</f>
        <v>1.2999999999999999E-2</v>
      </c>
    </row>
    <row r="18" spans="1:34">
      <c r="A18" s="2616" t="s">
        <v>959</v>
      </c>
      <c r="B18" s="2629">
        <f t="shared" si="86"/>
        <v>360.06949782209392</v>
      </c>
      <c r="C18" s="2629">
        <f t="shared" si="86"/>
        <v>289.84672674747821</v>
      </c>
      <c r="D18" s="2629">
        <f t="shared" si="87"/>
        <v>289.84672674747821</v>
      </c>
      <c r="E18" s="2629">
        <f t="shared" si="88"/>
        <v>501.06543001181495</v>
      </c>
      <c r="F18" s="2629">
        <f t="shared" si="88"/>
        <v>256.82882500744967</v>
      </c>
      <c r="G18" s="3543"/>
      <c r="H18" s="2620">
        <v>2</v>
      </c>
      <c r="I18" s="2620">
        <v>3.85</v>
      </c>
      <c r="J18" s="2620">
        <v>1.95</v>
      </c>
      <c r="K18" s="2620">
        <v>4.4800000000000004</v>
      </c>
      <c r="L18" s="2631">
        <v>1.41</v>
      </c>
      <c r="N18" s="2624">
        <f t="shared" si="89"/>
        <v>3.85E-2</v>
      </c>
      <c r="O18" s="2625">
        <f t="shared" si="85"/>
        <v>1.95E-2</v>
      </c>
      <c r="P18" s="2625">
        <f t="shared" si="85"/>
        <v>4.4800000000000006E-2</v>
      </c>
      <c r="Q18" s="2625">
        <f t="shared" si="85"/>
        <v>1.41E-2</v>
      </c>
      <c r="R18" s="2626"/>
      <c r="S18" s="2624"/>
      <c r="T18" s="2625"/>
      <c r="U18" s="2625"/>
      <c r="V18" s="2625"/>
      <c r="X18" s="2714">
        <f>ROUND(SUMPRODUCT(PRODUCT(1+N18:N$26)),4)</f>
        <v>1.1702999999999999</v>
      </c>
      <c r="Y18" s="2714">
        <f>ROUND(SUMPRODUCT(PRODUCT(1+O18:O$26)),4)</f>
        <v>1.1269</v>
      </c>
      <c r="Z18" s="2714">
        <f t="shared" si="0"/>
        <v>1.1269</v>
      </c>
      <c r="AA18" s="2714">
        <f>ROUND(SUMPRODUCT(PRODUCT(1+P18:P$26)),4)</f>
        <v>1.1858</v>
      </c>
      <c r="AB18" s="2714">
        <f>ROUND(SUMPRODUCT(PRODUCT(1+Q18:Q$26)),4)</f>
        <v>1.1152</v>
      </c>
      <c r="AD18" s="2634">
        <f>ROUND(AVERAGE(I18:I$27)/100,4)</f>
        <v>1.89E-2</v>
      </c>
      <c r="AE18" s="2634">
        <f>ROUND(AVERAGE(J18:J$27)/100,4)</f>
        <v>1.44E-2</v>
      </c>
      <c r="AF18" s="2634">
        <f t="shared" si="1"/>
        <v>1.44E-2</v>
      </c>
      <c r="AG18" s="2634">
        <f>ROUND(AVERAGE(K18:K$27)/100,4)</f>
        <v>2.06E-2</v>
      </c>
      <c r="AH18" s="2634">
        <f>ROUND(AVERAGE(L18:L$27)/100,4)</f>
        <v>1.23E-2</v>
      </c>
    </row>
    <row r="19" spans="1:34" ht="13.5" thickBot="1">
      <c r="A19" s="2616" t="s">
        <v>968</v>
      </c>
      <c r="B19" s="2629">
        <f t="shared" si="86"/>
        <v>346.720748986128</v>
      </c>
      <c r="C19" s="2629">
        <f t="shared" si="86"/>
        <v>284.30282172386285</v>
      </c>
      <c r="D19" s="2629">
        <f t="shared" si="87"/>
        <v>284.30282172386285</v>
      </c>
      <c r="E19" s="2629">
        <f t="shared" si="88"/>
        <v>479.58023546306947</v>
      </c>
      <c r="F19" s="2629">
        <f t="shared" si="88"/>
        <v>253.25788877571213</v>
      </c>
      <c r="G19" s="3546"/>
      <c r="H19" s="2619">
        <v>1</v>
      </c>
      <c r="I19" s="2619">
        <v>4.09</v>
      </c>
      <c r="J19" s="2619">
        <v>2.93</v>
      </c>
      <c r="K19" s="2619">
        <v>4.54</v>
      </c>
      <c r="L19" s="2630">
        <v>1.48</v>
      </c>
      <c r="N19" s="2624">
        <f t="shared" si="89"/>
        <v>4.0899999999999999E-2</v>
      </c>
      <c r="O19" s="2625">
        <f t="shared" si="85"/>
        <v>2.9300000000000003E-2</v>
      </c>
      <c r="P19" s="2625">
        <f t="shared" si="85"/>
        <v>4.5400000000000003E-2</v>
      </c>
      <c r="Q19" s="2625">
        <f t="shared" si="85"/>
        <v>1.4800000000000001E-2</v>
      </c>
      <c r="R19" s="2626"/>
      <c r="S19" s="2632">
        <f>B19/B20-1</f>
        <v>4.1203450408792808E-2</v>
      </c>
      <c r="T19" s="2633">
        <f>C19/C20-1</f>
        <v>2.6363977342465095E-2</v>
      </c>
      <c r="U19" s="2633">
        <f>E19/E20-1</f>
        <v>4.4837114298626357E-2</v>
      </c>
      <c r="V19" s="2633">
        <f>F19/F20-1</f>
        <v>1.7099954922538574E-2</v>
      </c>
      <c r="X19" s="2714">
        <f>ROUND(SUMPRODUCT(PRODUCT(1+N19:N$26)),4)</f>
        <v>1.1269</v>
      </c>
      <c r="Y19" s="2714">
        <f>ROUND(SUMPRODUCT(PRODUCT(1+O19:O$26)),4)</f>
        <v>1.1052999999999999</v>
      </c>
      <c r="Z19" s="2714">
        <f t="shared" si="0"/>
        <v>1.1052999999999999</v>
      </c>
      <c r="AA19" s="2714">
        <f>ROUND(SUMPRODUCT(PRODUCT(1+P19:P$26)),4)</f>
        <v>1.1349</v>
      </c>
      <c r="AB19" s="2714">
        <f>ROUND(SUMPRODUCT(PRODUCT(1+Q19:Q$26)),4)</f>
        <v>1.0996999999999999</v>
      </c>
      <c r="AD19" s="2634">
        <f>ROUND(AVERAGE(I19:I$27)/100,4)</f>
        <v>1.67E-2</v>
      </c>
      <c r="AE19" s="2634">
        <f>ROUND(AVERAGE(J19:J$27)/100,4)</f>
        <v>1.38E-2</v>
      </c>
      <c r="AF19" s="2634">
        <f t="shared" si="1"/>
        <v>1.38E-2</v>
      </c>
      <c r="AG19" s="2634">
        <f>ROUND(AVERAGE(K19:K$27)/100,4)</f>
        <v>1.7899999999999999E-2</v>
      </c>
      <c r="AH19" s="2634">
        <f>ROUND(AVERAGE(L19:L$27)/100,4)</f>
        <v>1.21E-2</v>
      </c>
    </row>
    <row r="20" spans="1:34" ht="13.5" thickBot="1">
      <c r="A20" s="2616" t="s">
        <v>967</v>
      </c>
      <c r="B20" s="2621">
        <v>333</v>
      </c>
      <c r="C20" s="2621">
        <v>277</v>
      </c>
      <c r="D20" s="2621">
        <f t="shared" si="87"/>
        <v>277</v>
      </c>
      <c r="E20" s="2621">
        <v>459</v>
      </c>
      <c r="F20" s="2622">
        <v>249</v>
      </c>
      <c r="G20" s="3545">
        <v>2015</v>
      </c>
      <c r="H20" s="2635">
        <v>4</v>
      </c>
      <c r="I20" s="2635">
        <v>1.63</v>
      </c>
      <c r="J20" s="2635">
        <v>1.1100000000000001</v>
      </c>
      <c r="K20" s="2635">
        <v>1.77</v>
      </c>
      <c r="L20" s="2636">
        <v>1.89</v>
      </c>
      <c r="N20" s="2637">
        <f t="shared" si="89"/>
        <v>1.6299999999999999E-2</v>
      </c>
      <c r="O20" s="2638">
        <f t="shared" si="85"/>
        <v>1.11E-2</v>
      </c>
      <c r="P20" s="2638">
        <f t="shared" si="85"/>
        <v>1.77E-2</v>
      </c>
      <c r="Q20" s="2638">
        <f t="shared" si="85"/>
        <v>1.89E-2</v>
      </c>
      <c r="R20" s="2626"/>
      <c r="X20" s="2714">
        <f>ROUND(SUMPRODUCT(PRODUCT(1+N20:N$26)),4)</f>
        <v>1.0826</v>
      </c>
      <c r="Y20" s="2714">
        <f>ROUND(SUMPRODUCT(PRODUCT(1+O20:O$26)),4)</f>
        <v>1.0738000000000001</v>
      </c>
      <c r="Z20" s="2714">
        <f t="shared" si="0"/>
        <v>1.0738000000000001</v>
      </c>
      <c r="AA20" s="2714">
        <f>ROUND(SUMPRODUCT(PRODUCT(1+P20:P$26)),4)</f>
        <v>1.0855999999999999</v>
      </c>
      <c r="AB20" s="2714">
        <f>ROUND(SUMPRODUCT(PRODUCT(1+Q20:Q$26)),4)</f>
        <v>1.0837000000000001</v>
      </c>
      <c r="AD20" s="2634">
        <f>ROUND(AVERAGE(I20:I$27)/100,4)</f>
        <v>1.37E-2</v>
      </c>
      <c r="AE20" s="2634">
        <f>ROUND(AVERAGE(J20:J$27)/100,4)</f>
        <v>1.1900000000000001E-2</v>
      </c>
      <c r="AF20" s="2634">
        <f t="shared" si="1"/>
        <v>1.1900000000000001E-2</v>
      </c>
      <c r="AG20" s="2634">
        <f>ROUND(AVERAGE(K20:K$27)/100,4)</f>
        <v>1.4500000000000001E-2</v>
      </c>
      <c r="AH20" s="2634">
        <f>ROUND(AVERAGE(L20:L$27)/100,4)</f>
        <v>1.18E-2</v>
      </c>
    </row>
    <row r="21" spans="1:34">
      <c r="A21" s="2616" t="s">
        <v>966</v>
      </c>
      <c r="B21" s="2629">
        <f t="shared" ref="B21:C23" si="90">B20/(1+N20)</f>
        <v>327.65915576109415</v>
      </c>
      <c r="C21" s="2629">
        <f t="shared" si="90"/>
        <v>273.95905449510434</v>
      </c>
      <c r="D21" s="2629">
        <f t="shared" si="87"/>
        <v>273.95905449510434</v>
      </c>
      <c r="E21" s="2629">
        <f t="shared" ref="E21:F23" si="91">E20/(1+P20)</f>
        <v>451.01699911565294</v>
      </c>
      <c r="F21" s="2629">
        <f t="shared" si="91"/>
        <v>244.38119540681129</v>
      </c>
      <c r="G21" s="3543"/>
      <c r="H21" s="2640">
        <v>3</v>
      </c>
      <c r="I21" s="2640">
        <v>1.65</v>
      </c>
      <c r="J21" s="2640">
        <v>0.92</v>
      </c>
      <c r="K21" s="2640">
        <v>1.88</v>
      </c>
      <c r="L21" s="2641">
        <v>1.26</v>
      </c>
      <c r="N21" s="2624">
        <f t="shared" si="89"/>
        <v>1.6500000000000001E-2</v>
      </c>
      <c r="O21" s="2642">
        <f t="shared" si="85"/>
        <v>9.1999999999999998E-3</v>
      </c>
      <c r="P21" s="2642">
        <f t="shared" si="85"/>
        <v>1.8799999999999997E-2</v>
      </c>
      <c r="Q21" s="2642">
        <f t="shared" si="85"/>
        <v>1.26E-2</v>
      </c>
      <c r="R21" s="2626"/>
      <c r="S21" s="2624"/>
      <c r="T21" s="2625"/>
      <c r="U21" s="2625"/>
      <c r="V21" s="2625"/>
      <c r="X21" s="2714">
        <f>ROUND(SUMPRODUCT(PRODUCT(1+N21:N$26)),4)</f>
        <v>1.0651999999999999</v>
      </c>
      <c r="Y21" s="2714">
        <f>ROUND(SUMPRODUCT(PRODUCT(1+O21:O$26)),4)</f>
        <v>1.0621</v>
      </c>
      <c r="Z21" s="2714">
        <f t="shared" si="0"/>
        <v>1.0621</v>
      </c>
      <c r="AA21" s="2714">
        <f>ROUND(SUMPRODUCT(PRODUCT(1+P21:P$26)),4)</f>
        <v>1.0668</v>
      </c>
      <c r="AB21" s="2714">
        <f>ROUND(SUMPRODUCT(PRODUCT(1+Q21:Q$26)),4)</f>
        <v>1.0636000000000001</v>
      </c>
      <c r="AD21" s="2634">
        <f>ROUND(AVERAGE(I21:I$27)/100,4)</f>
        <v>1.3299999999999999E-2</v>
      </c>
      <c r="AE21" s="2634">
        <f>ROUND(AVERAGE(J21:J$27)/100,4)</f>
        <v>1.2E-2</v>
      </c>
      <c r="AF21" s="2634">
        <f t="shared" si="1"/>
        <v>1.2E-2</v>
      </c>
      <c r="AG21" s="2634">
        <f>ROUND(AVERAGE(K21:K$27)/100,4)</f>
        <v>1.4E-2</v>
      </c>
      <c r="AH21" s="2634">
        <f>ROUND(AVERAGE(L21:L$27)/100,4)</f>
        <v>1.0800000000000001E-2</v>
      </c>
    </row>
    <row r="22" spans="1:34">
      <c r="A22" s="2616" t="s">
        <v>965</v>
      </c>
      <c r="B22" s="2629">
        <f t="shared" si="90"/>
        <v>322.34053690220776</v>
      </c>
      <c r="C22" s="2629">
        <f t="shared" si="90"/>
        <v>271.46160770422546</v>
      </c>
      <c r="D22" s="2629">
        <f t="shared" si="87"/>
        <v>271.46160770422546</v>
      </c>
      <c r="E22" s="2629">
        <f t="shared" si="91"/>
        <v>442.69434542172456</v>
      </c>
      <c r="F22" s="2629">
        <f t="shared" si="91"/>
        <v>241.34030753190925</v>
      </c>
      <c r="G22" s="3543"/>
      <c r="H22" s="2620">
        <v>2</v>
      </c>
      <c r="I22" s="2620">
        <v>0.77</v>
      </c>
      <c r="J22" s="2620">
        <v>0.69</v>
      </c>
      <c r="K22" s="2620">
        <v>0.8</v>
      </c>
      <c r="L22" s="2631">
        <v>0.88</v>
      </c>
      <c r="N22" s="2624">
        <f t="shared" si="89"/>
        <v>7.7000000000000002E-3</v>
      </c>
      <c r="O22" s="2642">
        <f t="shared" si="85"/>
        <v>6.8999999999999999E-3</v>
      </c>
      <c r="P22" s="2642">
        <f t="shared" si="85"/>
        <v>8.0000000000000002E-3</v>
      </c>
      <c r="Q22" s="2642">
        <f t="shared" si="85"/>
        <v>8.8000000000000005E-3</v>
      </c>
      <c r="R22" s="2626"/>
      <c r="S22" s="2624"/>
      <c r="T22" s="2625"/>
      <c r="U22" s="2625"/>
      <c r="V22" s="2625"/>
      <c r="X22" s="2714">
        <f>ROUND(SUMPRODUCT(PRODUCT(1+N22:N$26)),4)</f>
        <v>1.048</v>
      </c>
      <c r="Y22" s="2714">
        <f>ROUND(SUMPRODUCT(PRODUCT(1+O22:O$26)),4)</f>
        <v>1.0524</v>
      </c>
      <c r="Z22" s="2714">
        <f t="shared" si="0"/>
        <v>1.0524</v>
      </c>
      <c r="AA22" s="2714">
        <f>ROUND(SUMPRODUCT(PRODUCT(1+P22:P$26)),4)</f>
        <v>1.0470999999999999</v>
      </c>
      <c r="AB22" s="2714">
        <f>ROUND(SUMPRODUCT(PRODUCT(1+Q22:Q$26)),4)</f>
        <v>1.0504</v>
      </c>
      <c r="AD22" s="2634">
        <f>ROUND(AVERAGE(I22:I$27)/100,4)</f>
        <v>1.2800000000000001E-2</v>
      </c>
      <c r="AE22" s="2634">
        <f>ROUND(AVERAGE(J22:J$27)/100,4)</f>
        <v>1.2500000000000001E-2</v>
      </c>
      <c r="AF22" s="2634">
        <f t="shared" si="1"/>
        <v>1.2500000000000001E-2</v>
      </c>
      <c r="AG22" s="2634">
        <f>ROUND(AVERAGE(K22:K$27)/100,4)</f>
        <v>1.32E-2</v>
      </c>
      <c r="AH22" s="2634">
        <f>ROUND(AVERAGE(L22:L$27)/100,4)</f>
        <v>1.0500000000000001E-2</v>
      </c>
    </row>
    <row r="23" spans="1:34">
      <c r="A23" s="2616" t="s">
        <v>964</v>
      </c>
      <c r="B23" s="2629">
        <f t="shared" si="90"/>
        <v>319.87748030386797</v>
      </c>
      <c r="C23" s="2629">
        <f t="shared" si="90"/>
        <v>269.60135833173649</v>
      </c>
      <c r="D23" s="2629">
        <f t="shared" si="87"/>
        <v>269.60135833173649</v>
      </c>
      <c r="E23" s="2629">
        <f t="shared" si="91"/>
        <v>439.18089823583784</v>
      </c>
      <c r="F23" s="2629">
        <f t="shared" si="91"/>
        <v>239.23503918706311</v>
      </c>
      <c r="G23" s="3546"/>
      <c r="H23" s="2619">
        <v>1</v>
      </c>
      <c r="I23" s="2619">
        <v>0.51</v>
      </c>
      <c r="J23" s="2619">
        <v>0.54</v>
      </c>
      <c r="K23" s="2619">
        <v>0.48</v>
      </c>
      <c r="L23" s="2630">
        <v>0.93</v>
      </c>
      <c r="N23" s="2632">
        <f t="shared" si="89"/>
        <v>5.1000000000000004E-3</v>
      </c>
      <c r="O23" s="2633">
        <f t="shared" si="85"/>
        <v>5.4000000000000003E-3</v>
      </c>
      <c r="P23" s="2633">
        <f t="shared" si="85"/>
        <v>4.7999999999999996E-3</v>
      </c>
      <c r="Q23" s="2633">
        <f t="shared" si="85"/>
        <v>9.300000000000001E-3</v>
      </c>
      <c r="R23" s="2626"/>
      <c r="S23" s="2632">
        <f>B23/B24-1</f>
        <v>5.9040261127922822E-3</v>
      </c>
      <c r="T23" s="2633">
        <f>C23/C24-1</f>
        <v>5.9752176557332781E-3</v>
      </c>
      <c r="U23" s="2633">
        <f>E23/E24-1</f>
        <v>4.9906138119859556E-3</v>
      </c>
      <c r="V23" s="2633">
        <f>F23/F24-1</f>
        <v>9.4305450930933787E-3</v>
      </c>
      <c r="X23" s="2714">
        <f>ROUND(SUMPRODUCT(PRODUCT(1+N23:N$26)),4)</f>
        <v>1.0399</v>
      </c>
      <c r="Y23" s="2714">
        <f>ROUND(SUMPRODUCT(PRODUCT(1+O23:O$26)),4)</f>
        <v>1.0451999999999999</v>
      </c>
      <c r="Z23" s="2714">
        <f t="shared" si="0"/>
        <v>1.0451999999999999</v>
      </c>
      <c r="AA23" s="2714">
        <f>ROUND(SUMPRODUCT(PRODUCT(1+P23:P$26)),4)</f>
        <v>1.0387999999999999</v>
      </c>
      <c r="AB23" s="2714">
        <f>ROUND(SUMPRODUCT(PRODUCT(1+Q23:Q$26)),4)</f>
        <v>1.0411999999999999</v>
      </c>
      <c r="AD23" s="2634">
        <f>ROUND(AVERAGE(I23:I$27)/100,4)</f>
        <v>1.38E-2</v>
      </c>
      <c r="AE23" s="2634">
        <f>ROUND(AVERAGE(J23:J$27)/100,4)</f>
        <v>1.3599999999999999E-2</v>
      </c>
      <c r="AF23" s="2634">
        <f t="shared" si="1"/>
        <v>1.3599999999999999E-2</v>
      </c>
      <c r="AG23" s="2634">
        <f>ROUND(AVERAGE(K23:K$27)/100,4)</f>
        <v>1.4200000000000001E-2</v>
      </c>
      <c r="AH23" s="2634">
        <f>ROUND(AVERAGE(L23:L$27)/100,4)</f>
        <v>1.0800000000000001E-2</v>
      </c>
    </row>
    <row r="24" spans="1:34" ht="13.5" thickBot="1">
      <c r="A24" s="2616" t="s">
        <v>963</v>
      </c>
      <c r="B24" s="2643">
        <v>318</v>
      </c>
      <c r="C24" s="2643">
        <v>268</v>
      </c>
      <c r="D24" s="2643">
        <f t="shared" si="87"/>
        <v>268</v>
      </c>
      <c r="E24" s="2643">
        <v>437</v>
      </c>
      <c r="F24" s="2644">
        <v>237</v>
      </c>
      <c r="G24" s="3545">
        <v>2014</v>
      </c>
      <c r="H24" s="2635">
        <v>4</v>
      </c>
      <c r="I24" s="2635">
        <v>0.21</v>
      </c>
      <c r="J24" s="2635">
        <v>0.41</v>
      </c>
      <c r="K24" s="2635">
        <v>0.12</v>
      </c>
      <c r="L24" s="2636">
        <v>0.89</v>
      </c>
      <c r="N24" s="2624">
        <f t="shared" si="89"/>
        <v>2.0999999999999999E-3</v>
      </c>
      <c r="O24" s="2625">
        <f t="shared" si="85"/>
        <v>4.0999999999999995E-3</v>
      </c>
      <c r="P24" s="2625">
        <f t="shared" si="85"/>
        <v>1.1999999999999999E-3</v>
      </c>
      <c r="Q24" s="2625">
        <f t="shared" si="85"/>
        <v>8.8999999999999999E-3</v>
      </c>
      <c r="R24" s="2626"/>
      <c r="S24" s="2627"/>
      <c r="T24" s="2628"/>
      <c r="U24" s="2628"/>
      <c r="V24" s="2628"/>
      <c r="X24" s="2714">
        <f>ROUND(SUMPRODUCT(PRODUCT(1+N24:N$26)),4)</f>
        <v>1.0347</v>
      </c>
      <c r="Y24" s="2714">
        <f>ROUND(SUMPRODUCT(PRODUCT(1+O24:O$26)),4)</f>
        <v>1.0395000000000001</v>
      </c>
      <c r="Z24" s="2714">
        <f t="shared" si="0"/>
        <v>1.0395000000000001</v>
      </c>
      <c r="AA24" s="2714">
        <f>ROUND(SUMPRODUCT(PRODUCT(1+P24:P$26)),4)</f>
        <v>1.0338000000000001</v>
      </c>
      <c r="AB24" s="2714">
        <f>ROUND(SUMPRODUCT(PRODUCT(1+Q24:Q$26)),4)</f>
        <v>1.0316000000000001</v>
      </c>
      <c r="AD24" s="2634">
        <f>ROUND(AVERAGE(I24:I$27)/100,4)</f>
        <v>1.6E-2</v>
      </c>
      <c r="AE24" s="2634">
        <f>ROUND(AVERAGE(J24:J$27)/100,4)</f>
        <v>1.5599999999999999E-2</v>
      </c>
      <c r="AF24" s="2634">
        <f t="shared" si="1"/>
        <v>1.5599999999999999E-2</v>
      </c>
      <c r="AG24" s="2634">
        <f>ROUND(AVERAGE(K24:K$27)/100,4)</f>
        <v>1.66E-2</v>
      </c>
      <c r="AH24" s="2634">
        <f>ROUND(AVERAGE(L24:L$27)/100,4)</f>
        <v>1.12E-2</v>
      </c>
    </row>
    <row r="25" spans="1:34">
      <c r="A25" s="2616" t="s">
        <v>962</v>
      </c>
      <c r="B25" s="2629">
        <f t="shared" ref="B25:C27" si="92">B24/(1+N24)</f>
        <v>317.33359944117353</v>
      </c>
      <c r="C25" s="2629">
        <f t="shared" si="92"/>
        <v>266.90568668459315</v>
      </c>
      <c r="D25" s="2629">
        <f t="shared" si="87"/>
        <v>266.90568668459315</v>
      </c>
      <c r="E25" s="2629">
        <f t="shared" ref="E25:F27" si="93">E24/(1+P24)</f>
        <v>436.47622852576905</v>
      </c>
      <c r="F25" s="2629">
        <f t="shared" si="93"/>
        <v>234.90930716622066</v>
      </c>
      <c r="G25" s="3543"/>
      <c r="H25" s="2645">
        <v>3</v>
      </c>
      <c r="I25" s="2645">
        <v>0.83</v>
      </c>
      <c r="J25" s="2645">
        <v>1.47</v>
      </c>
      <c r="K25" s="2645">
        <v>0.65</v>
      </c>
      <c r="L25" s="2646">
        <v>0.72</v>
      </c>
      <c r="N25" s="2624">
        <f t="shared" si="89"/>
        <v>8.3000000000000001E-3</v>
      </c>
      <c r="O25" s="2625">
        <f t="shared" si="85"/>
        <v>1.47E-2</v>
      </c>
      <c r="P25" s="2625">
        <f t="shared" si="85"/>
        <v>6.5000000000000006E-3</v>
      </c>
      <c r="Q25" s="2625">
        <f t="shared" si="85"/>
        <v>7.1999999999999998E-3</v>
      </c>
      <c r="R25" s="2626"/>
      <c r="S25" s="2624"/>
      <c r="T25" s="2625"/>
      <c r="U25" s="2625"/>
      <c r="V25" s="2625"/>
      <c r="X25" s="2714">
        <f>ROUND(SUMPRODUCT(PRODUCT(1+N25:N$26)),4)</f>
        <v>1.0325</v>
      </c>
      <c r="Y25" s="2714">
        <f>ROUND(SUMPRODUCT(PRODUCT(1+O25:O$26)),4)</f>
        <v>1.0353000000000001</v>
      </c>
      <c r="Z25" s="2714">
        <f t="shared" ref="Z25:Z26" si="94">Y25</f>
        <v>1.0353000000000001</v>
      </c>
      <c r="AA25" s="2714">
        <f>ROUND(SUMPRODUCT(PRODUCT(1+P25:P$26)),4)</f>
        <v>1.0326</v>
      </c>
      <c r="AB25" s="2714">
        <f>ROUND(SUMPRODUCT(PRODUCT(1+Q25:Q$26)),4)</f>
        <v>1.0225</v>
      </c>
      <c r="AD25" s="2634">
        <f>ROUND(AVERAGE(I25:I$27)/100,4)</f>
        <v>2.07E-2</v>
      </c>
      <c r="AE25" s="2634">
        <f>ROUND(AVERAGE(J25:J$27)/100,4)</f>
        <v>1.95E-2</v>
      </c>
      <c r="AF25" s="2634">
        <f t="shared" si="1"/>
        <v>1.95E-2</v>
      </c>
      <c r="AG25" s="2634">
        <f>ROUND(AVERAGE(K25:K$27)/100,4)</f>
        <v>2.1700000000000001E-2</v>
      </c>
      <c r="AH25" s="2634">
        <f>ROUND(AVERAGE(L25:L$27)/100,4)</f>
        <v>1.2E-2</v>
      </c>
    </row>
    <row r="26" spans="1:34" ht="13.5" thickBot="1">
      <c r="A26" s="2616" t="s">
        <v>961</v>
      </c>
      <c r="B26" s="2629">
        <f t="shared" si="92"/>
        <v>314.72141172386546</v>
      </c>
      <c r="C26" s="2629">
        <f t="shared" si="92"/>
        <v>263.03901319069001</v>
      </c>
      <c r="D26" s="2629">
        <f t="shared" si="87"/>
        <v>263.03901319069001</v>
      </c>
      <c r="E26" s="2629">
        <f t="shared" si="93"/>
        <v>433.65745506782821</v>
      </c>
      <c r="F26" s="2629">
        <f t="shared" si="93"/>
        <v>233.23005080045735</v>
      </c>
      <c r="G26" s="3543"/>
      <c r="H26" s="2635">
        <v>2</v>
      </c>
      <c r="I26" s="2635">
        <v>2.4</v>
      </c>
      <c r="J26" s="2635">
        <v>2.0299999999999998</v>
      </c>
      <c r="K26" s="2635">
        <v>2.59</v>
      </c>
      <c r="L26" s="2636">
        <v>1.52</v>
      </c>
      <c r="N26" s="2624">
        <f t="shared" si="89"/>
        <v>2.4E-2</v>
      </c>
      <c r="O26" s="2625">
        <f t="shared" si="85"/>
        <v>2.0299999999999999E-2</v>
      </c>
      <c r="P26" s="2625">
        <f t="shared" si="85"/>
        <v>2.5899999999999999E-2</v>
      </c>
      <c r="Q26" s="2625">
        <f t="shared" si="85"/>
        <v>1.52E-2</v>
      </c>
      <c r="R26" s="2626"/>
      <c r="S26" s="2624"/>
      <c r="T26" s="2625"/>
      <c r="U26" s="2625"/>
      <c r="V26" s="2625"/>
      <c r="X26" s="2714">
        <f>1+N26</f>
        <v>1.024</v>
      </c>
      <c r="Y26" s="2714">
        <f>1+O26</f>
        <v>1.0203</v>
      </c>
      <c r="Z26" s="2714">
        <f t="shared" si="94"/>
        <v>1.0203</v>
      </c>
      <c r="AA26" s="2714">
        <f>1+P26</f>
        <v>1.0259</v>
      </c>
      <c r="AB26" s="2714">
        <f>1+Q26</f>
        <v>1.0152000000000001</v>
      </c>
      <c r="AD26" s="2634">
        <f>ROUND(AVERAGE(I26:I$27)/100,4)</f>
        <v>2.69E-2</v>
      </c>
      <c r="AE26" s="2634">
        <f>ROUND(AVERAGE(J26:J$27)/100,4)</f>
        <v>2.1899999999999999E-2</v>
      </c>
      <c r="AF26" s="2634">
        <f t="shared" ref="AF26" si="95">AE26</f>
        <v>2.1899999999999999E-2</v>
      </c>
      <c r="AG26" s="2634">
        <f>ROUND(AVERAGE(K26:K$27)/100,4)</f>
        <v>2.9399999999999999E-2</v>
      </c>
      <c r="AH26" s="2634">
        <f>ROUND(AVERAGE(L26:L$27)/100,4)</f>
        <v>1.44E-2</v>
      </c>
    </row>
    <row r="27" spans="1:34" s="2651" customFormat="1" ht="13.5" thickBot="1">
      <c r="A27" s="2647" t="s">
        <v>960</v>
      </c>
      <c r="B27" s="2648">
        <f t="shared" si="92"/>
        <v>307.34512863658733</v>
      </c>
      <c r="C27" s="2648">
        <f t="shared" si="92"/>
        <v>257.80556031626975</v>
      </c>
      <c r="D27" s="2648">
        <f t="shared" si="87"/>
        <v>257.80556031626975</v>
      </c>
      <c r="E27" s="2648">
        <f t="shared" si="93"/>
        <v>422.70928459677179</v>
      </c>
      <c r="F27" s="2648">
        <f t="shared" si="93"/>
        <v>229.73803270336617</v>
      </c>
      <c r="G27" s="3546"/>
      <c r="H27" s="2649">
        <v>1</v>
      </c>
      <c r="I27" s="2649">
        <v>2.97</v>
      </c>
      <c r="J27" s="2649">
        <v>2.34</v>
      </c>
      <c r="K27" s="2649">
        <v>3.28</v>
      </c>
      <c r="L27" s="2650">
        <v>1.36</v>
      </c>
      <c r="N27" s="2652">
        <f t="shared" si="89"/>
        <v>2.9700000000000001E-2</v>
      </c>
      <c r="O27" s="2653">
        <f t="shared" si="85"/>
        <v>2.3399999999999997E-2</v>
      </c>
      <c r="P27" s="2653">
        <f t="shared" si="85"/>
        <v>3.2799999999999996E-2</v>
      </c>
      <c r="Q27" s="2653">
        <f t="shared" si="85"/>
        <v>1.3600000000000001E-2</v>
      </c>
      <c r="R27" s="2654"/>
      <c r="S27" s="2655">
        <f>B27/B28-1</f>
        <v>2.7910129219355539E-2</v>
      </c>
      <c r="T27" s="2656">
        <f>C27/C28-1</f>
        <v>2.3037937762975247E-2</v>
      </c>
      <c r="U27" s="2656">
        <f>E27/E28-1</f>
        <v>3.3519033243940788E-2</v>
      </c>
      <c r="V27" s="2656">
        <f>F27/F28-1</f>
        <v>1.2061818076502862E-2</v>
      </c>
      <c r="W27" s="2723" t="s">
        <v>2635</v>
      </c>
      <c r="X27" s="2725">
        <v>1</v>
      </c>
      <c r="Y27" s="2725">
        <v>1</v>
      </c>
      <c r="Z27" s="2725">
        <v>1</v>
      </c>
      <c r="AA27" s="2725">
        <v>1</v>
      </c>
      <c r="AB27" s="2725">
        <v>1</v>
      </c>
      <c r="AD27" s="2957">
        <f>I27/100</f>
        <v>2.9700000000000001E-2</v>
      </c>
      <c r="AE27" s="2957">
        <f>J27/100</f>
        <v>2.3399999999999997E-2</v>
      </c>
      <c r="AF27" s="2957">
        <f>AE27</f>
        <v>2.3399999999999997E-2</v>
      </c>
      <c r="AG27" s="2957">
        <f>K27/100</f>
        <v>3.2799999999999996E-2</v>
      </c>
      <c r="AH27" s="2957">
        <f>L27/100</f>
        <v>1.3600000000000001E-2</v>
      </c>
    </row>
    <row r="28" spans="1:34" ht="13.5" thickBot="1">
      <c r="A28" s="2616" t="s">
        <v>2578</v>
      </c>
      <c r="B28" s="2621">
        <v>299</v>
      </c>
      <c r="C28" s="2621">
        <v>252</v>
      </c>
      <c r="D28" s="2621">
        <f t="shared" si="87"/>
        <v>252</v>
      </c>
      <c r="E28" s="2621">
        <v>409</v>
      </c>
      <c r="F28" s="2622">
        <v>227</v>
      </c>
      <c r="G28" s="3550">
        <v>2013</v>
      </c>
      <c r="H28" s="2657">
        <v>4</v>
      </c>
      <c r="I28" s="2657">
        <v>1.83</v>
      </c>
      <c r="J28" s="2657">
        <v>1.68</v>
      </c>
      <c r="K28" s="2657">
        <v>1.97</v>
      </c>
      <c r="L28" s="2658">
        <v>0.87</v>
      </c>
      <c r="N28" s="2637">
        <f t="shared" si="89"/>
        <v>1.83E-2</v>
      </c>
      <c r="O28" s="2638">
        <f t="shared" si="85"/>
        <v>1.6799999999999999E-2</v>
      </c>
      <c r="P28" s="2638">
        <f t="shared" si="85"/>
        <v>1.9699999999999999E-2</v>
      </c>
      <c r="Q28" s="2638">
        <f t="shared" si="85"/>
        <v>8.6999999999999994E-3</v>
      </c>
      <c r="R28" s="2626"/>
      <c r="S28" s="2627"/>
      <c r="T28" s="2628"/>
      <c r="U28" s="2628"/>
      <c r="V28" s="2628"/>
      <c r="X28" s="2628"/>
      <c r="Y28" s="2628"/>
      <c r="Z28" s="2628"/>
    </row>
    <row r="29" spans="1:34">
      <c r="A29" s="2616" t="s">
        <v>2579</v>
      </c>
      <c r="B29" s="2629">
        <f t="shared" ref="B29:C31" si="96">B28/(1+N28)</f>
        <v>293.62663262299913</v>
      </c>
      <c r="C29" s="2629">
        <f t="shared" si="96"/>
        <v>247.83634933123525</v>
      </c>
      <c r="D29" s="2629">
        <f t="shared" si="87"/>
        <v>247.83634933123525</v>
      </c>
      <c r="E29" s="2629">
        <f t="shared" ref="E29:F31" si="97">E28/(1+P28)</f>
        <v>401.09836226341076</v>
      </c>
      <c r="F29" s="2629">
        <f t="shared" si="97"/>
        <v>225.04213343908003</v>
      </c>
      <c r="G29" s="3551"/>
      <c r="H29" s="2640">
        <v>3</v>
      </c>
      <c r="I29" s="2640">
        <v>1.86</v>
      </c>
      <c r="J29" s="2640">
        <v>1.72</v>
      </c>
      <c r="K29" s="2640">
        <v>1.98</v>
      </c>
      <c r="L29" s="2641">
        <v>0.88</v>
      </c>
      <c r="N29" s="2624">
        <f t="shared" si="89"/>
        <v>1.8600000000000002E-2</v>
      </c>
      <c r="O29" s="2642">
        <f t="shared" si="85"/>
        <v>1.72E-2</v>
      </c>
      <c r="P29" s="2642">
        <f t="shared" si="85"/>
        <v>1.9799999999999998E-2</v>
      </c>
      <c r="Q29" s="2642">
        <f t="shared" si="85"/>
        <v>8.8000000000000005E-3</v>
      </c>
      <c r="R29" s="2626"/>
      <c r="S29" s="2624"/>
      <c r="T29" s="2625"/>
      <c r="U29" s="2625"/>
      <c r="V29" s="2625"/>
    </row>
    <row r="30" spans="1:34">
      <c r="A30" s="2616" t="s">
        <v>2580</v>
      </c>
      <c r="B30" s="2629">
        <f t="shared" si="96"/>
        <v>288.2649053828776</v>
      </c>
      <c r="C30" s="2629">
        <f t="shared" si="96"/>
        <v>243.64564425013293</v>
      </c>
      <c r="D30" s="2629">
        <f t="shared" si="87"/>
        <v>243.64564425013293</v>
      </c>
      <c r="E30" s="2629">
        <f t="shared" si="97"/>
        <v>393.31080825986544</v>
      </c>
      <c r="F30" s="2629">
        <f t="shared" si="97"/>
        <v>223.07903790551154</v>
      </c>
      <c r="G30" s="3551"/>
      <c r="H30" s="2620">
        <v>2</v>
      </c>
      <c r="I30" s="2620">
        <v>2.04</v>
      </c>
      <c r="J30" s="2620">
        <v>2.33</v>
      </c>
      <c r="K30" s="2620">
        <v>2.0699999999999998</v>
      </c>
      <c r="L30" s="2631">
        <v>0.69</v>
      </c>
      <c r="N30" s="2624">
        <f t="shared" si="89"/>
        <v>2.0400000000000001E-2</v>
      </c>
      <c r="O30" s="2642">
        <f t="shared" si="85"/>
        <v>2.3300000000000001E-2</v>
      </c>
      <c r="P30" s="2642">
        <f t="shared" si="85"/>
        <v>2.07E-2</v>
      </c>
      <c r="Q30" s="2642">
        <f t="shared" si="85"/>
        <v>6.8999999999999999E-3</v>
      </c>
      <c r="R30" s="2626"/>
      <c r="S30" s="2624"/>
      <c r="T30" s="2625"/>
      <c r="U30" s="2625"/>
      <c r="V30" s="2625"/>
      <c r="X30" s="2726"/>
      <c r="Y30" s="2728"/>
    </row>
    <row r="31" spans="1:34">
      <c r="A31" s="2616" t="s">
        <v>2581</v>
      </c>
      <c r="B31" s="2629">
        <f t="shared" si="96"/>
        <v>282.50186729015837</v>
      </c>
      <c r="C31" s="2629">
        <f t="shared" si="96"/>
        <v>238.09796174155468</v>
      </c>
      <c r="D31" s="2629">
        <f t="shared" si="87"/>
        <v>238.09796174155468</v>
      </c>
      <c r="E31" s="2629">
        <f t="shared" si="97"/>
        <v>385.33438646014054</v>
      </c>
      <c r="F31" s="2629">
        <f t="shared" si="97"/>
        <v>221.55034055567739</v>
      </c>
      <c r="G31" s="3552"/>
      <c r="H31" s="2619">
        <v>1</v>
      </c>
      <c r="I31" s="2619">
        <v>1.67</v>
      </c>
      <c r="J31" s="2619">
        <v>1.31</v>
      </c>
      <c r="K31" s="2619">
        <v>1.85</v>
      </c>
      <c r="L31" s="2630">
        <v>0.96</v>
      </c>
      <c r="N31" s="2632">
        <f t="shared" si="89"/>
        <v>1.67E-2</v>
      </c>
      <c r="O31" s="2633">
        <f t="shared" si="85"/>
        <v>1.3100000000000001E-2</v>
      </c>
      <c r="P31" s="2633">
        <f t="shared" si="85"/>
        <v>1.8500000000000003E-2</v>
      </c>
      <c r="Q31" s="2633">
        <f t="shared" si="85"/>
        <v>9.5999999999999992E-3</v>
      </c>
      <c r="R31" s="2626"/>
      <c r="S31" s="2632">
        <f>B31/B32-1</f>
        <v>1.6193767230785472E-2</v>
      </c>
      <c r="T31" s="2633">
        <f>C31/C32-1</f>
        <v>1.7512657015190891E-2</v>
      </c>
      <c r="U31" s="2633">
        <f>E31/E32-1</f>
        <v>1.6713420739157048E-2</v>
      </c>
      <c r="V31" s="2633">
        <f>F31/F32-1</f>
        <v>7.0470025258062563E-3</v>
      </c>
      <c r="X31" s="2727"/>
      <c r="Y31" s="2634"/>
      <c r="Z31" s="2634"/>
    </row>
    <row r="32" spans="1:34" ht="13.5" thickBot="1">
      <c r="A32" s="2616" t="s">
        <v>2582</v>
      </c>
      <c r="B32" s="2659">
        <v>278</v>
      </c>
      <c r="C32" s="2659">
        <v>234</v>
      </c>
      <c r="D32" s="2659">
        <f t="shared" si="87"/>
        <v>234</v>
      </c>
      <c r="E32" s="2659">
        <v>379</v>
      </c>
      <c r="F32" s="2660">
        <v>220</v>
      </c>
      <c r="G32" s="3545">
        <v>2012</v>
      </c>
      <c r="H32" s="2635">
        <v>4</v>
      </c>
      <c r="I32" s="2635">
        <v>0.91</v>
      </c>
      <c r="J32" s="2635">
        <v>0.68</v>
      </c>
      <c r="K32" s="2635">
        <v>0.98</v>
      </c>
      <c r="L32" s="2636">
        <v>0.9</v>
      </c>
      <c r="N32" s="2624">
        <f t="shared" si="89"/>
        <v>9.1000000000000004E-3</v>
      </c>
      <c r="O32" s="2625">
        <f t="shared" si="89"/>
        <v>6.8000000000000005E-3</v>
      </c>
      <c r="P32" s="2625">
        <f t="shared" si="89"/>
        <v>9.7999999999999997E-3</v>
      </c>
      <c r="Q32" s="2625">
        <f t="shared" si="89"/>
        <v>9.0000000000000011E-3</v>
      </c>
      <c r="R32" s="2626"/>
      <c r="S32" s="2627"/>
      <c r="T32" s="2628"/>
      <c r="U32" s="2628"/>
      <c r="V32" s="2628"/>
      <c r="X32" s="2628"/>
      <c r="Y32" s="2628"/>
      <c r="Z32" s="2628"/>
    </row>
    <row r="33" spans="1:26">
      <c r="A33" s="2616" t="s">
        <v>2583</v>
      </c>
      <c r="B33" s="2629">
        <f>B32/(1+N32)</f>
        <v>275.49301357645425</v>
      </c>
      <c r="C33" s="2629">
        <f>C32/(1+O32)</f>
        <v>232.41954707985698</v>
      </c>
      <c r="D33" s="2629">
        <f t="shared" si="87"/>
        <v>232.41954707985698</v>
      </c>
      <c r="E33" s="2629">
        <f t="shared" ref="E33:F35" si="98">E32/(1+P32)</f>
        <v>375.32184591008121</v>
      </c>
      <c r="F33" s="2629">
        <f t="shared" si="98"/>
        <v>218.03766105054513</v>
      </c>
      <c r="G33" s="3543"/>
      <c r="H33" s="2640">
        <v>3</v>
      </c>
      <c r="I33" s="2640">
        <v>0.09</v>
      </c>
      <c r="J33" s="2640">
        <v>0.28999999999999998</v>
      </c>
      <c r="K33" s="2640">
        <v>-0.01</v>
      </c>
      <c r="L33" s="2641">
        <v>0.57999999999999996</v>
      </c>
      <c r="N33" s="2624">
        <f t="shared" si="89"/>
        <v>8.9999999999999998E-4</v>
      </c>
      <c r="O33" s="2625">
        <f t="shared" si="89"/>
        <v>2.8999999999999998E-3</v>
      </c>
      <c r="P33" s="2625">
        <f t="shared" si="89"/>
        <v>-1E-4</v>
      </c>
      <c r="Q33" s="2625">
        <f t="shared" si="89"/>
        <v>5.7999999999999996E-3</v>
      </c>
      <c r="R33" s="2626"/>
      <c r="S33" s="2624"/>
      <c r="T33" s="2625"/>
      <c r="U33" s="2625"/>
      <c r="V33" s="2625"/>
    </row>
    <row r="34" spans="1:26">
      <c r="A34" s="2616" t="s">
        <v>2584</v>
      </c>
      <c r="B34" s="2629">
        <f>B33/(1+N33)</f>
        <v>275.24529281292263</v>
      </c>
      <c r="C34" s="2629">
        <f>C33/(1+O33)</f>
        <v>231.74747938962707</v>
      </c>
      <c r="D34" s="2629">
        <f t="shared" si="87"/>
        <v>231.74747938962707</v>
      </c>
      <c r="E34" s="2629">
        <f t="shared" si="98"/>
        <v>375.35938184826603</v>
      </c>
      <c r="F34" s="2629">
        <f t="shared" si="98"/>
        <v>216.78033510692495</v>
      </c>
      <c r="G34" s="3543"/>
      <c r="H34" s="2620">
        <v>2</v>
      </c>
      <c r="I34" s="2620">
        <v>0.02</v>
      </c>
      <c r="J34" s="2620">
        <v>0.12</v>
      </c>
      <c r="K34" s="2620">
        <v>-0.08</v>
      </c>
      <c r="L34" s="2631">
        <v>1.24</v>
      </c>
      <c r="N34" s="2624">
        <f t="shared" si="89"/>
        <v>2.0000000000000001E-4</v>
      </c>
      <c r="O34" s="2625">
        <f t="shared" si="89"/>
        <v>1.1999999999999999E-3</v>
      </c>
      <c r="P34" s="2625">
        <f t="shared" si="89"/>
        <v>-8.0000000000000004E-4</v>
      </c>
      <c r="Q34" s="2625">
        <f t="shared" si="89"/>
        <v>1.24E-2</v>
      </c>
      <c r="R34" s="2626"/>
      <c r="S34" s="2624"/>
      <c r="T34" s="2625"/>
      <c r="U34" s="2625"/>
      <c r="V34" s="2625"/>
    </row>
    <row r="35" spans="1:26" ht="13.5" thickBot="1">
      <c r="A35" s="2616" t="s">
        <v>2585</v>
      </c>
      <c r="B35" s="2629">
        <f>B34/(1+N34)</f>
        <v>275.19025476197027</v>
      </c>
      <c r="C35" s="2661">
        <v>232</v>
      </c>
      <c r="D35" s="2661">
        <f t="shared" si="87"/>
        <v>232</v>
      </c>
      <c r="E35" s="2629">
        <f t="shared" si="98"/>
        <v>375.65990977608692</v>
      </c>
      <c r="F35" s="2629">
        <f t="shared" si="98"/>
        <v>214.12518283971252</v>
      </c>
      <c r="G35" s="3546"/>
      <c r="H35" s="2619">
        <v>1</v>
      </c>
      <c r="I35" s="2619">
        <v>0.02</v>
      </c>
      <c r="J35" s="2619">
        <v>0.13</v>
      </c>
      <c r="K35" s="2619">
        <v>-0.04</v>
      </c>
      <c r="L35" s="2630">
        <v>0.46</v>
      </c>
      <c r="N35" s="2624">
        <f t="shared" si="89"/>
        <v>2.0000000000000001E-4</v>
      </c>
      <c r="O35" s="2625">
        <f t="shared" si="89"/>
        <v>1.2999999999999999E-3</v>
      </c>
      <c r="P35" s="2625">
        <f t="shared" si="89"/>
        <v>-4.0000000000000002E-4</v>
      </c>
      <c r="Q35" s="2625">
        <f t="shared" si="89"/>
        <v>4.5999999999999999E-3</v>
      </c>
      <c r="R35" s="2626"/>
      <c r="S35" s="2632">
        <f>B35/B36-1</f>
        <v>6.9183549807361189E-4</v>
      </c>
      <c r="T35" s="2633">
        <f>C35/C36-1</f>
        <v>0</v>
      </c>
      <c r="U35" s="2633">
        <f>E35/E36-1</f>
        <v>-9.0449527636460303E-4</v>
      </c>
      <c r="V35" s="2633">
        <f>F35/F36-1</f>
        <v>5.2825485432512753E-3</v>
      </c>
      <c r="X35" s="2634"/>
      <c r="Y35" s="2634"/>
      <c r="Z35" s="2634"/>
    </row>
    <row r="36" spans="1:26" ht="13.5" thickBot="1">
      <c r="A36" s="2616" t="s">
        <v>2586</v>
      </c>
      <c r="B36" s="2621">
        <v>275</v>
      </c>
      <c r="C36" s="2621">
        <v>232</v>
      </c>
      <c r="D36" s="2621">
        <f t="shared" si="87"/>
        <v>232</v>
      </c>
      <c r="E36" s="2621">
        <v>376</v>
      </c>
      <c r="F36" s="2622">
        <v>213</v>
      </c>
      <c r="G36" s="3545">
        <v>2011</v>
      </c>
      <c r="H36" s="2635">
        <v>4</v>
      </c>
      <c r="I36" s="2635">
        <v>-0.2</v>
      </c>
      <c r="J36" s="2635">
        <v>0.04</v>
      </c>
      <c r="K36" s="2635">
        <v>-0.34</v>
      </c>
      <c r="L36" s="2636">
        <v>0.46</v>
      </c>
      <c r="N36" s="2637">
        <f t="shared" si="89"/>
        <v>-2E-3</v>
      </c>
      <c r="O36" s="2638">
        <f t="shared" si="89"/>
        <v>4.0000000000000002E-4</v>
      </c>
      <c r="P36" s="2638">
        <f t="shared" si="89"/>
        <v>-3.4000000000000002E-3</v>
      </c>
      <c r="Q36" s="2638">
        <f t="shared" si="89"/>
        <v>4.5999999999999999E-3</v>
      </c>
      <c r="R36" s="2626"/>
      <c r="S36" s="2627"/>
      <c r="T36" s="2628"/>
      <c r="U36" s="2628"/>
      <c r="V36" s="2628"/>
      <c r="X36" s="2628"/>
      <c r="Y36" s="2628"/>
      <c r="Z36" s="2628"/>
    </row>
    <row r="37" spans="1:26">
      <c r="A37" s="2616" t="s">
        <v>2587</v>
      </c>
      <c r="B37" s="2629">
        <f t="shared" ref="B37:C39" si="99">B36/(1+N36)</f>
        <v>275.55110220440883</v>
      </c>
      <c r="C37" s="2629">
        <f t="shared" si="99"/>
        <v>231.90723710515795</v>
      </c>
      <c r="D37" s="2629">
        <f t="shared" si="87"/>
        <v>231.90723710515795</v>
      </c>
      <c r="E37" s="2629">
        <f t="shared" ref="E37:F39" si="100">E36/(1+P36)</f>
        <v>377.28276138872161</v>
      </c>
      <c r="F37" s="2629">
        <f t="shared" si="100"/>
        <v>212.02468644236512</v>
      </c>
      <c r="G37" s="3543">
        <v>2011</v>
      </c>
      <c r="H37" s="2640">
        <v>3</v>
      </c>
      <c r="I37" s="2640">
        <v>0.13</v>
      </c>
      <c r="J37" s="2640">
        <v>0.75</v>
      </c>
      <c r="K37" s="2640">
        <v>-0.08</v>
      </c>
      <c r="L37" s="2641">
        <v>0.53</v>
      </c>
      <c r="N37" s="2624">
        <f t="shared" si="89"/>
        <v>1.2999999999999999E-3</v>
      </c>
      <c r="O37" s="2642">
        <f t="shared" si="89"/>
        <v>7.4999999999999997E-3</v>
      </c>
      <c r="P37" s="2642">
        <f t="shared" si="89"/>
        <v>-8.0000000000000004E-4</v>
      </c>
      <c r="Q37" s="2642">
        <f t="shared" si="89"/>
        <v>5.3E-3</v>
      </c>
      <c r="R37" s="2626"/>
      <c r="S37" s="2624"/>
      <c r="T37" s="2625"/>
      <c r="U37" s="2625"/>
      <c r="V37" s="2625"/>
    </row>
    <row r="38" spans="1:26">
      <c r="A38" s="2616" t="s">
        <v>2588</v>
      </c>
      <c r="B38" s="2629">
        <f t="shared" si="99"/>
        <v>275.19335084830601</v>
      </c>
      <c r="C38" s="2629">
        <f t="shared" si="99"/>
        <v>230.18088050139744</v>
      </c>
      <c r="D38" s="2629">
        <f t="shared" si="87"/>
        <v>230.18088050139744</v>
      </c>
      <c r="E38" s="2629">
        <f t="shared" si="100"/>
        <v>377.58482925212331</v>
      </c>
      <c r="F38" s="2629">
        <f t="shared" si="100"/>
        <v>210.90687997847917</v>
      </c>
      <c r="G38" s="3543">
        <v>2011</v>
      </c>
      <c r="H38" s="2620">
        <v>2</v>
      </c>
      <c r="I38" s="2620">
        <v>-0.4</v>
      </c>
      <c r="J38" s="2620">
        <v>0.17</v>
      </c>
      <c r="K38" s="2620">
        <v>-0.57999999999999996</v>
      </c>
      <c r="L38" s="2631">
        <v>-0.2</v>
      </c>
      <c r="N38" s="2624">
        <f t="shared" si="89"/>
        <v>-4.0000000000000001E-3</v>
      </c>
      <c r="O38" s="2642">
        <f t="shared" si="89"/>
        <v>1.7000000000000001E-3</v>
      </c>
      <c r="P38" s="2642">
        <f t="shared" si="89"/>
        <v>-5.7999999999999996E-3</v>
      </c>
      <c r="Q38" s="2642">
        <f t="shared" si="89"/>
        <v>-2E-3</v>
      </c>
      <c r="R38" s="2626"/>
      <c r="S38" s="2624"/>
      <c r="T38" s="2625"/>
      <c r="U38" s="2625"/>
      <c r="V38" s="2625"/>
    </row>
    <row r="39" spans="1:26" ht="13.5" thickBot="1">
      <c r="A39" s="2616" t="s">
        <v>2589</v>
      </c>
      <c r="B39" s="2629">
        <f t="shared" si="99"/>
        <v>276.29854502841971</v>
      </c>
      <c r="C39" s="2629">
        <f t="shared" si="99"/>
        <v>229.79023709833027</v>
      </c>
      <c r="D39" s="2629">
        <f t="shared" si="87"/>
        <v>229.79023709833027</v>
      </c>
      <c r="E39" s="2629">
        <f t="shared" si="100"/>
        <v>379.78759731655936</v>
      </c>
      <c r="F39" s="2629">
        <f t="shared" si="100"/>
        <v>211.32953905659235</v>
      </c>
      <c r="G39" s="3546">
        <v>2011</v>
      </c>
      <c r="H39" s="2619">
        <v>1</v>
      </c>
      <c r="I39" s="2619">
        <v>2.65</v>
      </c>
      <c r="J39" s="2619">
        <v>3.76</v>
      </c>
      <c r="K39" s="2619">
        <v>1.89</v>
      </c>
      <c r="L39" s="2630">
        <v>7.95</v>
      </c>
      <c r="N39" s="2632">
        <f t="shared" si="89"/>
        <v>2.6499999999999999E-2</v>
      </c>
      <c r="O39" s="2633">
        <f t="shared" si="89"/>
        <v>3.7599999999999995E-2</v>
      </c>
      <c r="P39" s="2633">
        <f t="shared" si="89"/>
        <v>1.89E-2</v>
      </c>
      <c r="Q39" s="2633">
        <f t="shared" si="89"/>
        <v>7.9500000000000001E-2</v>
      </c>
      <c r="R39" s="2626"/>
      <c r="S39" s="2632">
        <f>B39/B40-1</f>
        <v>2.713213765211786E-2</v>
      </c>
      <c r="T39" s="2633">
        <f>C39/C40-1</f>
        <v>3.9774828499231862E-2</v>
      </c>
      <c r="U39" s="2633">
        <f>E39/E40-1</f>
        <v>1.8197311840641772E-2</v>
      </c>
      <c r="V39" s="2633">
        <f>F39/F40-1</f>
        <v>7.8211933962205826E-2</v>
      </c>
      <c r="X39" s="2634"/>
      <c r="Y39" s="2634"/>
      <c r="Z39" s="2634"/>
    </row>
    <row r="40" spans="1:26" ht="13.5" thickBot="1">
      <c r="A40" s="2616" t="s">
        <v>2590</v>
      </c>
      <c r="B40" s="2621">
        <v>269</v>
      </c>
      <c r="C40" s="2621">
        <v>221</v>
      </c>
      <c r="D40" s="2621">
        <f t="shared" si="87"/>
        <v>221</v>
      </c>
      <c r="E40" s="2621">
        <v>373</v>
      </c>
      <c r="F40" s="2622">
        <v>196</v>
      </c>
      <c r="G40" s="3545">
        <v>2010</v>
      </c>
      <c r="H40" s="2635">
        <v>4</v>
      </c>
      <c r="I40" s="2635">
        <v>5.72</v>
      </c>
      <c r="J40" s="2635">
        <v>6.57</v>
      </c>
      <c r="K40" s="2635">
        <v>5.72</v>
      </c>
      <c r="L40" s="2636">
        <v>2.72</v>
      </c>
      <c r="N40" s="2624">
        <f t="shared" si="89"/>
        <v>5.7200000000000001E-2</v>
      </c>
      <c r="O40" s="2625">
        <f t="shared" si="89"/>
        <v>6.5700000000000008E-2</v>
      </c>
      <c r="P40" s="2625">
        <f t="shared" si="89"/>
        <v>5.7200000000000001E-2</v>
      </c>
      <c r="Q40" s="2625">
        <f t="shared" si="89"/>
        <v>2.7200000000000002E-2</v>
      </c>
      <c r="R40" s="2626"/>
      <c r="S40" s="2627"/>
      <c r="T40" s="2628"/>
      <c r="U40" s="2628"/>
      <c r="V40" s="2628"/>
      <c r="X40" s="2628"/>
      <c r="Y40" s="2628"/>
      <c r="Z40" s="2628"/>
    </row>
    <row r="41" spans="1:26">
      <c r="A41" s="2616" t="s">
        <v>2591</v>
      </c>
      <c r="B41" s="2629">
        <f t="shared" ref="B41:C43" si="101">B40/(1+N40)</f>
        <v>254.44570563753314</v>
      </c>
      <c r="C41" s="2629">
        <f t="shared" si="101"/>
        <v>207.37543398705074</v>
      </c>
      <c r="D41" s="2629">
        <f t="shared" si="87"/>
        <v>207.37543398705074</v>
      </c>
      <c r="E41" s="2629">
        <f t="shared" ref="E41:F43" si="102">E40/(1+P40)</f>
        <v>352.81876655315932</v>
      </c>
      <c r="F41" s="2629">
        <f t="shared" si="102"/>
        <v>190.809968847352</v>
      </c>
      <c r="G41" s="3543">
        <v>2010</v>
      </c>
      <c r="H41" s="2640">
        <v>3</v>
      </c>
      <c r="I41" s="2640">
        <v>4.7300000000000004</v>
      </c>
      <c r="J41" s="2640">
        <v>3.9</v>
      </c>
      <c r="K41" s="2640">
        <v>5.03</v>
      </c>
      <c r="L41" s="2641">
        <v>4.21</v>
      </c>
      <c r="N41" s="2624">
        <f t="shared" si="89"/>
        <v>4.7300000000000002E-2</v>
      </c>
      <c r="O41" s="2625">
        <f t="shared" si="89"/>
        <v>3.9E-2</v>
      </c>
      <c r="P41" s="2625">
        <f t="shared" si="89"/>
        <v>5.0300000000000004E-2</v>
      </c>
      <c r="Q41" s="2625">
        <f t="shared" si="89"/>
        <v>4.2099999999999999E-2</v>
      </c>
      <c r="R41" s="2626"/>
      <c r="S41" s="2624"/>
      <c r="T41" s="2625"/>
      <c r="U41" s="2625"/>
      <c r="V41" s="2625"/>
    </row>
    <row r="42" spans="1:26">
      <c r="A42" s="2616" t="s">
        <v>2592</v>
      </c>
      <c r="B42" s="2629">
        <f t="shared" si="101"/>
        <v>242.95398227588385</v>
      </c>
      <c r="C42" s="2629">
        <f t="shared" si="101"/>
        <v>199.59137053614126</v>
      </c>
      <c r="D42" s="2629">
        <f t="shared" si="87"/>
        <v>199.59137053614126</v>
      </c>
      <c r="E42" s="2629">
        <f t="shared" si="102"/>
        <v>335.92189522342125</v>
      </c>
      <c r="F42" s="2629">
        <f t="shared" si="102"/>
        <v>183.10139991109489</v>
      </c>
      <c r="G42" s="3543">
        <v>2010</v>
      </c>
      <c r="H42" s="2620">
        <v>2</v>
      </c>
      <c r="I42" s="2620">
        <v>4.6900000000000004</v>
      </c>
      <c r="J42" s="2620">
        <v>3.55</v>
      </c>
      <c r="K42" s="2620">
        <v>5.07</v>
      </c>
      <c r="L42" s="2631">
        <v>4.2300000000000004</v>
      </c>
      <c r="N42" s="2624">
        <f t="shared" si="89"/>
        <v>4.6900000000000004E-2</v>
      </c>
      <c r="O42" s="2625">
        <f t="shared" si="89"/>
        <v>3.5499999999999997E-2</v>
      </c>
      <c r="P42" s="2625">
        <f t="shared" si="89"/>
        <v>5.0700000000000002E-2</v>
      </c>
      <c r="Q42" s="2625">
        <f t="shared" si="89"/>
        <v>4.2300000000000004E-2</v>
      </c>
      <c r="R42" s="2626"/>
      <c r="S42" s="2624"/>
      <c r="T42" s="2625"/>
      <c r="U42" s="2625"/>
      <c r="V42" s="2625"/>
    </row>
    <row r="43" spans="1:26" ht="13.5" thickBot="1">
      <c r="A43" s="2616" t="s">
        <v>2593</v>
      </c>
      <c r="B43" s="2629">
        <f t="shared" si="101"/>
        <v>232.06990378821649</v>
      </c>
      <c r="C43" s="2629">
        <f t="shared" si="101"/>
        <v>192.74878854286936</v>
      </c>
      <c r="D43" s="2629">
        <f t="shared" si="87"/>
        <v>192.74878854286936</v>
      </c>
      <c r="E43" s="2629">
        <f t="shared" si="102"/>
        <v>319.71247284992984</v>
      </c>
      <c r="F43" s="2629">
        <f t="shared" si="102"/>
        <v>175.67053622862409</v>
      </c>
      <c r="G43" s="3546">
        <v>2010</v>
      </c>
      <c r="H43" s="2619">
        <v>1</v>
      </c>
      <c r="I43" s="2619">
        <v>5.4</v>
      </c>
      <c r="J43" s="2619">
        <v>3.2</v>
      </c>
      <c r="K43" s="2619">
        <v>6.16</v>
      </c>
      <c r="L43" s="2630">
        <v>4.51</v>
      </c>
      <c r="N43" s="2624">
        <f t="shared" si="89"/>
        <v>5.4000000000000006E-2</v>
      </c>
      <c r="O43" s="2625">
        <f t="shared" si="89"/>
        <v>3.2000000000000001E-2</v>
      </c>
      <c r="P43" s="2625">
        <f t="shared" si="89"/>
        <v>6.1600000000000002E-2</v>
      </c>
      <c r="Q43" s="2625">
        <f t="shared" si="89"/>
        <v>4.5100000000000001E-2</v>
      </c>
      <c r="R43" s="2626"/>
      <c r="S43" s="2632">
        <f>B43/B44-1</f>
        <v>5.4863199037347599E-2</v>
      </c>
      <c r="T43" s="2633">
        <f>C43/C44-1</f>
        <v>3.0742184721226584E-2</v>
      </c>
      <c r="U43" s="2633">
        <f>E43/E44-1</f>
        <v>6.2167683886810154E-2</v>
      </c>
      <c r="V43" s="2633">
        <f>F43/F44-1</f>
        <v>4.5657953741810031E-2</v>
      </c>
      <c r="X43" s="2634"/>
      <c r="Y43" s="2634"/>
      <c r="Z43" s="2634"/>
    </row>
    <row r="44" spans="1:26" ht="13.5" thickBot="1">
      <c r="A44" s="2616" t="s">
        <v>2594</v>
      </c>
      <c r="B44" s="2621">
        <v>220</v>
      </c>
      <c r="C44" s="2621">
        <v>187</v>
      </c>
      <c r="D44" s="2621">
        <f t="shared" si="87"/>
        <v>187</v>
      </c>
      <c r="E44" s="2621">
        <v>301</v>
      </c>
      <c r="F44" s="2622">
        <v>168</v>
      </c>
      <c r="G44" s="3545">
        <v>2009</v>
      </c>
      <c r="H44" s="2635">
        <v>4</v>
      </c>
      <c r="I44" s="2635">
        <v>2.2999999999999998</v>
      </c>
      <c r="J44" s="2635">
        <v>1.04</v>
      </c>
      <c r="K44" s="2635">
        <v>2.84</v>
      </c>
      <c r="L44" s="2636">
        <v>0.67</v>
      </c>
      <c r="N44" s="2637">
        <f t="shared" si="89"/>
        <v>2.3E-2</v>
      </c>
      <c r="O44" s="2638">
        <f t="shared" si="89"/>
        <v>1.04E-2</v>
      </c>
      <c r="P44" s="2638">
        <f t="shared" si="89"/>
        <v>2.8399999999999998E-2</v>
      </c>
      <c r="Q44" s="2638">
        <f t="shared" si="89"/>
        <v>6.7000000000000002E-3</v>
      </c>
      <c r="R44" s="2626"/>
      <c r="S44" s="2627"/>
      <c r="T44" s="2628"/>
      <c r="U44" s="2628"/>
      <c r="V44" s="2628"/>
      <c r="X44" s="2628"/>
      <c r="Y44" s="2628"/>
      <c r="Z44" s="2628"/>
    </row>
    <row r="45" spans="1:26">
      <c r="A45" s="2616" t="s">
        <v>2595</v>
      </c>
      <c r="B45" s="2629">
        <f t="shared" ref="B45:C47" si="103">B44/(1+N44)</f>
        <v>215.05376344086022</v>
      </c>
      <c r="C45" s="2629">
        <f t="shared" si="103"/>
        <v>185.0752177355503</v>
      </c>
      <c r="D45" s="2629">
        <f t="shared" si="87"/>
        <v>185.0752177355503</v>
      </c>
      <c r="E45" s="2629">
        <f t="shared" ref="E45:F47" si="104">E44/(1+P44)</f>
        <v>292.68767016725008</v>
      </c>
      <c r="F45" s="2629">
        <f t="shared" si="104"/>
        <v>166.88189132810174</v>
      </c>
      <c r="G45" s="3543">
        <v>2009</v>
      </c>
      <c r="H45" s="2640">
        <v>3</v>
      </c>
      <c r="I45" s="2640">
        <v>2.1</v>
      </c>
      <c r="J45" s="2640">
        <v>1.86</v>
      </c>
      <c r="K45" s="2640">
        <v>2.29</v>
      </c>
      <c r="L45" s="2641">
        <v>0.85</v>
      </c>
      <c r="N45" s="2624">
        <f t="shared" si="89"/>
        <v>2.1000000000000001E-2</v>
      </c>
      <c r="O45" s="2642">
        <f t="shared" si="89"/>
        <v>1.8600000000000002E-2</v>
      </c>
      <c r="P45" s="2642">
        <f t="shared" si="89"/>
        <v>2.29E-2</v>
      </c>
      <c r="Q45" s="2642">
        <f t="shared" si="89"/>
        <v>8.5000000000000006E-3</v>
      </c>
      <c r="R45" s="2626"/>
      <c r="S45" s="2624"/>
      <c r="T45" s="2625"/>
      <c r="U45" s="2625"/>
      <c r="V45" s="2625"/>
    </row>
    <row r="46" spans="1:26">
      <c r="A46" s="2616" t="s">
        <v>2596</v>
      </c>
      <c r="B46" s="2629">
        <f t="shared" si="103"/>
        <v>210.630522469011</v>
      </c>
      <c r="C46" s="2629">
        <f t="shared" si="103"/>
        <v>181.69567812247232</v>
      </c>
      <c r="D46" s="2629">
        <f t="shared" si="87"/>
        <v>181.69567812247232</v>
      </c>
      <c r="E46" s="2629">
        <f t="shared" si="104"/>
        <v>286.13517466736738</v>
      </c>
      <c r="F46" s="2629">
        <f t="shared" si="104"/>
        <v>165.47535084591149</v>
      </c>
      <c r="G46" s="3543">
        <v>2009</v>
      </c>
      <c r="H46" s="2620">
        <v>2</v>
      </c>
      <c r="I46" s="2620">
        <v>0.86</v>
      </c>
      <c r="J46" s="2620">
        <v>-1.1299999999999999</v>
      </c>
      <c r="K46" s="2620">
        <v>1.79</v>
      </c>
      <c r="L46" s="2631">
        <v>-2.0699999999999998</v>
      </c>
      <c r="N46" s="2624">
        <f t="shared" si="89"/>
        <v>8.6E-3</v>
      </c>
      <c r="O46" s="2642">
        <f t="shared" si="89"/>
        <v>-1.1299999999999999E-2</v>
      </c>
      <c r="P46" s="2642">
        <f t="shared" si="89"/>
        <v>1.7899999999999999E-2</v>
      </c>
      <c r="Q46" s="2642">
        <f t="shared" si="89"/>
        <v>-2.07E-2</v>
      </c>
      <c r="R46" s="2626"/>
      <c r="S46" s="2624"/>
      <c r="T46" s="2625"/>
      <c r="U46" s="2625"/>
      <c r="V46" s="2625"/>
    </row>
    <row r="47" spans="1:26">
      <c r="A47" s="2616" t="s">
        <v>2597</v>
      </c>
      <c r="B47" s="2629">
        <f t="shared" si="103"/>
        <v>208.83454537875372</v>
      </c>
      <c r="C47" s="2629">
        <f t="shared" si="103"/>
        <v>183.77230517090351</v>
      </c>
      <c r="D47" s="2629">
        <f t="shared" si="87"/>
        <v>183.77230517090351</v>
      </c>
      <c r="E47" s="2629">
        <f t="shared" si="104"/>
        <v>281.10342338870947</v>
      </c>
      <c r="F47" s="2629">
        <f t="shared" si="104"/>
        <v>168.97309388942256</v>
      </c>
      <c r="G47" s="3546">
        <v>2009</v>
      </c>
      <c r="H47" s="2619">
        <v>1</v>
      </c>
      <c r="I47" s="2619">
        <v>-2.64</v>
      </c>
      <c r="J47" s="2619">
        <v>-2.5299999999999998</v>
      </c>
      <c r="K47" s="2619">
        <v>-3.02</v>
      </c>
      <c r="L47" s="2630">
        <v>1.52</v>
      </c>
      <c r="N47" s="2632">
        <f t="shared" si="89"/>
        <v>-2.64E-2</v>
      </c>
      <c r="O47" s="2633">
        <f t="shared" si="89"/>
        <v>-2.53E-2</v>
      </c>
      <c r="P47" s="2633">
        <f t="shared" si="89"/>
        <v>-3.0200000000000001E-2</v>
      </c>
      <c r="Q47" s="2633">
        <f t="shared" si="89"/>
        <v>1.52E-2</v>
      </c>
      <c r="R47" s="2626"/>
      <c r="S47" s="2632">
        <f>B47/B48-1</f>
        <v>-2.4137638417038754E-2</v>
      </c>
      <c r="T47" s="2633">
        <f>C47/C48-1</f>
        <v>-2.248773845264096E-2</v>
      </c>
      <c r="U47" s="2633">
        <f>E47/E48-1</f>
        <v>-2.7323794502735366E-2</v>
      </c>
      <c r="V47" s="2633">
        <f>F47/F48-1</f>
        <v>1.7910204153148035E-2</v>
      </c>
      <c r="X47" s="2634"/>
      <c r="Y47" s="2634"/>
      <c r="Z47" s="2634"/>
    </row>
    <row r="48" spans="1:26" ht="13.5" thickBot="1">
      <c r="A48" s="2616" t="s">
        <v>2598</v>
      </c>
      <c r="B48" s="2659">
        <v>214</v>
      </c>
      <c r="C48" s="2659">
        <v>188</v>
      </c>
      <c r="D48" s="2659">
        <f t="shared" si="87"/>
        <v>188</v>
      </c>
      <c r="E48" s="2659">
        <v>289</v>
      </c>
      <c r="F48" s="2660">
        <v>166</v>
      </c>
      <c r="G48" s="3545">
        <v>2008</v>
      </c>
      <c r="H48" s="2635">
        <v>4</v>
      </c>
      <c r="I48" s="2635">
        <v>1.73</v>
      </c>
      <c r="J48" s="2635">
        <v>0.03</v>
      </c>
      <c r="K48" s="2635">
        <v>2.59</v>
      </c>
      <c r="L48" s="2636">
        <v>-1.66</v>
      </c>
      <c r="N48" s="2624">
        <f t="shared" si="89"/>
        <v>1.7299999999999999E-2</v>
      </c>
      <c r="O48" s="2625">
        <f t="shared" si="89"/>
        <v>2.9999999999999997E-4</v>
      </c>
      <c r="P48" s="2625">
        <f t="shared" si="89"/>
        <v>2.5899999999999999E-2</v>
      </c>
      <c r="Q48" s="2625">
        <f t="shared" si="89"/>
        <v>-1.66E-2</v>
      </c>
      <c r="R48" s="2626"/>
      <c r="S48" s="2627"/>
      <c r="T48" s="2628"/>
      <c r="U48" s="2628"/>
      <c r="V48" s="2628"/>
      <c r="X48" s="2628"/>
      <c r="Y48" s="2628"/>
      <c r="Z48" s="2628"/>
    </row>
    <row r="49" spans="1:26">
      <c r="A49" s="2616" t="s">
        <v>2599</v>
      </c>
      <c r="B49" s="2629">
        <f t="shared" ref="B49:C51" si="105">B48/(1+N48)</f>
        <v>210.36075887152265</v>
      </c>
      <c r="C49" s="2629">
        <f t="shared" si="105"/>
        <v>187.94361691492554</v>
      </c>
      <c r="D49" s="2629">
        <f t="shared" si="87"/>
        <v>187.94361691492554</v>
      </c>
      <c r="E49" s="2629">
        <f t="shared" ref="E49:F51" si="106">E48/(1+P48)</f>
        <v>281.70386977288234</v>
      </c>
      <c r="F49" s="2629">
        <f t="shared" si="106"/>
        <v>168.80211511083994</v>
      </c>
      <c r="G49" s="3543">
        <v>2008</v>
      </c>
      <c r="H49" s="2640">
        <v>3</v>
      </c>
      <c r="I49" s="2640">
        <v>1.96</v>
      </c>
      <c r="J49" s="2640">
        <v>2.36</v>
      </c>
      <c r="K49" s="2640">
        <v>1.82</v>
      </c>
      <c r="L49" s="2641">
        <v>2.2200000000000002</v>
      </c>
      <c r="N49" s="2624">
        <f t="shared" si="89"/>
        <v>1.9599999999999999E-2</v>
      </c>
      <c r="O49" s="2625">
        <f t="shared" si="89"/>
        <v>2.3599999999999999E-2</v>
      </c>
      <c r="P49" s="2625">
        <f t="shared" si="89"/>
        <v>1.8200000000000001E-2</v>
      </c>
      <c r="Q49" s="2625">
        <f t="shared" si="89"/>
        <v>2.2200000000000001E-2</v>
      </c>
      <c r="R49" s="2626"/>
      <c r="S49" s="2624"/>
      <c r="T49" s="2625"/>
      <c r="U49" s="2625"/>
      <c r="V49" s="2625"/>
    </row>
    <row r="50" spans="1:26">
      <c r="A50" s="2616" t="s">
        <v>2600</v>
      </c>
      <c r="B50" s="2629">
        <f t="shared" si="105"/>
        <v>206.31694671589116</v>
      </c>
      <c r="C50" s="2629">
        <f t="shared" si="105"/>
        <v>183.61041121036101</v>
      </c>
      <c r="D50" s="2629">
        <f t="shared" si="87"/>
        <v>183.61041121036101</v>
      </c>
      <c r="E50" s="2629">
        <f t="shared" si="106"/>
        <v>276.66850301795557</v>
      </c>
      <c r="F50" s="2629">
        <f t="shared" si="106"/>
        <v>165.1360938278614</v>
      </c>
      <c r="G50" s="3543">
        <v>2008</v>
      </c>
      <c r="H50" s="2620">
        <v>2</v>
      </c>
      <c r="I50" s="2620">
        <v>4.93</v>
      </c>
      <c r="J50" s="2620">
        <v>7.38</v>
      </c>
      <c r="K50" s="2620">
        <v>3.98</v>
      </c>
      <c r="L50" s="2631">
        <v>6.86</v>
      </c>
      <c r="N50" s="2624">
        <f t="shared" si="89"/>
        <v>4.9299999999999997E-2</v>
      </c>
      <c r="O50" s="2625">
        <f t="shared" si="89"/>
        <v>7.3800000000000004E-2</v>
      </c>
      <c r="P50" s="2625">
        <f t="shared" si="89"/>
        <v>3.9800000000000002E-2</v>
      </c>
      <c r="Q50" s="2625">
        <f t="shared" si="89"/>
        <v>6.8600000000000008E-2</v>
      </c>
      <c r="R50" s="2626"/>
      <c r="S50" s="2624"/>
      <c r="T50" s="2625"/>
      <c r="U50" s="2625"/>
      <c r="V50" s="2625"/>
    </row>
    <row r="51" spans="1:26" s="2665" customFormat="1" ht="13.5" thickBot="1">
      <c r="A51" s="2616" t="s">
        <v>2601</v>
      </c>
      <c r="B51" s="2662">
        <f t="shared" si="105"/>
        <v>196.62341248059772</v>
      </c>
      <c r="C51" s="2662">
        <f t="shared" si="105"/>
        <v>170.99125648199012</v>
      </c>
      <c r="D51" s="2662">
        <f t="shared" si="87"/>
        <v>170.99125648199012</v>
      </c>
      <c r="E51" s="2662">
        <f t="shared" si="106"/>
        <v>266.07857570490052</v>
      </c>
      <c r="F51" s="2662">
        <f t="shared" si="106"/>
        <v>154.53499328828505</v>
      </c>
      <c r="G51" s="3546">
        <v>2008</v>
      </c>
      <c r="H51" s="2663">
        <v>1</v>
      </c>
      <c r="I51" s="2663">
        <v>4.1399999999999997</v>
      </c>
      <c r="J51" s="2663">
        <v>3.45</v>
      </c>
      <c r="K51" s="2663">
        <v>4.95</v>
      </c>
      <c r="L51" s="2664">
        <v>4.82</v>
      </c>
      <c r="N51" s="2666">
        <f t="shared" si="89"/>
        <v>4.1399999999999999E-2</v>
      </c>
      <c r="O51" s="2667">
        <f t="shared" si="89"/>
        <v>3.4500000000000003E-2</v>
      </c>
      <c r="P51" s="2667">
        <f t="shared" si="89"/>
        <v>4.9500000000000002E-2</v>
      </c>
      <c r="Q51" s="2667">
        <f t="shared" si="89"/>
        <v>4.82E-2</v>
      </c>
      <c r="R51" s="2668"/>
      <c r="S51" s="2666">
        <f>B51/B52-1</f>
        <v>4.5869215322328349E-2</v>
      </c>
      <c r="T51" s="2667">
        <f>C51/C52-1</f>
        <v>3.6310645345394743E-2</v>
      </c>
      <c r="U51" s="2667">
        <f>E51/E52-1</f>
        <v>4.7553447657088688E-2</v>
      </c>
      <c r="V51" s="2667">
        <f>F51/F52-1</f>
        <v>4.4155360055980086E-2</v>
      </c>
      <c r="X51" s="2669"/>
      <c r="Y51" s="2669"/>
      <c r="Z51" s="2669"/>
    </row>
    <row r="52" spans="1:26" ht="13.5" thickBot="1">
      <c r="A52" s="2616" t="s">
        <v>2602</v>
      </c>
      <c r="B52" s="2621">
        <v>188</v>
      </c>
      <c r="C52" s="2621">
        <v>165</v>
      </c>
      <c r="D52" s="2621">
        <f t="shared" si="87"/>
        <v>165</v>
      </c>
      <c r="E52" s="2621">
        <v>254</v>
      </c>
      <c r="F52" s="2622">
        <v>148</v>
      </c>
      <c r="G52" s="3545">
        <v>2007</v>
      </c>
      <c r="H52" s="2670">
        <v>4</v>
      </c>
      <c r="I52" s="2670">
        <v>5.51</v>
      </c>
      <c r="J52" s="2670">
        <v>4.8899999999999997</v>
      </c>
      <c r="K52" s="2670">
        <v>6.43</v>
      </c>
      <c r="L52" s="2671">
        <v>5.36</v>
      </c>
      <c r="N52" s="2672">
        <f t="shared" ref="N52:O55" si="107">B52/B53-1</f>
        <v>4.1339718365245526E-2</v>
      </c>
      <c r="O52" s="2673">
        <f t="shared" si="107"/>
        <v>4.0324492593776018E-2</v>
      </c>
      <c r="P52" s="2673">
        <f t="shared" ref="P52:Q55" si="108">E52/E53-1</f>
        <v>6.1625555347990968E-2</v>
      </c>
      <c r="Q52" s="2673">
        <f t="shared" si="108"/>
        <v>4.6757569250590603E-2</v>
      </c>
      <c r="R52" s="2626"/>
      <c r="S52" s="2627"/>
      <c r="T52" s="2628"/>
      <c r="U52" s="2628"/>
      <c r="V52" s="2628"/>
      <c r="X52" s="2628"/>
      <c r="Y52" s="2628"/>
      <c r="Z52" s="2628"/>
    </row>
    <row r="53" spans="1:26">
      <c r="A53" s="2616" t="s">
        <v>2603</v>
      </c>
      <c r="B53" s="2629">
        <f t="shared" ref="B53:C55" si="109">B54+(B$52-B$56)*I53/SUM(I$52:I$55)</f>
        <v>180.5366651097618</v>
      </c>
      <c r="C53" s="2629">
        <f t="shared" si="109"/>
        <v>158.60435967302453</v>
      </c>
      <c r="D53" s="2629">
        <f t="shared" si="87"/>
        <v>158.60435967302453</v>
      </c>
      <c r="E53" s="2629">
        <f t="shared" ref="E53:F55" si="110">E54+(E$52-E$56)*K53/SUM(K$52:K$55)</f>
        <v>239.25573260785075</v>
      </c>
      <c r="F53" s="2629">
        <f t="shared" si="110"/>
        <v>141.38899430740037</v>
      </c>
      <c r="G53" s="3543">
        <v>2007</v>
      </c>
      <c r="H53" s="2640">
        <v>3</v>
      </c>
      <c r="I53" s="2640">
        <v>8.65</v>
      </c>
      <c r="J53" s="2640">
        <v>8.06</v>
      </c>
      <c r="K53" s="2640">
        <v>9.94</v>
      </c>
      <c r="L53" s="2641">
        <v>5.8</v>
      </c>
      <c r="N53" s="2672">
        <f t="shared" si="107"/>
        <v>6.940217571740015E-2</v>
      </c>
      <c r="O53" s="2673">
        <f t="shared" si="107"/>
        <v>7.1197482471153428E-2</v>
      </c>
      <c r="P53" s="2673">
        <f t="shared" si="108"/>
        <v>0.10529679922579582</v>
      </c>
      <c r="Q53" s="2673">
        <f t="shared" si="108"/>
        <v>5.3292245059512133E-2</v>
      </c>
      <c r="R53" s="2626"/>
      <c r="S53" s="2624"/>
      <c r="T53" s="2625"/>
      <c r="U53" s="2625"/>
      <c r="V53" s="2625"/>
      <c r="X53" s="2674"/>
      <c r="Y53" s="2674"/>
      <c r="Z53" s="2674"/>
    </row>
    <row r="54" spans="1:26">
      <c r="A54" s="2616" t="s">
        <v>2604</v>
      </c>
      <c r="B54" s="2629">
        <f t="shared" si="109"/>
        <v>168.82017748715555</v>
      </c>
      <c r="C54" s="2629">
        <f t="shared" si="109"/>
        <v>148.06267029972753</v>
      </c>
      <c r="D54" s="2629">
        <f t="shared" si="87"/>
        <v>148.06267029972753</v>
      </c>
      <c r="E54" s="2629">
        <f t="shared" si="110"/>
        <v>216.46288379323747</v>
      </c>
      <c r="F54" s="2629">
        <f t="shared" si="110"/>
        <v>134.23529411764704</v>
      </c>
      <c r="G54" s="3543">
        <v>2007</v>
      </c>
      <c r="H54" s="2620">
        <v>2</v>
      </c>
      <c r="I54" s="2620">
        <v>3.67</v>
      </c>
      <c r="J54" s="2620">
        <v>2.3199999999999998</v>
      </c>
      <c r="K54" s="2620">
        <v>5.0199999999999996</v>
      </c>
      <c r="L54" s="2631">
        <v>6.71</v>
      </c>
      <c r="N54" s="2672">
        <f t="shared" si="107"/>
        <v>3.0339138143848032E-2</v>
      </c>
      <c r="O54" s="2673">
        <f t="shared" si="107"/>
        <v>2.0922341588790472E-2</v>
      </c>
      <c r="P54" s="2673">
        <f t="shared" si="108"/>
        <v>5.6164796592717003E-2</v>
      </c>
      <c r="Q54" s="2673">
        <f t="shared" si="108"/>
        <v>6.5704536723887319E-2</v>
      </c>
      <c r="R54" s="2626"/>
      <c r="S54" s="2624"/>
      <c r="T54" s="2625"/>
      <c r="U54" s="2625"/>
      <c r="V54" s="2625"/>
      <c r="X54" s="2674"/>
      <c r="Y54" s="2674"/>
      <c r="Z54" s="2674"/>
    </row>
    <row r="55" spans="1:26">
      <c r="A55" s="2616" t="s">
        <v>2605</v>
      </c>
      <c r="B55" s="2629">
        <f t="shared" si="109"/>
        <v>163.84913591779542</v>
      </c>
      <c r="C55" s="2629">
        <f t="shared" si="109"/>
        <v>145.0283378746594</v>
      </c>
      <c r="D55" s="2629">
        <f t="shared" si="87"/>
        <v>145.0283378746594</v>
      </c>
      <c r="E55" s="2629">
        <f t="shared" si="110"/>
        <v>204.95180722891567</v>
      </c>
      <c r="F55" s="2629">
        <f t="shared" si="110"/>
        <v>125.95920303605313</v>
      </c>
      <c r="G55" s="3546">
        <v>2007</v>
      </c>
      <c r="H55" s="2619">
        <v>1</v>
      </c>
      <c r="I55" s="2619">
        <v>3.58</v>
      </c>
      <c r="J55" s="2619">
        <v>3.08</v>
      </c>
      <c r="K55" s="2619">
        <v>4.34</v>
      </c>
      <c r="L55" s="2630">
        <v>3.21</v>
      </c>
      <c r="N55" s="2675">
        <f t="shared" si="107"/>
        <v>3.0497710174814063E-2</v>
      </c>
      <c r="O55" s="2676">
        <f t="shared" si="107"/>
        <v>2.8569772160704998E-2</v>
      </c>
      <c r="P55" s="2676">
        <f t="shared" si="108"/>
        <v>5.1034908866234296E-2</v>
      </c>
      <c r="Q55" s="2676">
        <f t="shared" si="108"/>
        <v>3.245248390207478E-2</v>
      </c>
      <c r="R55" s="2626"/>
      <c r="S55" s="2632">
        <f>B55/B56-1</f>
        <v>3.0497710174814063E-2</v>
      </c>
      <c r="T55" s="2633">
        <f>C55/C56-1</f>
        <v>2.8569772160704998E-2</v>
      </c>
      <c r="U55" s="2633">
        <f>E55/E56-1</f>
        <v>5.1034908866234296E-2</v>
      </c>
      <c r="V55" s="2633">
        <f>F55/F56-1</f>
        <v>3.245248390207478E-2</v>
      </c>
      <c r="X55" s="2674"/>
      <c r="Y55" s="2674"/>
      <c r="Z55" s="2674"/>
    </row>
    <row r="56" spans="1:26" ht="13.5" thickBot="1">
      <c r="A56" s="2616" t="s">
        <v>2606</v>
      </c>
      <c r="B56" s="2643">
        <v>159</v>
      </c>
      <c r="C56" s="2643">
        <v>141</v>
      </c>
      <c r="D56" s="2643">
        <f t="shared" si="87"/>
        <v>141</v>
      </c>
      <c r="E56" s="2643">
        <v>195</v>
      </c>
      <c r="F56" s="2644">
        <v>122</v>
      </c>
      <c r="G56" s="3545">
        <v>2006</v>
      </c>
      <c r="H56" s="2635">
        <v>4</v>
      </c>
      <c r="I56" s="2635">
        <v>3.79</v>
      </c>
      <c r="J56" s="2635">
        <v>2.21</v>
      </c>
      <c r="K56" s="2635">
        <v>5.65</v>
      </c>
      <c r="L56" s="2636">
        <v>5.41</v>
      </c>
      <c r="N56" s="2672">
        <f t="shared" ref="N56:O59" si="111">I56/SUM(I$56:I$59)*(B$56/B$60-1)</f>
        <v>7.245466462748526E-2</v>
      </c>
      <c r="O56" s="2673">
        <f t="shared" si="111"/>
        <v>2.3237230038062766E-2</v>
      </c>
      <c r="P56" s="2673">
        <f t="shared" ref="P56:Q59" si="112">K56/SUM(K$56:K$59)*(E$56/E$60-1)</f>
        <v>0.16146893866323722</v>
      </c>
      <c r="Q56" s="2673">
        <f t="shared" si="112"/>
        <v>5.0755230321793784E-2</v>
      </c>
      <c r="R56" s="2626"/>
      <c r="S56" s="2627"/>
      <c r="T56" s="2628"/>
      <c r="U56" s="2628"/>
      <c r="V56" s="2628"/>
      <c r="X56" s="2674"/>
      <c r="Y56" s="2674"/>
      <c r="Z56" s="2674"/>
    </row>
    <row r="57" spans="1:26">
      <c r="A57" s="2616" t="s">
        <v>2607</v>
      </c>
      <c r="B57" s="2629">
        <f t="shared" ref="B57:C59" si="113">B58+(B$56-B$60)*I57/SUM(I$56:I$59)</f>
        <v>149.00125628140702</v>
      </c>
      <c r="C57" s="2629">
        <f t="shared" si="113"/>
        <v>137.95592286501378</v>
      </c>
      <c r="D57" s="2629">
        <f t="shared" si="87"/>
        <v>137.95592286501378</v>
      </c>
      <c r="E57" s="2629">
        <f t="shared" ref="E57:F59" si="114">E58+(E$56-E$60)*K57/SUM(K$56:K$59)</f>
        <v>169.97231450719823</v>
      </c>
      <c r="F57" s="2629">
        <f t="shared" si="114"/>
        <v>116.21390374331551</v>
      </c>
      <c r="G57" s="3543">
        <v>2006</v>
      </c>
      <c r="H57" s="2640">
        <v>3</v>
      </c>
      <c r="I57" s="2640">
        <v>0.92</v>
      </c>
      <c r="J57" s="2640">
        <v>1.08</v>
      </c>
      <c r="K57" s="2640">
        <v>0.73</v>
      </c>
      <c r="L57" s="2641">
        <v>1.08</v>
      </c>
      <c r="N57" s="2672">
        <f t="shared" si="111"/>
        <v>1.7587939698492462E-2</v>
      </c>
      <c r="O57" s="2673">
        <f t="shared" si="111"/>
        <v>1.1355750425840628E-2</v>
      </c>
      <c r="P57" s="2673">
        <f t="shared" si="112"/>
        <v>2.0862358446754544E-2</v>
      </c>
      <c r="Q57" s="2673">
        <f t="shared" si="112"/>
        <v>1.0132282578103011E-2</v>
      </c>
      <c r="R57" s="2626"/>
      <c r="S57" s="2624"/>
      <c r="T57" s="2625"/>
      <c r="U57" s="2625"/>
      <c r="V57" s="2625"/>
      <c r="X57" s="2674"/>
      <c r="Y57" s="2674"/>
      <c r="Z57" s="2674"/>
    </row>
    <row r="58" spans="1:26">
      <c r="A58" s="2616" t="s">
        <v>2608</v>
      </c>
      <c r="B58" s="2629">
        <f t="shared" si="113"/>
        <v>146.57412060301507</v>
      </c>
      <c r="C58" s="2629">
        <f t="shared" si="113"/>
        <v>136.46831955922866</v>
      </c>
      <c r="D58" s="2629">
        <f t="shared" si="87"/>
        <v>136.46831955922866</v>
      </c>
      <c r="E58" s="2629">
        <f t="shared" si="114"/>
        <v>166.73864894795128</v>
      </c>
      <c r="F58" s="2629">
        <f t="shared" si="114"/>
        <v>115.05882352941177</v>
      </c>
      <c r="G58" s="3543">
        <v>2006</v>
      </c>
      <c r="H58" s="2620">
        <v>2</v>
      </c>
      <c r="I58" s="2620">
        <v>0.96</v>
      </c>
      <c r="J58" s="2620">
        <v>0.25</v>
      </c>
      <c r="K58" s="2620">
        <v>1.9</v>
      </c>
      <c r="L58" s="2631">
        <v>0.95</v>
      </c>
      <c r="N58" s="2672">
        <f t="shared" si="111"/>
        <v>1.8352632728861701E-2</v>
      </c>
      <c r="O58" s="2673">
        <f t="shared" si="111"/>
        <v>2.6286459319075526E-3</v>
      </c>
      <c r="P58" s="2673">
        <f t="shared" si="112"/>
        <v>5.4299289107991269E-2</v>
      </c>
      <c r="Q58" s="2673">
        <f t="shared" si="112"/>
        <v>8.9126559714794995E-3</v>
      </c>
      <c r="R58" s="2626"/>
      <c r="S58" s="2624"/>
      <c r="T58" s="2625"/>
      <c r="U58" s="2625"/>
      <c r="V58" s="2625"/>
      <c r="X58" s="2674"/>
      <c r="Y58" s="2674"/>
      <c r="Z58" s="2674"/>
    </row>
    <row r="59" spans="1:26">
      <c r="A59" s="2616" t="s">
        <v>2609</v>
      </c>
      <c r="B59" s="2629">
        <f t="shared" si="113"/>
        <v>144.04145728643215</v>
      </c>
      <c r="C59" s="2629">
        <f t="shared" si="113"/>
        <v>136.12396694214877</v>
      </c>
      <c r="D59" s="2629">
        <f t="shared" si="87"/>
        <v>136.12396694214877</v>
      </c>
      <c r="E59" s="2629">
        <f t="shared" si="114"/>
        <v>158.32225913621264</v>
      </c>
      <c r="F59" s="2629">
        <f t="shared" si="114"/>
        <v>114.04278074866311</v>
      </c>
      <c r="G59" s="3546">
        <v>2006</v>
      </c>
      <c r="H59" s="2619">
        <v>1</v>
      </c>
      <c r="I59" s="2619">
        <v>2.29</v>
      </c>
      <c r="J59" s="2619">
        <v>3.72</v>
      </c>
      <c r="K59" s="2619">
        <v>0.75</v>
      </c>
      <c r="L59" s="2630">
        <v>0.04</v>
      </c>
      <c r="N59" s="2675">
        <f t="shared" si="111"/>
        <v>4.3778675988638847E-2</v>
      </c>
      <c r="O59" s="2676">
        <f t="shared" si="111"/>
        <v>3.9114251466784385E-2</v>
      </c>
      <c r="P59" s="2676">
        <f t="shared" si="112"/>
        <v>2.1433929911049188E-2</v>
      </c>
      <c r="Q59" s="2676">
        <f t="shared" si="112"/>
        <v>3.7526972511492629E-4</v>
      </c>
      <c r="R59" s="2626"/>
      <c r="S59" s="2632">
        <f>B59/B60-1</f>
        <v>4.3778675988638716E-2</v>
      </c>
      <c r="T59" s="2633">
        <f>C59/C60-1</f>
        <v>3.91142514667846E-2</v>
      </c>
      <c r="U59" s="2633">
        <f>E59/E60-1</f>
        <v>2.143392991104931E-2</v>
      </c>
      <c r="V59" s="2633">
        <f>F59/F60-1</f>
        <v>3.7526972511492396E-4</v>
      </c>
      <c r="X59" s="2674"/>
      <c r="Y59" s="2674"/>
      <c r="Z59" s="2674"/>
    </row>
    <row r="60" spans="1:26" ht="13.5" thickBot="1">
      <c r="A60" s="2616" t="s">
        <v>2610</v>
      </c>
      <c r="B60" s="2643">
        <v>138</v>
      </c>
      <c r="C60" s="2643">
        <v>131</v>
      </c>
      <c r="D60" s="2643">
        <f t="shared" si="87"/>
        <v>131</v>
      </c>
      <c r="E60" s="2643">
        <v>155</v>
      </c>
      <c r="F60" s="2644">
        <v>114</v>
      </c>
      <c r="G60" s="3545">
        <v>2005</v>
      </c>
      <c r="H60" s="2635">
        <v>4</v>
      </c>
      <c r="I60" s="2635">
        <v>3.29</v>
      </c>
      <c r="J60" s="2635">
        <v>1.44</v>
      </c>
      <c r="K60" s="2635">
        <v>0.66</v>
      </c>
      <c r="L60" s="2636">
        <v>7.78</v>
      </c>
      <c r="N60" s="2672">
        <f t="shared" ref="N60:O63" si="115">I60/SUM(I$60:I$63)*(B$60/B$64-1)</f>
        <v>9.9404603216919935E-2</v>
      </c>
      <c r="O60" s="2673">
        <f t="shared" si="115"/>
        <v>4.7636550760861554E-2</v>
      </c>
      <c r="P60" s="2673">
        <f t="shared" ref="P60:Q63" si="116">K60/SUM(K$60:K$63)*(E$60/E$64-1)</f>
        <v>8.3756345177664976E-2</v>
      </c>
      <c r="Q60" s="2673">
        <f t="shared" si="116"/>
        <v>5.2148766661559584E-2</v>
      </c>
      <c r="R60" s="2626"/>
      <c r="S60" s="2627"/>
      <c r="T60" s="2628"/>
      <c r="U60" s="2628"/>
      <c r="V60" s="2628"/>
      <c r="X60" s="2674"/>
      <c r="Y60" s="2674"/>
      <c r="Z60" s="2674"/>
    </row>
    <row r="61" spans="1:26">
      <c r="A61" s="2616" t="s">
        <v>2611</v>
      </c>
      <c r="B61" s="2629">
        <f t="shared" ref="B61:C63" si="117">B62+(B$60-B$64)*I61/SUM(I$60:I$63)</f>
        <v>125.9720430107527</v>
      </c>
      <c r="C61" s="2629">
        <f t="shared" si="117"/>
        <v>125.1883408071749</v>
      </c>
      <c r="D61" s="2629">
        <f t="shared" si="87"/>
        <v>125.1883408071749</v>
      </c>
      <c r="E61" s="2629">
        <f t="shared" ref="E61:F63" si="118">E62+(E$60-E$64)*K61/SUM(K$60:K$63)</f>
        <v>144.61421319796952</v>
      </c>
      <c r="F61" s="2629">
        <f t="shared" si="118"/>
        <v>108.42008196721311</v>
      </c>
      <c r="G61" s="3543">
        <v>2005</v>
      </c>
      <c r="H61" s="2640">
        <v>3</v>
      </c>
      <c r="I61" s="2640">
        <v>0.46</v>
      </c>
      <c r="J61" s="2640">
        <v>0.32</v>
      </c>
      <c r="K61" s="2640">
        <v>0.42</v>
      </c>
      <c r="L61" s="2641">
        <v>0.64</v>
      </c>
      <c r="N61" s="2672">
        <f t="shared" si="115"/>
        <v>1.3898515951301874E-2</v>
      </c>
      <c r="O61" s="2673">
        <f t="shared" si="115"/>
        <v>1.0585900169080346E-2</v>
      </c>
      <c r="P61" s="2673">
        <f t="shared" si="116"/>
        <v>5.3299492385786795E-2</v>
      </c>
      <c r="Q61" s="2673">
        <f t="shared" si="116"/>
        <v>4.2898728359123568E-3</v>
      </c>
      <c r="R61" s="2626"/>
      <c r="S61" s="2624"/>
      <c r="T61" s="2625"/>
      <c r="U61" s="2625"/>
      <c r="V61" s="2625"/>
      <c r="X61" s="2674"/>
      <c r="Y61" s="2674"/>
      <c r="Z61" s="2674"/>
    </row>
    <row r="62" spans="1:26">
      <c r="A62" s="2616" t="s">
        <v>2612</v>
      </c>
      <c r="B62" s="2629">
        <f t="shared" si="117"/>
        <v>124.29032258064517</v>
      </c>
      <c r="C62" s="2629">
        <f t="shared" si="117"/>
        <v>123.8968609865471</v>
      </c>
      <c r="D62" s="2629">
        <f t="shared" si="87"/>
        <v>123.8968609865471</v>
      </c>
      <c r="E62" s="2629">
        <f t="shared" si="118"/>
        <v>138.00507614213197</v>
      </c>
      <c r="F62" s="2629">
        <f t="shared" si="118"/>
        <v>107.96106557377048</v>
      </c>
      <c r="G62" s="3543">
        <v>2005</v>
      </c>
      <c r="H62" s="2620">
        <v>2</v>
      </c>
      <c r="I62" s="2620">
        <v>0.47</v>
      </c>
      <c r="J62" s="2620">
        <v>0.1</v>
      </c>
      <c r="K62" s="2620">
        <v>0.52</v>
      </c>
      <c r="L62" s="2631">
        <v>0.79</v>
      </c>
      <c r="N62" s="2672">
        <f t="shared" si="115"/>
        <v>1.420065760241713E-2</v>
      </c>
      <c r="O62" s="2673">
        <f t="shared" si="115"/>
        <v>3.3080938028376083E-3</v>
      </c>
      <c r="P62" s="2673">
        <f t="shared" si="116"/>
        <v>6.598984771573603E-2</v>
      </c>
      <c r="Q62" s="2673">
        <f t="shared" si="116"/>
        <v>5.2953117818293153E-3</v>
      </c>
      <c r="R62" s="2626"/>
      <c r="S62" s="2624"/>
      <c r="T62" s="2625"/>
      <c r="U62" s="2625"/>
      <c r="V62" s="2625"/>
      <c r="X62" s="2674"/>
      <c r="Y62" s="2674"/>
      <c r="Z62" s="2674"/>
    </row>
    <row r="63" spans="1:26">
      <c r="A63" s="2616" t="s">
        <v>2613</v>
      </c>
      <c r="B63" s="2629">
        <f t="shared" si="117"/>
        <v>122.57204301075269</v>
      </c>
      <c r="C63" s="2629">
        <f t="shared" si="117"/>
        <v>123.4932735426009</v>
      </c>
      <c r="D63" s="2629">
        <f t="shared" si="87"/>
        <v>123.4932735426009</v>
      </c>
      <c r="E63" s="2629">
        <f t="shared" si="118"/>
        <v>129.82233502538071</v>
      </c>
      <c r="F63" s="2629">
        <f t="shared" si="118"/>
        <v>107.39446721311475</v>
      </c>
      <c r="G63" s="3546">
        <v>2005</v>
      </c>
      <c r="H63" s="2619">
        <v>1</v>
      </c>
      <c r="I63" s="2619">
        <v>0.43</v>
      </c>
      <c r="J63" s="2619">
        <v>0.37</v>
      </c>
      <c r="K63" s="2619">
        <v>0.37</v>
      </c>
      <c r="L63" s="2630">
        <v>0.55000000000000004</v>
      </c>
      <c r="N63" s="2675">
        <f t="shared" si="115"/>
        <v>1.2992090997956099E-2</v>
      </c>
      <c r="O63" s="2676">
        <f t="shared" si="115"/>
        <v>1.2239947070499151E-2</v>
      </c>
      <c r="P63" s="2676">
        <f t="shared" si="116"/>
        <v>4.6954314720812178E-2</v>
      </c>
      <c r="Q63" s="2676">
        <f t="shared" si="116"/>
        <v>3.6866094683621815E-3</v>
      </c>
      <c r="R63" s="2626"/>
      <c r="S63" s="2632">
        <f>B63/B64-1</f>
        <v>1.2992090997956174E-2</v>
      </c>
      <c r="T63" s="2633">
        <f>C63/C64-1</f>
        <v>1.2239947070499246E-2</v>
      </c>
      <c r="U63" s="2633">
        <f>E63/E64-1</f>
        <v>4.695431472081224E-2</v>
      </c>
      <c r="V63" s="2633">
        <f>F63/F64-1</f>
        <v>3.6866094683620787E-3</v>
      </c>
      <c r="X63" s="2674"/>
      <c r="Y63" s="2674"/>
      <c r="Z63" s="2674"/>
    </row>
    <row r="64" spans="1:26" ht="13.5" thickBot="1">
      <c r="A64" s="2616" t="s">
        <v>2614</v>
      </c>
      <c r="B64" s="2659">
        <v>121</v>
      </c>
      <c r="C64" s="2659">
        <v>122</v>
      </c>
      <c r="D64" s="2659">
        <f t="shared" si="87"/>
        <v>122</v>
      </c>
      <c r="E64" s="2659">
        <v>124</v>
      </c>
      <c r="F64" s="2660">
        <v>107</v>
      </c>
      <c r="G64" s="3545">
        <v>2004</v>
      </c>
      <c r="H64" s="2635">
        <v>4</v>
      </c>
      <c r="I64" s="2635">
        <v>0.33</v>
      </c>
      <c r="J64" s="2635">
        <v>0.5</v>
      </c>
      <c r="K64" s="2635">
        <v>0.5</v>
      </c>
      <c r="L64" s="2636">
        <v>0</v>
      </c>
      <c r="N64" s="2672">
        <f t="shared" ref="N64:O67" si="119">I64/SUM(I$64:I$67)*(B$64/B$68-1)</f>
        <v>1.3391770148526898E-2</v>
      </c>
      <c r="O64" s="2673">
        <f t="shared" si="119"/>
        <v>1.063264221158958E-2</v>
      </c>
      <c r="P64" s="2673">
        <f t="shared" ref="P64:Q67" si="120">K64/SUM(K$64:K$67)*(E$64/E$68-1)</f>
        <v>2.2244466688911134E-2</v>
      </c>
      <c r="Q64" s="2673">
        <f t="shared" si="120"/>
        <v>0</v>
      </c>
      <c r="R64" s="2626"/>
      <c r="S64" s="2627"/>
      <c r="T64" s="2628"/>
      <c r="U64" s="2628"/>
      <c r="V64" s="2628"/>
      <c r="X64" s="2674"/>
      <c r="Y64" s="2674"/>
      <c r="Z64" s="2674"/>
    </row>
    <row r="65" spans="1:26">
      <c r="A65" s="2616" t="s">
        <v>2615</v>
      </c>
      <c r="B65" s="2629">
        <f t="shared" ref="B65:C67" si="121">B66+(B$64-B$68)*I65/SUM(I$64:I$67)</f>
        <v>119.51351351351352</v>
      </c>
      <c r="C65" s="2629">
        <f t="shared" si="121"/>
        <v>120.7878787878788</v>
      </c>
      <c r="D65" s="2629">
        <f t="shared" si="87"/>
        <v>120.7878787878788</v>
      </c>
      <c r="E65" s="2629">
        <f t="shared" ref="E65:F67" si="122">E66+(E$64-E$68)*K65/SUM(K$64:K$67)</f>
        <v>121.5975975975976</v>
      </c>
      <c r="F65" s="2629">
        <f t="shared" si="122"/>
        <v>107</v>
      </c>
      <c r="G65" s="3543">
        <v>2004</v>
      </c>
      <c r="H65" s="2640">
        <v>3</v>
      </c>
      <c r="I65" s="2640">
        <v>0.56000000000000005</v>
      </c>
      <c r="J65" s="2640">
        <v>0.8</v>
      </c>
      <c r="K65" s="2640">
        <v>0.83</v>
      </c>
      <c r="L65" s="2641">
        <v>0.06</v>
      </c>
      <c r="N65" s="2672">
        <f t="shared" si="119"/>
        <v>2.2725428130833527E-2</v>
      </c>
      <c r="O65" s="2673">
        <f t="shared" si="119"/>
        <v>1.7012227538543329E-2</v>
      </c>
      <c r="P65" s="2673">
        <f t="shared" si="120"/>
        <v>3.6925814703592477E-2</v>
      </c>
      <c r="Q65" s="2673">
        <f t="shared" si="120"/>
        <v>2.8846153846153744E-2</v>
      </c>
      <c r="R65" s="2626"/>
      <c r="S65" s="2624"/>
      <c r="T65" s="2625"/>
      <c r="U65" s="2625"/>
      <c r="V65" s="2625"/>
      <c r="X65" s="2674"/>
      <c r="Y65" s="2674"/>
      <c r="Z65" s="2674"/>
    </row>
    <row r="66" spans="1:26">
      <c r="A66" s="2616" t="s">
        <v>2616</v>
      </c>
      <c r="B66" s="2629">
        <f t="shared" si="121"/>
        <v>116.99099099099099</v>
      </c>
      <c r="C66" s="2629">
        <f t="shared" si="121"/>
        <v>118.84848484848486</v>
      </c>
      <c r="D66" s="2629">
        <f t="shared" si="87"/>
        <v>118.84848484848486</v>
      </c>
      <c r="E66" s="2629">
        <f t="shared" si="122"/>
        <v>117.60960960960961</v>
      </c>
      <c r="F66" s="2629">
        <f t="shared" si="122"/>
        <v>104</v>
      </c>
      <c r="G66" s="3543">
        <v>2004</v>
      </c>
      <c r="H66" s="2620">
        <v>2</v>
      </c>
      <c r="I66" s="2620">
        <v>1</v>
      </c>
      <c r="J66" s="2620">
        <v>1.5</v>
      </c>
      <c r="K66" s="2620">
        <v>1.5</v>
      </c>
      <c r="L66" s="2631">
        <v>0</v>
      </c>
      <c r="N66" s="2672">
        <f t="shared" si="119"/>
        <v>4.0581121662202721E-2</v>
      </c>
      <c r="O66" s="2673">
        <f t="shared" si="119"/>
        <v>3.1897926634768738E-2</v>
      </c>
      <c r="P66" s="2673">
        <f t="shared" si="120"/>
        <v>6.6733400066733395E-2</v>
      </c>
      <c r="Q66" s="2673">
        <f t="shared" si="120"/>
        <v>0</v>
      </c>
      <c r="R66" s="2626"/>
      <c r="S66" s="2624"/>
      <c r="T66" s="2625"/>
      <c r="U66" s="2625"/>
      <c r="V66" s="2625"/>
      <c r="X66" s="2674"/>
      <c r="Y66" s="2674"/>
      <c r="Z66" s="2674"/>
    </row>
    <row r="67" spans="1:26" s="2665" customFormat="1" ht="13.5" thickBot="1">
      <c r="A67" s="2616" t="s">
        <v>2617</v>
      </c>
      <c r="B67" s="2662">
        <f t="shared" si="121"/>
        <v>112.48648648648648</v>
      </c>
      <c r="C67" s="2662">
        <f t="shared" si="121"/>
        <v>115.21212121212122</v>
      </c>
      <c r="D67" s="2662">
        <f t="shared" si="87"/>
        <v>115.21212121212122</v>
      </c>
      <c r="E67" s="2662">
        <f t="shared" si="122"/>
        <v>110.4024024024024</v>
      </c>
      <c r="F67" s="2662">
        <f t="shared" si="122"/>
        <v>104</v>
      </c>
      <c r="G67" s="3546">
        <v>2004</v>
      </c>
      <c r="H67" s="2663">
        <v>1</v>
      </c>
      <c r="I67" s="2663">
        <v>0.33</v>
      </c>
      <c r="J67" s="2663">
        <v>0.5</v>
      </c>
      <c r="K67" s="2663">
        <v>0.5</v>
      </c>
      <c r="L67" s="2664">
        <v>0</v>
      </c>
      <c r="N67" s="2677">
        <f t="shared" si="119"/>
        <v>1.3391770148526898E-2</v>
      </c>
      <c r="O67" s="2678">
        <f t="shared" si="119"/>
        <v>1.063264221158958E-2</v>
      </c>
      <c r="P67" s="2678">
        <f t="shared" si="120"/>
        <v>2.2244466688911134E-2</v>
      </c>
      <c r="Q67" s="2678">
        <f t="shared" si="120"/>
        <v>0</v>
      </c>
      <c r="R67" s="2668"/>
      <c r="S67" s="2666">
        <f>B67/B68-1</f>
        <v>1.3391770148526883E-2</v>
      </c>
      <c r="T67" s="2667">
        <f>C67/C68-1</f>
        <v>1.063264221158966E-2</v>
      </c>
      <c r="U67" s="2667">
        <f>E67/E68-1</f>
        <v>2.2244466688911224E-2</v>
      </c>
      <c r="V67" s="2667">
        <f>F67/F68-1</f>
        <v>0</v>
      </c>
      <c r="X67" s="2679"/>
      <c r="Y67" s="2679"/>
      <c r="Z67" s="2679"/>
    </row>
    <row r="68" spans="1:26" ht="13.5" thickBot="1">
      <c r="A68" s="2616" t="s">
        <v>2618</v>
      </c>
      <c r="B68" s="2680">
        <v>111</v>
      </c>
      <c r="C68" s="2680">
        <v>114</v>
      </c>
      <c r="D68" s="2680">
        <f t="shared" si="87"/>
        <v>114</v>
      </c>
      <c r="E68" s="2680">
        <v>108</v>
      </c>
      <c r="F68" s="2681">
        <v>104</v>
      </c>
      <c r="G68" s="3545">
        <v>2003</v>
      </c>
      <c r="H68" s="2670">
        <v>4</v>
      </c>
      <c r="I68" s="2682"/>
      <c r="J68" s="2682"/>
      <c r="K68" s="2682"/>
      <c r="L68" s="2682"/>
      <c r="N68" s="2683"/>
      <c r="O68" s="2682"/>
      <c r="P68" s="2682"/>
      <c r="Q68" s="2682"/>
      <c r="S68" s="2683"/>
      <c r="T68" s="2682"/>
      <c r="U68" s="2682"/>
      <c r="V68" s="2682"/>
      <c r="X68" s="2674"/>
      <c r="Y68" s="2674"/>
      <c r="Z68" s="2674"/>
    </row>
    <row r="69" spans="1:26">
      <c r="A69" s="2616" t="s">
        <v>2619</v>
      </c>
      <c r="B69" s="2684">
        <f t="shared" ref="B69:C71" si="123">B70+(B$68-B$72)/4</f>
        <v>109.75</v>
      </c>
      <c r="C69" s="2684">
        <f t="shared" si="123"/>
        <v>112.25</v>
      </c>
      <c r="D69" s="2684">
        <f t="shared" si="87"/>
        <v>112.25</v>
      </c>
      <c r="E69" s="2684">
        <f t="shared" ref="E69:F71" si="124">E70+(E$68-E$72)/4</f>
        <v>107.25</v>
      </c>
      <c r="F69" s="2684">
        <f t="shared" si="124"/>
        <v>103.5</v>
      </c>
      <c r="G69" s="3543">
        <v>2003</v>
      </c>
      <c r="H69" s="2640">
        <v>3</v>
      </c>
      <c r="I69" s="2682"/>
      <c r="J69" s="2682"/>
      <c r="K69" s="2682"/>
      <c r="L69" s="2682"/>
      <c r="X69" s="2674"/>
      <c r="Y69" s="2674"/>
      <c r="Z69" s="2674"/>
    </row>
    <row r="70" spans="1:26">
      <c r="A70" s="2616" t="s">
        <v>2620</v>
      </c>
      <c r="B70" s="2684">
        <f t="shared" si="123"/>
        <v>108.5</v>
      </c>
      <c r="C70" s="2684">
        <f t="shared" si="123"/>
        <v>110.5</v>
      </c>
      <c r="D70" s="2684">
        <f t="shared" si="87"/>
        <v>110.5</v>
      </c>
      <c r="E70" s="2684">
        <f t="shared" si="124"/>
        <v>106.5</v>
      </c>
      <c r="F70" s="2684">
        <f t="shared" si="124"/>
        <v>103</v>
      </c>
      <c r="G70" s="3543">
        <v>2003</v>
      </c>
      <c r="H70" s="2620">
        <v>2</v>
      </c>
      <c r="I70" s="2682"/>
      <c r="J70" s="2682"/>
      <c r="K70" s="2682"/>
      <c r="L70" s="2682"/>
      <c r="X70" s="2674"/>
      <c r="Y70" s="2674"/>
      <c r="Z70" s="2674"/>
    </row>
    <row r="71" spans="1:26" ht="13.5" thickBot="1">
      <c r="A71" s="2616" t="s">
        <v>2621</v>
      </c>
      <c r="B71" s="2684">
        <f t="shared" si="123"/>
        <v>107.25</v>
      </c>
      <c r="C71" s="2684">
        <f t="shared" si="123"/>
        <v>108.75</v>
      </c>
      <c r="D71" s="2684">
        <f t="shared" si="87"/>
        <v>108.75</v>
      </c>
      <c r="E71" s="2684">
        <f t="shared" si="124"/>
        <v>105.75</v>
      </c>
      <c r="F71" s="2684">
        <f t="shared" si="124"/>
        <v>102.5</v>
      </c>
      <c r="G71" s="3546">
        <v>2003</v>
      </c>
      <c r="H71" s="2685">
        <v>1</v>
      </c>
      <c r="I71" s="2682"/>
      <c r="J71" s="2682"/>
      <c r="K71" s="2682"/>
      <c r="L71" s="2682"/>
      <c r="S71" s="2624"/>
      <c r="T71" s="2625"/>
      <c r="U71" s="2625"/>
      <c r="X71" s="2674"/>
      <c r="Y71" s="2674"/>
      <c r="Z71" s="2674"/>
    </row>
    <row r="72" spans="1:26" ht="13.5" thickBot="1">
      <c r="A72" s="2616" t="s">
        <v>2622</v>
      </c>
      <c r="B72" s="2686">
        <v>106</v>
      </c>
      <c r="C72" s="2686">
        <v>107</v>
      </c>
      <c r="D72" s="2686">
        <f t="shared" si="87"/>
        <v>107</v>
      </c>
      <c r="E72" s="2686">
        <v>105</v>
      </c>
      <c r="F72" s="2687">
        <v>102</v>
      </c>
      <c r="G72" s="3545">
        <v>2002</v>
      </c>
      <c r="H72" s="2635">
        <v>4</v>
      </c>
      <c r="I72" s="2682"/>
      <c r="J72" s="2682"/>
      <c r="K72" s="2682"/>
      <c r="L72" s="2682"/>
      <c r="N72" s="2683"/>
      <c r="O72" s="2682"/>
      <c r="P72" s="2682"/>
      <c r="Q72" s="2682"/>
      <c r="S72" s="2683"/>
      <c r="T72" s="2682"/>
      <c r="U72" s="2682"/>
      <c r="V72" s="2682"/>
      <c r="X72" s="2674"/>
      <c r="Y72" s="2674"/>
      <c r="Z72" s="2674"/>
    </row>
    <row r="73" spans="1:26">
      <c r="A73" s="2616" t="s">
        <v>2623</v>
      </c>
      <c r="B73" s="2684">
        <f t="shared" ref="B73:C75" si="125">B74+(B$72-B$76)/4</f>
        <v>105</v>
      </c>
      <c r="C73" s="2684">
        <f t="shared" si="125"/>
        <v>106</v>
      </c>
      <c r="D73" s="2684">
        <f t="shared" si="87"/>
        <v>106</v>
      </c>
      <c r="E73" s="2684">
        <f t="shared" ref="E73:F75" si="126">E74+(E$72-E$76)/4</f>
        <v>104.5</v>
      </c>
      <c r="F73" s="2684">
        <f t="shared" si="126"/>
        <v>101.5</v>
      </c>
      <c r="G73" s="3543">
        <v>2002</v>
      </c>
      <c r="H73" s="2640">
        <v>3</v>
      </c>
      <c r="I73" s="2682"/>
      <c r="J73" s="2682"/>
      <c r="K73" s="2682"/>
      <c r="L73" s="2682"/>
      <c r="X73" s="2674"/>
      <c r="Y73" s="2674"/>
      <c r="Z73" s="2674"/>
    </row>
    <row r="74" spans="1:26">
      <c r="A74" s="2616" t="s">
        <v>2624</v>
      </c>
      <c r="B74" s="2684">
        <f t="shared" si="125"/>
        <v>104</v>
      </c>
      <c r="C74" s="2684">
        <f t="shared" si="125"/>
        <v>105</v>
      </c>
      <c r="D74" s="2684">
        <f t="shared" si="87"/>
        <v>105</v>
      </c>
      <c r="E74" s="2684">
        <f t="shared" si="126"/>
        <v>104</v>
      </c>
      <c r="F74" s="2684">
        <f t="shared" si="126"/>
        <v>101</v>
      </c>
      <c r="G74" s="3543">
        <v>2002</v>
      </c>
      <c r="H74" s="2620">
        <v>2</v>
      </c>
      <c r="I74" s="2682"/>
      <c r="J74" s="2682"/>
      <c r="K74" s="2682"/>
      <c r="L74" s="2682"/>
      <c r="X74" s="2674"/>
      <c r="Y74" s="2674"/>
      <c r="Z74" s="2674"/>
    </row>
    <row r="75" spans="1:26" s="2651" customFormat="1" ht="13.5" thickBot="1">
      <c r="A75" s="2647" t="s">
        <v>2625</v>
      </c>
      <c r="B75" s="2688">
        <f t="shared" si="125"/>
        <v>103</v>
      </c>
      <c r="C75" s="2688">
        <f t="shared" si="125"/>
        <v>104</v>
      </c>
      <c r="D75" s="2688">
        <f t="shared" si="87"/>
        <v>104</v>
      </c>
      <c r="E75" s="2688">
        <f t="shared" si="126"/>
        <v>103.5</v>
      </c>
      <c r="F75" s="2688">
        <f t="shared" si="126"/>
        <v>100.5</v>
      </c>
      <c r="G75" s="3546">
        <v>2002</v>
      </c>
      <c r="H75" s="2689">
        <v>1</v>
      </c>
      <c r="I75" s="2690"/>
      <c r="J75" s="2690"/>
      <c r="K75" s="2690"/>
      <c r="L75" s="2690"/>
      <c r="N75" s="2691"/>
      <c r="S75" s="2691"/>
      <c r="X75" s="2692"/>
      <c r="Y75" s="2692"/>
      <c r="Z75" s="2692"/>
    </row>
    <row r="76" spans="1:26" ht="13.5" thickBot="1">
      <c r="B76" s="2693">
        <v>102</v>
      </c>
      <c r="C76" s="2694">
        <v>103</v>
      </c>
      <c r="D76" s="2694">
        <f t="shared" si="87"/>
        <v>103</v>
      </c>
      <c r="E76" s="2694">
        <v>103</v>
      </c>
      <c r="F76" s="2695">
        <v>100</v>
      </c>
      <c r="I76" s="2682"/>
      <c r="J76" s="2682"/>
      <c r="K76" s="2682"/>
      <c r="L76" s="2682"/>
      <c r="N76" s="2683"/>
      <c r="O76" s="2682"/>
      <c r="P76" s="2682"/>
      <c r="Q76" s="2682"/>
      <c r="S76" s="2683"/>
      <c r="T76" s="2682"/>
      <c r="U76" s="2682"/>
      <c r="V76" s="2682"/>
      <c r="X76" s="2628"/>
      <c r="Y76" s="2628"/>
      <c r="Z76" s="2628"/>
    </row>
    <row r="78" spans="1:26" s="2697" customFormat="1">
      <c r="A78" s="2696" t="s">
        <v>2626</v>
      </c>
      <c r="G78" s="2698"/>
      <c r="N78" s="2698"/>
      <c r="S78" s="2698"/>
    </row>
    <row r="79" spans="1:26" s="2697" customFormat="1">
      <c r="A79" s="2697" t="s">
        <v>2627</v>
      </c>
      <c r="G79" s="2698"/>
      <c r="N79" s="2698"/>
      <c r="S79" s="2698"/>
    </row>
    <row r="80" spans="1:26" s="2697" customFormat="1">
      <c r="A80" s="2697" t="s">
        <v>2628</v>
      </c>
      <c r="G80" s="2698"/>
      <c r="I80" s="2699"/>
      <c r="J80" s="2699"/>
      <c r="K80" s="2699"/>
      <c r="L80" s="2699"/>
      <c r="N80" s="2700"/>
      <c r="O80" s="2699"/>
      <c r="P80" s="2699"/>
      <c r="Q80" s="2699"/>
      <c r="S80" s="2700"/>
      <c r="T80" s="2699"/>
      <c r="U80" s="2699"/>
      <c r="V80" s="2699"/>
    </row>
    <row r="81" spans="1:22" s="2697" customFormat="1">
      <c r="A81" s="2697" t="s">
        <v>2629</v>
      </c>
      <c r="G81" s="2698"/>
      <c r="N81" s="2698"/>
      <c r="S81" s="2698"/>
    </row>
    <row r="88" spans="1:22" ht="13.5" thickBot="1"/>
    <row r="89" spans="1:22">
      <c r="G89" s="2623"/>
      <c r="S89" s="2701" t="s">
        <v>2630</v>
      </c>
      <c r="T89" s="2702" t="s">
        <v>2631</v>
      </c>
      <c r="U89" s="2702" t="s">
        <v>2632</v>
      </c>
      <c r="V89" s="2702" t="s">
        <v>2633</v>
      </c>
    </row>
    <row r="90" spans="1:22">
      <c r="G90" s="2623"/>
      <c r="N90" s="2627"/>
      <c r="O90" s="2628"/>
      <c r="P90" s="2628"/>
      <c r="Q90" s="2628"/>
      <c r="S90" s="2703">
        <v>2006</v>
      </c>
      <c r="T90" s="2704">
        <v>15.1</v>
      </c>
      <c r="U90" s="2704">
        <v>7.43</v>
      </c>
      <c r="V90" s="2704">
        <v>26.26</v>
      </c>
    </row>
    <row r="91" spans="1:22">
      <c r="G91" s="2623"/>
      <c r="N91" s="2627"/>
      <c r="O91" s="2628"/>
      <c r="P91" s="2628"/>
      <c r="Q91" s="2628"/>
      <c r="S91" s="2706">
        <v>2005</v>
      </c>
      <c r="T91" s="2705">
        <v>13.9</v>
      </c>
      <c r="U91" s="2705">
        <v>7.49</v>
      </c>
      <c r="V91" s="2705">
        <v>24.92</v>
      </c>
    </row>
    <row r="92" spans="1:22">
      <c r="G92" s="2623"/>
      <c r="N92" s="2627"/>
      <c r="O92" s="2628"/>
      <c r="P92" s="2628"/>
      <c r="Q92" s="2628"/>
      <c r="S92" s="2703">
        <v>2004</v>
      </c>
      <c r="T92" s="2704">
        <v>9.48</v>
      </c>
      <c r="U92" s="2704">
        <v>7.2</v>
      </c>
      <c r="V92" s="2704">
        <v>14.68</v>
      </c>
    </row>
    <row r="93" spans="1:22">
      <c r="G93" s="2623"/>
      <c r="N93" s="2627"/>
      <c r="O93" s="2628"/>
      <c r="P93" s="2628"/>
      <c r="Q93" s="2628"/>
      <c r="S93" s="2706">
        <v>2003</v>
      </c>
      <c r="T93" s="2705">
        <v>4.5</v>
      </c>
      <c r="U93" s="2705">
        <v>6.12</v>
      </c>
      <c r="V93" s="2705">
        <v>2.34</v>
      </c>
    </row>
    <row r="94" spans="1:22" ht="13.5" thickBot="1">
      <c r="G94" s="2623"/>
      <c r="N94" s="2627"/>
      <c r="O94" s="2628"/>
      <c r="P94" s="2628"/>
      <c r="Q94" s="2628"/>
      <c r="S94" s="2707">
        <v>2002</v>
      </c>
      <c r="T94" s="2708">
        <v>3.59</v>
      </c>
      <c r="U94" s="2708">
        <v>4.54</v>
      </c>
      <c r="V94" s="2708">
        <v>2.5499999999999998</v>
      </c>
    </row>
    <row r="95" spans="1:22">
      <c r="G95" s="2623"/>
      <c r="N95" s="2627"/>
      <c r="O95" s="2628"/>
      <c r="P95" s="2628"/>
      <c r="Q95" s="2628"/>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柳州市瀚丰房地产开发有限公司：</v>
      </c>
    </row>
    <row r="4" spans="1:4" ht="37.5">
      <c r="A4" s="1773" t="str">
        <f>"受贵公司委托，我公司对"&amp;项目基本情况!K2&amp;项目基本情况!B9&amp;"进行了预评估。"</f>
        <v>受贵公司委托，我公司对广西省柳州市阳和工业新区出让国有建设用地使用权抵押价格进行了预评估。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西省柳州市阳和工业新区出让国有建设用地使用权。根据《国有土地使用证》[]，估价对象（分摊）出让国有建设用地使用权面积为20176.84平方米。根据《建设工程规划许可证》[]、《出让合同》[]，估价对象规划建筑面积为73123.75平方米。</v>
      </c>
    </row>
    <row r="7" spans="1:4" ht="56.25">
      <c r="A7" s="1777" t="s">
        <v>2742</v>
      </c>
    </row>
    <row r="8" spans="1:4" ht="18.75">
      <c r="A8" s="1776" t="s">
        <v>1906</v>
      </c>
    </row>
    <row r="9" spans="1:4" ht="56.25">
      <c r="A9" s="177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2024</v>
      </c>
    </row>
    <row r="11" spans="1:4" ht="18.75">
      <c r="A11" s="1762" t="str">
        <f>TEXT(项目基本情况!D3,"yyyy年m月d日;;")&amp;IF(项目基本情况!B3=项目基本情况!D3,"（评估专业人员勘察现场之日）","")</f>
        <v>2019年8月15日</v>
      </c>
    </row>
    <row r="12" spans="1:4" ht="18.75">
      <c r="A12" s="1779" t="s">
        <v>2023</v>
      </c>
    </row>
    <row r="13" spans="1:4" ht="18.75">
      <c r="A13" s="1773" t="s">
        <v>2934</v>
      </c>
    </row>
    <row r="14" spans="1:4" ht="37.5">
      <c r="A14" s="1773" t="str">
        <f>"根据"&amp;项目基本情况!F12&amp;"，本次评估估价对象证载（地类）用途为"&amp;项目基本情况!B12&amp;"。"</f>
        <v>根据《国有土地使用证》[]，本次评估估价对象证载（地类）用途为商住用地。</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63"/>
      <c r="D15" s="1764"/>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根据《国有土地使用证》[]，估价对象（分摊）出让国有建设用地使用权面积为20176.84平方米。根据《建设工程规划许可证》[]、《出让合同》[]，估价对象规划建筑面积为73123.75平方米。</v>
      </c>
    </row>
    <row r="21" spans="1:1" ht="18.75">
      <c r="A21" s="1773" t="s">
        <v>2072</v>
      </c>
    </row>
    <row r="22" spans="1:1" ht="56.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本次估价对象为出让国有建设用地使用权，《国有土地使用证》[]证载土地终止日期为住宅2089年9月15日、商业2059年9月15日地下车库2069年9月15日。截至估价期日，出让国有建设用地使用权剩余土地使用年限为。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2073</v>
      </c>
    </row>
    <row r="25" spans="1:1" ht="93.75">
      <c r="A25" s="1773" t="str">
        <f>定义!C53</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商住用地，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IF(项目基本情况!B9="市场价格","——",IF(项目基本情况!E9="——","",定义!C57))</f>
        <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2941</v>
      </c>
      <c r="B1" s="3051"/>
      <c r="C1" s="3051"/>
      <c r="D1" s="3051"/>
      <c r="E1" s="3051"/>
      <c r="F1" s="3051"/>
    </row>
    <row r="2" spans="1:6" ht="14.25">
      <c r="A2" s="3052" t="s">
        <v>2936</v>
      </c>
      <c r="B2" s="3053" t="e">
        <f ca="1">SUMIF(B7:B14,"&lt;&gt;#ref!",B7:B14)</f>
        <v>#DIV/0!</v>
      </c>
      <c r="C2" s="3052" t="s">
        <v>2937</v>
      </c>
      <c r="D2" s="3051"/>
      <c r="E2" s="3051"/>
      <c r="F2" s="3051"/>
    </row>
    <row r="3" spans="1:6" ht="14.25">
      <c r="A3" s="3052" t="s">
        <v>2969</v>
      </c>
      <c r="B3" s="3053" t="e">
        <f ca="1">ROUND(B2*10000/E3,0)</f>
        <v>#DIV/0!</v>
      </c>
      <c r="C3" s="3052" t="s">
        <v>2076</v>
      </c>
      <c r="D3" s="3052" t="s">
        <v>2938</v>
      </c>
      <c r="E3" s="3053">
        <f ca="1">SUMIF(E7:E14,"&lt;&gt;#ref!",E7:E14)</f>
        <v>0</v>
      </c>
      <c r="F3" s="3051"/>
    </row>
    <row r="4" spans="1:6" ht="14.25">
      <c r="A4" s="3052" t="s">
        <v>2945</v>
      </c>
      <c r="B4" s="3053" t="e">
        <f ca="1">ROUND(B2*10000/E4,0)</f>
        <v>#DIV/0!</v>
      </c>
      <c r="C4" s="3052" t="s">
        <v>2076</v>
      </c>
      <c r="D4" s="3052" t="s">
        <v>2946</v>
      </c>
      <c r="E4" s="3053">
        <f ca="1">SUMIF(F7:F14,"&lt;&gt;#ref!",F7:F14)</f>
        <v>0</v>
      </c>
      <c r="F4" s="3051"/>
    </row>
    <row r="5" spans="1:6" ht="14.25">
      <c r="A5" s="3054"/>
      <c r="B5" s="1863"/>
      <c r="C5" s="1863"/>
      <c r="D5" s="1863"/>
      <c r="E5" s="1863"/>
      <c r="F5" s="3051"/>
    </row>
    <row r="6" spans="1:6" ht="28.5">
      <c r="A6" s="3055" t="s">
        <v>2942</v>
      </c>
      <c r="B6" s="3052" t="s">
        <v>2939</v>
      </c>
      <c r="C6" s="3053"/>
      <c r="D6" s="1863"/>
      <c r="E6" s="3052" t="s">
        <v>2940</v>
      </c>
      <c r="F6" s="3052" t="s">
        <v>2944</v>
      </c>
    </row>
    <row r="7" spans="1:6" ht="14.25">
      <c r="A7" s="259" t="s">
        <v>2943</v>
      </c>
      <c r="B7" s="3056" t="e">
        <f ca="1">SUMIF(INDIRECT("'"&amp;A7&amp;"'"&amp;"!A:A"),"总价",INDIRECT("'"&amp;A7&amp;"'"&amp;"!B:B"))</f>
        <v>#DIV/0!</v>
      </c>
      <c r="C7" s="3052" t="s">
        <v>2937</v>
      </c>
      <c r="D7" s="1863"/>
      <c r="E7" s="3057">
        <f ca="1">SUMIF(INDIRECT("'"&amp;A7&amp;"'"&amp;"!C:C"),"建筑面积",INDIRECT("'"&amp;A7&amp;"'"&amp;"!D:D"))</f>
        <v>0</v>
      </c>
      <c r="F7" s="3057">
        <f ca="1">SUMIF(INDIRECT("'"&amp;A7&amp;"'"&amp;"!E:E"),"土地面积",INDIRECT("'"&amp;A7&amp;"'"&amp;"!F:F"))</f>
        <v>0</v>
      </c>
    </row>
    <row r="8" spans="1:6" ht="14.25">
      <c r="A8" s="259"/>
      <c r="B8" s="3056" t="e">
        <f t="shared" ref="B8:B14" ca="1" si="0">SUMIF(INDIRECT("'"&amp;A8&amp;"'"&amp;"!A:A"),"总价",INDIRECT("'"&amp;A8&amp;"'"&amp;"!B:B"))</f>
        <v>#REF!</v>
      </c>
      <c r="C8" s="3052" t="s">
        <v>2937</v>
      </c>
      <c r="D8" s="1863"/>
      <c r="E8" s="3057" t="e">
        <f t="shared" ref="E8:E14" ca="1" si="1">SUMIF(INDIRECT("'"&amp;A8&amp;"'"&amp;"!C:C"),"建筑面积",INDIRECT("'"&amp;A8&amp;"'"&amp;"!D:D"))</f>
        <v>#REF!</v>
      </c>
      <c r="F8" s="3057" t="e">
        <f t="shared" ref="F8:F14" ca="1" si="2">SUMIF(INDIRECT("'"&amp;A8&amp;"'"&amp;"!E:E"),"土地面积",INDIRECT("'"&amp;A8&amp;"'"&amp;"!F:F"))</f>
        <v>#REF!</v>
      </c>
    </row>
    <row r="9" spans="1:6" ht="14.25">
      <c r="A9" s="259"/>
      <c r="B9" s="3056" t="e">
        <f t="shared" ca="1" si="0"/>
        <v>#REF!</v>
      </c>
      <c r="C9" s="3052" t="s">
        <v>2937</v>
      </c>
      <c r="D9" s="1863"/>
      <c r="E9" s="3057" t="e">
        <f t="shared" ca="1" si="1"/>
        <v>#REF!</v>
      </c>
      <c r="F9" s="3057" t="e">
        <f t="shared" ca="1" si="2"/>
        <v>#REF!</v>
      </c>
    </row>
    <row r="10" spans="1:6" ht="14.25">
      <c r="A10" s="259"/>
      <c r="B10" s="3056" t="e">
        <f t="shared" ca="1" si="0"/>
        <v>#REF!</v>
      </c>
      <c r="C10" s="3052" t="s">
        <v>2937</v>
      </c>
      <c r="D10" s="1863"/>
      <c r="E10" s="3057" t="e">
        <f t="shared" ca="1" si="1"/>
        <v>#REF!</v>
      </c>
      <c r="F10" s="3057" t="e">
        <f t="shared" ca="1" si="2"/>
        <v>#REF!</v>
      </c>
    </row>
    <row r="11" spans="1:6" ht="14.25">
      <c r="A11" s="259"/>
      <c r="B11" s="3056" t="e">
        <f t="shared" ca="1" si="0"/>
        <v>#REF!</v>
      </c>
      <c r="C11" s="3052" t="s">
        <v>2937</v>
      </c>
      <c r="D11" s="1863"/>
      <c r="E11" s="3057" t="e">
        <f t="shared" ca="1" si="1"/>
        <v>#REF!</v>
      </c>
      <c r="F11" s="3057" t="e">
        <f t="shared" ca="1" si="2"/>
        <v>#REF!</v>
      </c>
    </row>
    <row r="12" spans="1:6" ht="14.25">
      <c r="A12" s="259"/>
      <c r="B12" s="3056" t="e">
        <f t="shared" ca="1" si="0"/>
        <v>#REF!</v>
      </c>
      <c r="C12" s="3052" t="s">
        <v>2937</v>
      </c>
      <c r="D12" s="1863"/>
      <c r="E12" s="3057" t="e">
        <f t="shared" ca="1" si="1"/>
        <v>#REF!</v>
      </c>
      <c r="F12" s="3057" t="e">
        <f t="shared" ca="1" si="2"/>
        <v>#REF!</v>
      </c>
    </row>
    <row r="13" spans="1:6" ht="14.25">
      <c r="A13" s="259"/>
      <c r="B13" s="3056" t="e">
        <f t="shared" ca="1" si="0"/>
        <v>#REF!</v>
      </c>
      <c r="C13" s="3052" t="s">
        <v>2937</v>
      </c>
      <c r="D13" s="1863"/>
      <c r="E13" s="3057" t="e">
        <f t="shared" ca="1" si="1"/>
        <v>#REF!</v>
      </c>
      <c r="F13" s="3057" t="e">
        <f t="shared" ca="1" si="2"/>
        <v>#REF!</v>
      </c>
    </row>
    <row r="14" spans="1:6" ht="14.25">
      <c r="A14" s="3050"/>
      <c r="B14" s="3056" t="e">
        <f t="shared" ca="1" si="0"/>
        <v>#REF!</v>
      </c>
      <c r="C14" s="3052" t="s">
        <v>2937</v>
      </c>
      <c r="D14" s="1863"/>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 sqref="A4"/>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1" t="s">
        <v>628</v>
      </c>
      <c r="B1" s="737"/>
      <c r="C1" s="772"/>
      <c r="D1" s="2032"/>
      <c r="E1" s="2348" t="s">
        <v>2370</v>
      </c>
      <c r="F1" s="2349">
        <f ca="1">J54</f>
        <v>-2</v>
      </c>
      <c r="G1" s="773">
        <f>MATCH(C1,'数据-取费表'!A6:A16,0)+5</f>
        <v>9</v>
      </c>
      <c r="H1" s="1344"/>
      <c r="I1" s="2033"/>
      <c r="J1" s="2033"/>
      <c r="K1" s="2034"/>
      <c r="L1" s="2033"/>
      <c r="M1" s="2033"/>
      <c r="N1" s="2035"/>
      <c r="O1" s="2035"/>
      <c r="P1" s="2035"/>
      <c r="Q1" s="2035"/>
      <c r="R1" s="2035"/>
      <c r="S1" s="2035"/>
      <c r="T1" s="2035"/>
      <c r="U1" s="2035"/>
      <c r="V1" s="2035"/>
      <c r="W1" s="2035"/>
      <c r="X1" s="2035"/>
      <c r="Y1" s="2035"/>
    </row>
    <row r="2" spans="1:25" ht="18" customHeight="1">
      <c r="A2" s="1626" t="s">
        <v>629</v>
      </c>
      <c r="B2" s="774">
        <f ca="1">IF(ISERROR(C45+J31),0,C45+J31)</f>
        <v>0</v>
      </c>
      <c r="C2" s="1345"/>
      <c r="D2" s="2037"/>
      <c r="E2" s="2038"/>
      <c r="F2" s="2038"/>
      <c r="G2" s="1573"/>
      <c r="H2" s="1357"/>
      <c r="I2" s="2039"/>
      <c r="J2" s="2039"/>
      <c r="K2" s="2040"/>
      <c r="L2" s="2039"/>
      <c r="M2" s="2039"/>
    </row>
    <row r="3" spans="1:25" ht="18" customHeight="1">
      <c r="A3" s="1627" t="s">
        <v>1686</v>
      </c>
      <c r="B3" s="1384">
        <f ca="1">ROUND(B2*10000/'数据-汇总表'!E3,0)</f>
        <v>0</v>
      </c>
      <c r="C3" s="1345"/>
      <c r="D3" s="2037"/>
      <c r="E3" s="2038"/>
      <c r="F3" s="2038"/>
      <c r="G3" s="1573"/>
      <c r="H3" s="775" t="s">
        <v>695</v>
      </c>
      <c r="I3" s="2039"/>
      <c r="J3" s="2039"/>
      <c r="K3" s="2040"/>
      <c r="L3" s="2039"/>
      <c r="M3" s="2039"/>
    </row>
    <row r="4" spans="1:25" ht="18" customHeight="1">
      <c r="A4" s="1628" t="s">
        <v>696</v>
      </c>
      <c r="B4" s="1346">
        <f ca="1">ROUND(B2*10000/'数据-汇总表'!D3,0)</f>
        <v>0</v>
      </c>
      <c r="C4" s="427"/>
      <c r="D4" s="2037"/>
      <c r="E4" s="2038"/>
      <c r="F4" s="2038"/>
      <c r="G4" s="1573"/>
      <c r="H4" s="775"/>
      <c r="I4" s="2039"/>
      <c r="J4" s="2039"/>
      <c r="K4" s="2040"/>
      <c r="L4" s="2039"/>
      <c r="M4" s="2039"/>
    </row>
    <row r="5" spans="1:25" ht="18" customHeight="1" thickBot="1">
      <c r="A5" s="1629"/>
      <c r="B5" s="429">
        <f ca="1">ROUND(B2/('数据-汇总表'!D3/666.67),0)</f>
        <v>0</v>
      </c>
      <c r="C5" s="430" t="s">
        <v>697</v>
      </c>
      <c r="D5" s="2037"/>
      <c r="E5" s="2038"/>
      <c r="F5" s="2038"/>
      <c r="G5" s="1573"/>
      <c r="H5" s="775"/>
      <c r="I5" s="2039"/>
      <c r="J5" s="2039"/>
      <c r="K5" s="2040"/>
      <c r="L5" s="2039"/>
      <c r="M5" s="2039"/>
    </row>
    <row r="6" spans="1:25" ht="18" customHeight="1">
      <c r="A6" s="1810" t="s">
        <v>698</v>
      </c>
      <c r="B6" s="1802" t="s">
        <v>699</v>
      </c>
      <c r="C6" s="1802" t="s">
        <v>632</v>
      </c>
      <c r="D6" s="1802" t="s">
        <v>633</v>
      </c>
      <c r="E6" s="778" t="s">
        <v>634</v>
      </c>
      <c r="F6" s="779"/>
      <c r="G6" s="1575"/>
      <c r="H6" s="1810" t="s">
        <v>630</v>
      </c>
      <c r="I6" s="1802" t="s">
        <v>631</v>
      </c>
      <c r="J6" s="1802" t="s">
        <v>632</v>
      </c>
      <c r="K6" s="1802" t="s">
        <v>633</v>
      </c>
      <c r="L6" s="778" t="s">
        <v>634</v>
      </c>
      <c r="M6" s="779"/>
    </row>
    <row r="7" spans="1:25" ht="18" customHeight="1">
      <c r="A7" s="780">
        <v>1</v>
      </c>
      <c r="B7" s="781" t="s">
        <v>2453</v>
      </c>
      <c r="C7" s="53">
        <f ca="1">C8+C12+C14</f>
        <v>0</v>
      </c>
      <c r="D7" s="2457" t="s">
        <v>2456</v>
      </c>
      <c r="E7" s="2451"/>
      <c r="F7" s="2452"/>
      <c r="G7" s="1575"/>
      <c r="H7" s="780">
        <v>1</v>
      </c>
      <c r="I7" s="781" t="s">
        <v>2453</v>
      </c>
      <c r="J7" s="53">
        <f ca="1">J8+J12+J14</f>
        <v>0</v>
      </c>
      <c r="K7" s="2457" t="s">
        <v>2456</v>
      </c>
      <c r="L7" s="2451"/>
      <c r="M7" s="2452"/>
    </row>
    <row r="8" spans="1:25" ht="18" customHeight="1">
      <c r="A8" s="1812" t="s">
        <v>1824</v>
      </c>
      <c r="B8" s="3554" t="s">
        <v>2458</v>
      </c>
      <c r="C8" s="1807">
        <f ca="1">ROUND(F8*F10*F9*(1-F11)/10000,0)</f>
        <v>0</v>
      </c>
      <c r="D8" s="1804" t="s">
        <v>2529</v>
      </c>
      <c r="E8" s="61" t="s">
        <v>637</v>
      </c>
      <c r="F8" s="784">
        <f ca="1">INDIRECT("'数据-取费表'!u"&amp;$G$1)</f>
        <v>0</v>
      </c>
      <c r="G8" s="1575"/>
      <c r="H8" s="2465" t="s">
        <v>1824</v>
      </c>
      <c r="I8" s="3554" t="s">
        <v>2458</v>
      </c>
      <c r="J8" s="782">
        <f ca="1">ROUND(M8*M10*M9*(1-M11)/10000,0)</f>
        <v>0</v>
      </c>
      <c r="K8" s="340" t="s">
        <v>2529</v>
      </c>
      <c r="L8" s="783" t="s">
        <v>1738</v>
      </c>
      <c r="M8" s="784">
        <f ca="1">INDIRECT("'数据-取费表'!z"&amp;$G$1)</f>
        <v>0</v>
      </c>
    </row>
    <row r="9" spans="1:25" ht="18" customHeight="1">
      <c r="A9" s="2461"/>
      <c r="B9" s="3555"/>
      <c r="C9" s="1808"/>
      <c r="D9" s="1805"/>
      <c r="E9" s="61" t="s">
        <v>638</v>
      </c>
      <c r="F9" s="784">
        <f ca="1">IF(INDIRECT("'数据-取费表'!ah"&amp;$G$1)="",INDIRECT("'数据-取费表'!k"&amp;$G$1),INDIRECT("'数据-取费表'!ah"&amp;$G$1))</f>
        <v>0</v>
      </c>
      <c r="G9" s="1575"/>
      <c r="H9" s="2450"/>
      <c r="I9" s="3555"/>
      <c r="J9" s="787"/>
      <c r="K9" s="788"/>
      <c r="L9" s="783" t="s">
        <v>1739</v>
      </c>
      <c r="M9" s="784">
        <f ca="1">F9</f>
        <v>0</v>
      </c>
    </row>
    <row r="10" spans="1:25" ht="18" customHeight="1">
      <c r="A10" s="2454"/>
      <c r="B10" s="3556"/>
      <c r="C10" s="1808"/>
      <c r="D10" s="1805"/>
      <c r="E10" s="61" t="s">
        <v>639</v>
      </c>
      <c r="F10" s="784">
        <f ca="1">INDIRECT("'数据-取费表'!ai"&amp;$G$1)</f>
        <v>0</v>
      </c>
      <c r="G10" s="1575"/>
      <c r="H10" s="2450"/>
      <c r="I10" s="3556"/>
      <c r="J10" s="787"/>
      <c r="K10" s="788"/>
      <c r="L10" s="783" t="s">
        <v>1740</v>
      </c>
      <c r="M10" s="784">
        <f ca="1">INDIRECT("'数据-取费表'!ai"&amp;$G$1)</f>
        <v>0</v>
      </c>
    </row>
    <row r="11" spans="1:25" ht="18" customHeight="1">
      <c r="A11" s="785"/>
      <c r="B11" s="3557"/>
      <c r="C11" s="1808"/>
      <c r="D11" s="1805"/>
      <c r="E11" s="61" t="s">
        <v>640</v>
      </c>
      <c r="F11" s="793">
        <f ca="1">INDIRECT("'数据-取费表'!w"&amp;$G$1)</f>
        <v>0</v>
      </c>
      <c r="G11" s="1575"/>
      <c r="H11" s="2466"/>
      <c r="I11" s="3556"/>
      <c r="J11" s="787"/>
      <c r="K11" s="788"/>
      <c r="L11" s="794" t="s">
        <v>1741</v>
      </c>
      <c r="M11" s="795">
        <f ca="1">INDIRECT("'数据-取费表'!ab"&amp;$G$1)</f>
        <v>0</v>
      </c>
    </row>
    <row r="12" spans="1:25" ht="18" customHeight="1">
      <c r="A12" s="1812" t="s">
        <v>1825</v>
      </c>
      <c r="B12" s="2455" t="s">
        <v>2454</v>
      </c>
      <c r="C12" s="798">
        <f ca="1">ROUND(IF(F12="押一",C8/12*F13,IF(F12="押二",C8/12*2*F13,IF(F12="押三",C8/12*3*F13,C13*F13))),0)</f>
        <v>0</v>
      </c>
      <c r="D12" s="2462" t="s">
        <v>2966</v>
      </c>
      <c r="E12" s="2459" t="s">
        <v>2459</v>
      </c>
      <c r="F12" s="2582"/>
      <c r="G12" s="1575"/>
      <c r="H12" s="2522" t="s">
        <v>1825</v>
      </c>
      <c r="I12" s="2527" t="s">
        <v>2454</v>
      </c>
      <c r="J12" s="782">
        <f ca="1">ROUND(IF(M12="押一",J8/12*M13,IF(M12="押二",J8/12*2*M13,IF(M12="押三",J8/12*3*M13,J13*M13))),0)</f>
        <v>0</v>
      </c>
      <c r="K12" s="2462" t="s">
        <v>2966</v>
      </c>
      <c r="L12" s="2459" t="s">
        <v>2459</v>
      </c>
      <c r="M12" s="2582"/>
    </row>
    <row r="13" spans="1:25" ht="18" customHeight="1">
      <c r="A13" s="789"/>
      <c r="B13" s="2456" t="s">
        <v>2568</v>
      </c>
      <c r="C13" s="2460"/>
      <c r="D13" s="788"/>
      <c r="E13" s="2459" t="s">
        <v>2451</v>
      </c>
      <c r="F13" s="795">
        <f ca="1">'数据-取费表'!B39</f>
        <v>1.4999999999999999E-2</v>
      </c>
      <c r="G13" s="1575"/>
      <c r="H13" s="2523"/>
      <c r="I13" s="2456" t="s">
        <v>2568</v>
      </c>
      <c r="J13" s="2460"/>
      <c r="K13" s="2524"/>
      <c r="L13" s="2459" t="s">
        <v>2451</v>
      </c>
      <c r="M13" s="2453">
        <f ca="1">'数据-取费表'!B39</f>
        <v>1.4999999999999999E-2</v>
      </c>
    </row>
    <row r="14" spans="1:25" ht="18" customHeight="1" thickBot="1">
      <c r="A14" s="2498" t="s">
        <v>2462</v>
      </c>
      <c r="B14" s="2499" t="s">
        <v>2455</v>
      </c>
      <c r="C14" s="2500"/>
      <c r="D14" s="2501"/>
      <c r="E14" s="2502"/>
      <c r="F14" s="2503"/>
      <c r="G14" s="1575"/>
      <c r="H14" s="2512" t="s">
        <v>2462</v>
      </c>
      <c r="I14" s="2525" t="s">
        <v>2455</v>
      </c>
      <c r="J14" s="2526"/>
      <c r="K14" s="2501"/>
      <c r="L14" s="2502"/>
      <c r="M14" s="2515"/>
    </row>
    <row r="15" spans="1:25" ht="18" customHeight="1" thickTop="1">
      <c r="A15" s="1811" t="s">
        <v>1874</v>
      </c>
      <c r="B15" s="1809" t="s">
        <v>641</v>
      </c>
      <c r="C15" s="791">
        <f ca="1">ROUND(C31*F15,0)</f>
        <v>0</v>
      </c>
      <c r="D15" s="1816" t="s">
        <v>642</v>
      </c>
      <c r="E15" s="794" t="s">
        <v>643</v>
      </c>
      <c r="F15" s="799">
        <f ca="1">INDIRECT("'数据-取费表'!y"&amp;$G$1)</f>
        <v>0</v>
      </c>
      <c r="G15" s="1575"/>
      <c r="H15" s="1811" t="s">
        <v>1826</v>
      </c>
      <c r="I15" s="1809" t="s">
        <v>644</v>
      </c>
      <c r="J15" s="1801">
        <f ca="1">ROUND(J16*J17,0)</f>
        <v>0</v>
      </c>
      <c r="K15" s="1803" t="s">
        <v>642</v>
      </c>
      <c r="L15" s="800"/>
      <c r="M15" s="801"/>
    </row>
    <row r="16" spans="1:25" ht="18" customHeight="1">
      <c r="A16" s="802" t="s">
        <v>1875</v>
      </c>
      <c r="B16" s="783" t="s">
        <v>645</v>
      </c>
      <c r="C16" s="803">
        <f ca="1">INDIRECT("'数据-取费表'!m"&amp;$G$1)+INDIRECT("'数据-取费表'!t"&amp;$G$1)</f>
        <v>0</v>
      </c>
      <c r="D16" s="1961" t="s">
        <v>646</v>
      </c>
      <c r="E16" s="1962"/>
      <c r="F16" s="804"/>
      <c r="G16" s="1575"/>
      <c r="H16" s="802" t="s">
        <v>2067</v>
      </c>
      <c r="I16" s="2213" t="s">
        <v>2820</v>
      </c>
      <c r="J16" s="53">
        <f ca="1">C31</f>
        <v>0</v>
      </c>
      <c r="K16" s="26"/>
      <c r="L16" s="800"/>
      <c r="M16" s="801"/>
    </row>
    <row r="17" spans="1:25" s="2046" customFormat="1" ht="18" customHeight="1">
      <c r="A17" s="802" t="s">
        <v>1849</v>
      </c>
      <c r="B17" s="783" t="s">
        <v>647</v>
      </c>
      <c r="C17" s="53">
        <f ca="1">ROUND(C16*F17,0)</f>
        <v>0</v>
      </c>
      <c r="D17" s="805" t="s">
        <v>648</v>
      </c>
      <c r="E17" s="805" t="s">
        <v>649</v>
      </c>
      <c r="F17" s="806">
        <f>'数据-取费表'!B33</f>
        <v>0.05</v>
      </c>
      <c r="G17" s="1576"/>
      <c r="H17" s="802" t="s">
        <v>2068</v>
      </c>
      <c r="I17" s="783" t="s">
        <v>643</v>
      </c>
      <c r="J17" s="807">
        <f ca="1">INDIRECT("'数据-取费表'!ad"&amp;$G$1)</f>
        <v>0</v>
      </c>
      <c r="K17" s="26"/>
      <c r="L17" s="800"/>
      <c r="M17" s="801"/>
      <c r="N17" s="2045"/>
      <c r="O17" s="2045"/>
      <c r="P17" s="2045"/>
      <c r="Q17" s="2045"/>
      <c r="R17" s="2045"/>
      <c r="S17" s="2045"/>
      <c r="T17" s="2045"/>
      <c r="U17" s="2045"/>
      <c r="V17" s="2045"/>
      <c r="W17" s="2045"/>
      <c r="X17" s="2045"/>
      <c r="Y17" s="2045"/>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5"/>
      <c r="H18" s="796" t="s">
        <v>1827</v>
      </c>
      <c r="I18" s="797" t="s">
        <v>651</v>
      </c>
      <c r="J18" s="798">
        <f ca="1">ROUND(J19+J24+J25+J26,0)</f>
        <v>0</v>
      </c>
      <c r="K18" s="26" t="s">
        <v>652</v>
      </c>
      <c r="L18" s="1964"/>
      <c r="M18" s="56"/>
    </row>
    <row r="19" spans="1:25" s="2046" customFormat="1" ht="18" customHeight="1">
      <c r="A19" s="802" t="s">
        <v>1851</v>
      </c>
      <c r="B19" s="783" t="s">
        <v>653</v>
      </c>
      <c r="C19" s="53">
        <f ca="1">ROUND(F19*(INDIRECT("'数据-取费表'!k"&amp;$G$1)+INDIRECT("'数据-取费表'!S"&amp;$G$1))/10000,0)</f>
        <v>0</v>
      </c>
      <c r="D19" s="783" t="s">
        <v>654</v>
      </c>
      <c r="E19" s="783" t="s">
        <v>655</v>
      </c>
      <c r="F19" s="56">
        <f>'数据-取费表'!B35</f>
        <v>150</v>
      </c>
      <c r="G19" s="1576"/>
      <c r="H19" s="802" t="s">
        <v>2067</v>
      </c>
      <c r="I19" s="783" t="s">
        <v>656</v>
      </c>
      <c r="J19" s="53">
        <f ca="1">ROUND(IF(项目基本情况!B11="自然人",J8*M19/(1+'数据-取费表'!C42),J20+J21+J22),0)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1852</v>
      </c>
      <c r="B20" s="783" t="s">
        <v>659</v>
      </c>
      <c r="C20" s="53">
        <f ca="1">ROUND(C16*F20,0)</f>
        <v>0</v>
      </c>
      <c r="D20" s="783" t="s">
        <v>648</v>
      </c>
      <c r="E20" s="783" t="s">
        <v>649</v>
      </c>
      <c r="F20" s="808">
        <f>'数据-取费表'!B36</f>
        <v>1.4999999999999999E-2</v>
      </c>
      <c r="G20" s="1576"/>
      <c r="H20" s="802" t="s">
        <v>1831</v>
      </c>
      <c r="I20" s="783" t="s">
        <v>660</v>
      </c>
      <c r="J20" s="53">
        <f ca="1">ROUND(J8*M20/(1+'数据-取费表'!C42),1)</f>
        <v>0</v>
      </c>
      <c r="K20" s="1959" t="s">
        <v>661</v>
      </c>
      <c r="L20" s="783" t="s">
        <v>649</v>
      </c>
      <c r="M20" s="808">
        <f>'数据-取费表'!B41</f>
        <v>5.5000000000000007E-2</v>
      </c>
      <c r="N20" s="2045"/>
      <c r="O20" s="2045"/>
      <c r="P20" s="2045"/>
      <c r="Q20" s="2045"/>
      <c r="R20" s="2045"/>
      <c r="S20" s="2045"/>
      <c r="T20" s="2045"/>
      <c r="U20" s="2045"/>
      <c r="V20" s="2045"/>
      <c r="W20" s="2045"/>
      <c r="X20" s="2045"/>
      <c r="Y20" s="2045"/>
    </row>
    <row r="21" spans="1:25" ht="18" customHeight="1">
      <c r="A21" s="802" t="s">
        <v>1876</v>
      </c>
      <c r="B21" s="783" t="s">
        <v>662</v>
      </c>
      <c r="C21" s="53">
        <f ca="1">SUM(C16:C20)</f>
        <v>0</v>
      </c>
      <c r="D21" s="260" t="s">
        <v>663</v>
      </c>
      <c r="E21" s="1964"/>
      <c r="F21" s="56"/>
      <c r="G21" s="1575"/>
      <c r="H21" s="1812"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6" customFormat="1" ht="18" customHeight="1">
      <c r="A22" s="802" t="s">
        <v>1877</v>
      </c>
      <c r="B22" s="783" t="s">
        <v>666</v>
      </c>
      <c r="C22" s="53">
        <f ca="1">ROUND(C21*F22,0)</f>
        <v>0</v>
      </c>
      <c r="D22" s="811" t="s">
        <v>667</v>
      </c>
      <c r="E22" s="783" t="s">
        <v>649</v>
      </c>
      <c r="F22" s="808">
        <f>'数据-取费表'!B37</f>
        <v>0.03</v>
      </c>
      <c r="G22" s="1576"/>
      <c r="H22" s="1814" t="s">
        <v>1850</v>
      </c>
      <c r="I22" s="1804" t="s">
        <v>668</v>
      </c>
      <c r="J22" s="54">
        <f ca="1">ROUND(M22*M23/10000,0)</f>
        <v>0</v>
      </c>
      <c r="K22" s="813" t="s">
        <v>669</v>
      </c>
      <c r="L22" s="783" t="s">
        <v>670</v>
      </c>
      <c r="M22" s="639">
        <f>'数据-取费表'!B52</f>
        <v>3</v>
      </c>
      <c r="N22" s="2045"/>
      <c r="O22" s="2045"/>
      <c r="P22" s="2045"/>
      <c r="Q22" s="2045"/>
      <c r="R22" s="2045"/>
      <c r="S22" s="2045"/>
      <c r="T22" s="2045"/>
      <c r="U22" s="2045"/>
      <c r="V22" s="2045"/>
      <c r="W22" s="2045"/>
      <c r="X22" s="2045"/>
      <c r="Y22" s="2045"/>
    </row>
    <row r="23" spans="1:25" s="2046" customFormat="1" ht="18" customHeight="1">
      <c r="A23" s="802" t="s">
        <v>1878</v>
      </c>
      <c r="B23" s="783" t="s">
        <v>671</v>
      </c>
      <c r="C23" s="53" t="s">
        <v>1</v>
      </c>
      <c r="D23" s="811" t="s">
        <v>672</v>
      </c>
      <c r="E23" s="783" t="s">
        <v>673</v>
      </c>
      <c r="F23" s="808">
        <f>'数据-取费表'!B38</f>
        <v>0.03</v>
      </c>
      <c r="G23" s="1576"/>
      <c r="H23" s="1815"/>
      <c r="I23" s="1806"/>
      <c r="J23" s="69"/>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1879</v>
      </c>
      <c r="B24" s="783" t="s">
        <v>675</v>
      </c>
      <c r="C24" s="53"/>
      <c r="D24" s="2533" t="str">
        <f>IF(F25&lt;=1,"单利计息。","复利计息。")&amp;"建造成本、管理费用、销售费用产生的利息。"</f>
        <v>复利计息。建造成本、管理费用、销售费用产生的利息。</v>
      </c>
      <c r="E24" s="1964"/>
      <c r="F24" s="56"/>
      <c r="G24" s="1575"/>
      <c r="H24" s="1813" t="s">
        <v>2068</v>
      </c>
      <c r="I24" s="783" t="s">
        <v>676</v>
      </c>
      <c r="J24" s="53">
        <f ca="1">ROUND(J16*M24,0)</f>
        <v>0</v>
      </c>
      <c r="K24" s="1959" t="s">
        <v>677</v>
      </c>
      <c r="L24" s="783" t="s">
        <v>649</v>
      </c>
      <c r="M24" s="816">
        <f ca="1">INDIRECT("'数据-取费表'!Ak"&amp;$G$1)</f>
        <v>0</v>
      </c>
    </row>
    <row r="25" spans="1:25" s="2046" customFormat="1" ht="18" customHeight="1">
      <c r="A25" s="802" t="s">
        <v>1875</v>
      </c>
      <c r="B25" s="783" t="s">
        <v>2432</v>
      </c>
      <c r="C25" s="53">
        <f ca="1">ROUND(IF('数据-取费表'!B22&lt;=1,(C21+C22)*F26*F25/2,(C21+C22)*(POWER((1+F26),F25/2)-1)),0)</f>
        <v>0</v>
      </c>
      <c r="D25" s="2532" t="str">
        <f>IF(F25&lt;=1,"(建造成本+管理费用)×利率×(建设周期÷2)","(建造成本+管理费用)×((1+利率)^(建设周期÷2)-1)")</f>
        <v>(建造成本+管理费用)×((1+利率)^(建设周期÷2)-1)</v>
      </c>
      <c r="E25" s="783" t="s">
        <v>678</v>
      </c>
      <c r="F25" s="639">
        <f>'数据-取费表'!B20</f>
        <v>2</v>
      </c>
      <c r="G25" s="1576"/>
      <c r="H25" s="802" t="s">
        <v>1878</v>
      </c>
      <c r="I25" s="783" t="s">
        <v>679</v>
      </c>
      <c r="J25" s="53">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1849</v>
      </c>
      <c r="B26" s="783" t="s">
        <v>681</v>
      </c>
      <c r="C26" s="53">
        <f ca="1">ROUND(IF('数据-取费表'!B22&lt;=1,F23*F26*F25/2,F23*(POWER((1+F26),F25/2)-1)),4)</f>
        <v>1.4E-3</v>
      </c>
      <c r="D26" s="2532" t="str">
        <f>IF(F25&lt;=1,"销售费用×利率×(建设周期÷2)","销售费用×((1+利率)^(建设周期÷2)-1)")</f>
        <v>销售费用×((1+利率)^(建设周期÷2)-1)</v>
      </c>
      <c r="E26" s="783" t="s">
        <v>682</v>
      </c>
      <c r="F26" s="818">
        <f ca="1">'数据-取费表'!B40</f>
        <v>4.7500000000000001E-2</v>
      </c>
      <c r="G26" s="1576"/>
      <c r="H26" s="802" t="s">
        <v>1879</v>
      </c>
      <c r="I26" s="783" t="s">
        <v>666</v>
      </c>
      <c r="J26" s="53">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1881</v>
      </c>
      <c r="B27" s="783" t="s">
        <v>684</v>
      </c>
      <c r="C27" s="53"/>
      <c r="D27" s="260" t="s">
        <v>685</v>
      </c>
      <c r="E27" s="1964"/>
      <c r="F27" s="56"/>
      <c r="G27" s="1575"/>
      <c r="H27" s="796" t="s">
        <v>1828</v>
      </c>
      <c r="I27" s="2959" t="s">
        <v>2817</v>
      </c>
      <c r="J27" s="798">
        <f ca="1">J7-J18</f>
        <v>0</v>
      </c>
      <c r="K27" s="1961" t="s">
        <v>700</v>
      </c>
      <c r="L27" s="1963"/>
      <c r="M27" s="819"/>
    </row>
    <row r="28" spans="1:25" ht="18" customHeight="1">
      <c r="A28" s="802" t="s">
        <v>1875</v>
      </c>
      <c r="B28" s="783" t="s">
        <v>2433</v>
      </c>
      <c r="C28" s="53">
        <f ca="1">ROUND((C21+C22)*F28,0)</f>
        <v>0</v>
      </c>
      <c r="D28" s="811" t="s">
        <v>701</v>
      </c>
      <c r="E28" s="794" t="s">
        <v>702</v>
      </c>
      <c r="F28" s="793">
        <f ca="1">INDIRECT("'数据-取费表'!q"&amp;$G$1)</f>
        <v>0</v>
      </c>
      <c r="G28" s="1575"/>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5"/>
      <c r="H29" s="785"/>
      <c r="I29" s="786"/>
      <c r="J29" s="787"/>
      <c r="K29" s="820" t="s">
        <v>707</v>
      </c>
      <c r="L29" s="783" t="s">
        <v>708</v>
      </c>
      <c r="M29" s="821">
        <f ca="1">INDIRECT("'数据-取费表'!ag"&amp;$G$1)</f>
        <v>0</v>
      </c>
    </row>
    <row r="30" spans="1:25" s="2046" customFormat="1" ht="18" customHeight="1">
      <c r="A30" s="802" t="s">
        <v>1882</v>
      </c>
      <c r="B30" s="783" t="s">
        <v>687</v>
      </c>
      <c r="C30" s="53">
        <f>ROUND(F30/(1+'数据-取费表'!C42),4)</f>
        <v>5.2400000000000002E-2</v>
      </c>
      <c r="D30" s="811" t="s">
        <v>709</v>
      </c>
      <c r="E30" s="783" t="s">
        <v>649</v>
      </c>
      <c r="F30" s="808">
        <f>'数据-取费表'!B41</f>
        <v>5.5000000000000007E-2</v>
      </c>
      <c r="G30" s="1576"/>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2818</v>
      </c>
      <c r="C31" s="2505">
        <f ca="1">ROUND((C21+C22+C25+C28)/(1-F23-C26-C29-C30),0)</f>
        <v>0</v>
      </c>
      <c r="D31" s="2506"/>
      <c r="E31" s="2507"/>
      <c r="F31" s="2508"/>
      <c r="G31" s="1576"/>
      <c r="H31" s="822" t="s">
        <v>1872</v>
      </c>
      <c r="I31" s="2960" t="s">
        <v>2819</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1">
        <f ca="1">ROUND(C33+C38+C39+C40,0)</f>
        <v>0</v>
      </c>
      <c r="D32" s="1803" t="s">
        <v>652</v>
      </c>
      <c r="E32" s="2448"/>
      <c r="F32" s="2452"/>
      <c r="G32" s="2044"/>
      <c r="H32" s="2047"/>
      <c r="I32" s="2048"/>
      <c r="J32" s="2049"/>
      <c r="K32" s="2050"/>
      <c r="L32" s="2051"/>
      <c r="M32" s="2052"/>
    </row>
    <row r="33" spans="1:18" ht="18" customHeight="1">
      <c r="A33" s="802" t="s">
        <v>1876</v>
      </c>
      <c r="B33" s="783" t="s">
        <v>656</v>
      </c>
      <c r="C33" s="53">
        <f ca="1">ROUND(IF(项目基本情况!B11="自然人",C8*F33/(1+'数据-取费表'!C42),C34+C35+C36),1)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1875</v>
      </c>
      <c r="B34" s="783" t="s">
        <v>660</v>
      </c>
      <c r="C34" s="53">
        <f ca="1">ROUND(C8*F34/(1+'数据-取费表'!C42),1)</f>
        <v>0</v>
      </c>
      <c r="D34" s="1959" t="s">
        <v>661</v>
      </c>
      <c r="E34" s="783" t="s">
        <v>649</v>
      </c>
      <c r="F34" s="808">
        <f>'数据-取费表'!B41</f>
        <v>5.5000000000000007E-2</v>
      </c>
      <c r="G34" s="2044"/>
      <c r="H34" s="2053"/>
      <c r="I34" s="2054"/>
      <c r="J34" s="2055"/>
      <c r="K34" s="2056"/>
      <c r="L34" s="2057"/>
      <c r="M34" s="2058"/>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4"/>
      <c r="H35" s="2059"/>
      <c r="I35" s="2059"/>
      <c r="J35" s="2059"/>
      <c r="K35" s="2060"/>
      <c r="L35" s="2059"/>
      <c r="M35" s="2059"/>
    </row>
    <row r="36" spans="1:18" ht="18" customHeight="1">
      <c r="A36" s="812" t="s">
        <v>1880</v>
      </c>
      <c r="B36" s="340" t="s">
        <v>668</v>
      </c>
      <c r="C36" s="54">
        <f ca="1">ROUND(F36*F37/10000,1)</f>
        <v>0</v>
      </c>
      <c r="D36" s="813" t="s">
        <v>669</v>
      </c>
      <c r="E36" s="783" t="s">
        <v>670</v>
      </c>
      <c r="F36" s="639">
        <f>'数据-取费表'!B52</f>
        <v>3</v>
      </c>
      <c r="G36" s="2044"/>
      <c r="H36" s="2047"/>
      <c r="I36" s="3553"/>
      <c r="J36" s="2061"/>
      <c r="K36" s="2062"/>
      <c r="L36" s="2061"/>
      <c r="M36" s="2061"/>
    </row>
    <row r="37" spans="1:18" ht="18" customHeight="1">
      <c r="A37" s="814"/>
      <c r="B37" s="792"/>
      <c r="C37" s="69"/>
      <c r="D37" s="815"/>
      <c r="E37" s="783" t="s">
        <v>674</v>
      </c>
      <c r="F37" s="784">
        <f ca="1">INDIRECT("'数据-取费表'!r"&amp;$G$1)</f>
        <v>0</v>
      </c>
      <c r="G37" s="2044"/>
      <c r="H37" s="2047"/>
      <c r="I37" s="3553"/>
      <c r="J37" s="2059"/>
      <c r="K37" s="2060"/>
      <c r="L37" s="2059"/>
      <c r="M37" s="2059"/>
    </row>
    <row r="38" spans="1:18" ht="18" customHeight="1">
      <c r="A38" s="802" t="s">
        <v>1877</v>
      </c>
      <c r="B38" s="783" t="s">
        <v>676</v>
      </c>
      <c r="C38" s="53">
        <f ca="1">ROUND(C31*F38,1)</f>
        <v>0</v>
      </c>
      <c r="D38" s="1959" t="s">
        <v>691</v>
      </c>
      <c r="E38" s="783" t="s">
        <v>649</v>
      </c>
      <c r="F38" s="816">
        <f ca="1">INDIRECT("'数据-取费表'!Ak"&amp;$G$1)</f>
        <v>0</v>
      </c>
      <c r="G38" s="2044"/>
      <c r="H38" s="2059"/>
      <c r="I38" s="2063"/>
      <c r="J38" s="1970"/>
      <c r="K38" s="2064"/>
      <c r="L38" s="2059"/>
      <c r="M38" s="2059"/>
    </row>
    <row r="39" spans="1:18" ht="18" customHeight="1">
      <c r="A39" s="802" t="s">
        <v>1878</v>
      </c>
      <c r="B39" s="783" t="s">
        <v>679</v>
      </c>
      <c r="C39" s="53">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7"/>
      <c r="D41" s="1348"/>
      <c r="E41" s="1348"/>
      <c r="F41" s="1349"/>
      <c r="G41" s="2044"/>
      <c r="H41" s="2044"/>
      <c r="I41" s="2044"/>
      <c r="J41" s="2044"/>
      <c r="K41" s="2065"/>
      <c r="L41" s="2044"/>
      <c r="M41" s="2044"/>
    </row>
    <row r="42" spans="1:18" ht="18" customHeight="1">
      <c r="A42" s="802" t="s">
        <v>1876</v>
      </c>
      <c r="B42" s="834" t="s">
        <v>693</v>
      </c>
      <c r="C42" s="828">
        <f ca="1">C7-C32</f>
        <v>0</v>
      </c>
      <c r="D42" s="1961" t="s">
        <v>694</v>
      </c>
      <c r="E42" s="1963"/>
      <c r="F42" s="819"/>
      <c r="G42" s="2044"/>
      <c r="H42" s="2044"/>
      <c r="I42" s="2044"/>
      <c r="J42" s="2044"/>
      <c r="K42" s="2065"/>
      <c r="L42" s="2044"/>
      <c r="M42" s="2044"/>
    </row>
    <row r="43" spans="1:18" ht="18" customHeight="1">
      <c r="A43" s="802" t="s">
        <v>1877</v>
      </c>
      <c r="B43" s="834" t="s">
        <v>711</v>
      </c>
      <c r="C43" s="835">
        <f ca="1">ROUND(C15*F43,0)</f>
        <v>0</v>
      </c>
      <c r="D43" s="1350" t="s">
        <v>712</v>
      </c>
      <c r="E43" s="3068" t="s">
        <v>2954</v>
      </c>
      <c r="F43" s="3069">
        <f ca="1">INDIRECT("'数据-取费表'!j"&amp;$G$1)</f>
        <v>0</v>
      </c>
      <c r="G43" s="2044"/>
      <c r="H43" s="2044"/>
      <c r="I43" s="2044"/>
      <c r="J43" s="2044"/>
      <c r="K43" s="2065"/>
      <c r="L43" s="2044"/>
      <c r="M43" s="2044"/>
    </row>
    <row r="44" spans="1:18" ht="18" customHeight="1">
      <c r="A44" s="802" t="s">
        <v>1878</v>
      </c>
      <c r="B44" s="834" t="s">
        <v>713</v>
      </c>
      <c r="C44" s="1351">
        <f ca="1">C42-C43</f>
        <v>0</v>
      </c>
      <c r="D44" s="462" t="s">
        <v>714</v>
      </c>
      <c r="E44" s="463"/>
      <c r="F44" s="464"/>
      <c r="G44" s="2044"/>
      <c r="H44" s="2044"/>
      <c r="I44" s="2044"/>
      <c r="J44" s="2044"/>
      <c r="K44" s="2065"/>
      <c r="L44" s="2044"/>
      <c r="M44" s="2044"/>
    </row>
    <row r="45" spans="1:18" ht="18" customHeight="1">
      <c r="A45" s="802" t="s">
        <v>1879</v>
      </c>
      <c r="B45" s="1350" t="s">
        <v>715</v>
      </c>
      <c r="C45" s="2985">
        <f ca="1">ROUND(-PV(F45,F46,C44,0),0)</f>
        <v>0</v>
      </c>
      <c r="D45" s="1352" t="s">
        <v>716</v>
      </c>
      <c r="E45" s="805" t="s">
        <v>717</v>
      </c>
      <c r="F45" s="829">
        <f ca="1">INDIRECT("'数据-取费表'!h"&amp;$G$1)</f>
        <v>0</v>
      </c>
      <c r="G45" s="2044"/>
      <c r="H45" s="2044"/>
      <c r="I45" s="2044"/>
      <c r="J45" s="2044"/>
      <c r="K45" s="2065"/>
      <c r="L45" s="2044"/>
      <c r="M45" s="2044"/>
    </row>
    <row r="46" spans="1:18" ht="18" customHeight="1" thickBot="1">
      <c r="A46" s="830"/>
      <c r="B46" s="1353"/>
      <c r="C46" s="1354"/>
      <c r="D46" s="1355"/>
      <c r="E46" s="3070" t="s">
        <v>2957</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2339</v>
      </c>
      <c r="J47" s="2340"/>
      <c r="K47" s="2341"/>
      <c r="L47" s="3102" t="str">
        <f ca="1">IF(M48="住宅",0,IF(L49&gt;J52,L61,J61))</f>
        <v>0</v>
      </c>
      <c r="O47" s="2355" t="s">
        <v>2406</v>
      </c>
      <c r="P47" s="1575"/>
      <c r="Q47" s="1586"/>
      <c r="R47" s="1575"/>
    </row>
    <row r="48" spans="1:18" s="2041" customFormat="1" ht="18" customHeight="1" thickBot="1">
      <c r="A48" s="2066"/>
      <c r="C48" s="2069"/>
      <c r="D48" s="2070"/>
      <c r="E48" s="2070"/>
      <c r="F48" s="2071"/>
      <c r="G48" s="2072"/>
      <c r="I48" s="3093" t="s">
        <v>2340</v>
      </c>
      <c r="J48" s="2342"/>
      <c r="K48" s="3099" t="s">
        <v>2345</v>
      </c>
      <c r="L48" s="3103">
        <f ca="1">INDIRECT("'数据-取费表'!d"&amp;$G$1)</f>
        <v>0</v>
      </c>
      <c r="M48" s="3067" t="str">
        <f>IF(ISNUMBER(FIND("住宅",C1)),"住宅","非住宅")</f>
        <v>非住宅</v>
      </c>
      <c r="O48" s="2356" t="s">
        <v>2371</v>
      </c>
      <c r="P48" s="2357" t="s">
        <v>2372</v>
      </c>
      <c r="Q48" s="2358" t="s">
        <v>2373</v>
      </c>
      <c r="R48" s="2357" t="s">
        <v>2374</v>
      </c>
    </row>
    <row r="49" spans="1:18" s="2041" customFormat="1" ht="18" customHeight="1" thickBot="1">
      <c r="A49" s="2066"/>
      <c r="D49" s="2073"/>
      <c r="E49" s="2074"/>
      <c r="F49" s="2071"/>
      <c r="G49" s="2072"/>
      <c r="H49" s="2075"/>
      <c r="I49" s="3072" t="s">
        <v>2341</v>
      </c>
      <c r="J49" s="2343"/>
      <c r="K49" s="3100" t="s">
        <v>2347</v>
      </c>
      <c r="L49" s="1890">
        <f ca="1">INDIRECT("'数据-取费表'!f"&amp;$G$1)</f>
        <v>0</v>
      </c>
      <c r="O49" s="2359" t="s">
        <v>2375</v>
      </c>
      <c r="P49" s="2360" t="s">
        <v>2401</v>
      </c>
      <c r="Q49" s="2361">
        <f ca="1">C41+J31</f>
        <v>0</v>
      </c>
      <c r="R49" s="2360" t="s">
        <v>2376</v>
      </c>
    </row>
    <row r="50" spans="1:18" s="2041" customFormat="1" ht="18" customHeight="1" thickBot="1">
      <c r="A50" s="2066"/>
      <c r="D50" s="2076"/>
      <c r="E50" s="2076"/>
      <c r="F50" s="2070"/>
      <c r="G50" s="2077"/>
      <c r="H50" s="2075"/>
      <c r="I50" s="3072" t="s">
        <v>2342</v>
      </c>
      <c r="J50" s="2344"/>
      <c r="K50" s="3101" t="s">
        <v>2348</v>
      </c>
      <c r="L50" s="2345"/>
      <c r="O50" s="2359" t="s">
        <v>2377</v>
      </c>
      <c r="P50" s="2360" t="s">
        <v>2402</v>
      </c>
      <c r="Q50" s="2361" t="str">
        <f ca="1">J61</f>
        <v>0</v>
      </c>
      <c r="R50" s="2360" t="s">
        <v>2378</v>
      </c>
    </row>
    <row r="51" spans="1:18" s="2041" customFormat="1" ht="18" customHeight="1" thickBot="1">
      <c r="A51" s="2078"/>
      <c r="D51" s="2076"/>
      <c r="E51" s="2076"/>
      <c r="F51" s="2067"/>
      <c r="H51" s="2075"/>
      <c r="I51" s="3072" t="s">
        <v>2343</v>
      </c>
      <c r="J51" s="3097">
        <f>SUMPRODUCT((I64:I66=J48)*(J63:L63=J49)*(J64:L66))</f>
        <v>0</v>
      </c>
      <c r="K51" s="3101" t="s">
        <v>2349</v>
      </c>
      <c r="L51" s="2345"/>
      <c r="O51" s="2362" t="s">
        <v>2379</v>
      </c>
      <c r="P51" s="2360" t="s">
        <v>2403</v>
      </c>
      <c r="Q51" s="2361">
        <f ca="1">C31</f>
        <v>0</v>
      </c>
      <c r="R51" s="2360" t="s">
        <v>2376</v>
      </c>
    </row>
    <row r="52" spans="1:18" s="2041" customFormat="1" ht="18" customHeight="1" thickBot="1">
      <c r="A52" s="2078"/>
      <c r="F52" s="2067"/>
      <c r="I52" s="3094" t="s">
        <v>2344</v>
      </c>
      <c r="J52" s="3098">
        <f>IF(J50="",J51,J50+J51-YEAR('数据-取费表'!B3))</f>
        <v>0</v>
      </c>
      <c r="K52" s="3072" t="s">
        <v>2350</v>
      </c>
      <c r="L52" s="3104">
        <f ca="1">ROUND(-PV(INDIRECT("'数据-取费表'!h"&amp;$G$1),L49,(C40-C14*J36),0),0)</f>
        <v>0</v>
      </c>
      <c r="O52" s="2362" t="s">
        <v>2380</v>
      </c>
      <c r="P52" s="2360" t="s">
        <v>2381</v>
      </c>
      <c r="Q52" s="2363" t="e">
        <f ca="1">J59</f>
        <v>#VALUE!</v>
      </c>
      <c r="R52" s="2364"/>
    </row>
    <row r="53" spans="1:18" s="2041" customFormat="1" ht="18" customHeight="1" thickBot="1">
      <c r="A53" s="2078"/>
      <c r="F53" s="2067"/>
      <c r="I53" s="3095" t="s">
        <v>2417</v>
      </c>
      <c r="J53" s="2346"/>
      <c r="K53" s="3095" t="s">
        <v>2416</v>
      </c>
      <c r="L53" s="2346"/>
      <c r="O53" s="2362" t="s">
        <v>2382</v>
      </c>
      <c r="P53" s="2360" t="s">
        <v>2383</v>
      </c>
      <c r="Q53" s="2363">
        <f>J53</f>
        <v>0</v>
      </c>
      <c r="R53" s="2364"/>
    </row>
    <row r="54" spans="1:18" s="2041" customFormat="1" ht="29.25" thickBot="1">
      <c r="A54" s="2078"/>
      <c r="I54" s="3096" t="s">
        <v>2970</v>
      </c>
      <c r="J54" s="3175">
        <f ca="1">IF(M48="住宅",MAX(J52,L49-'数据-取费表'!B20),MIN(J52,L49-'数据-取费表'!B20))</f>
        <v>-2</v>
      </c>
      <c r="K54" s="3558"/>
      <c r="L54" s="3559"/>
      <c r="O54" s="2362" t="s">
        <v>2384</v>
      </c>
      <c r="P54" s="2360" t="s">
        <v>2385</v>
      </c>
      <c r="Q54" s="2361">
        <f ca="1">J54</f>
        <v>-2</v>
      </c>
      <c r="R54" s="2360" t="s">
        <v>2386</v>
      </c>
    </row>
    <row r="55" spans="1:18" s="2041" customFormat="1" ht="18" customHeight="1" thickBot="1">
      <c r="A55" s="2078"/>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59" t="s">
        <v>2387</v>
      </c>
      <c r="P55" s="2360" t="s">
        <v>2404</v>
      </c>
      <c r="Q55" s="2361">
        <f ca="1">Q49+Q50</f>
        <v>0</v>
      </c>
      <c r="R55" s="2364" t="s">
        <v>2388</v>
      </c>
    </row>
    <row r="56" spans="1:18" s="2041" customFormat="1" ht="16.5" thickBot="1">
      <c r="A56" s="2078"/>
      <c r="B56" s="2079"/>
      <c r="C56" s="2079"/>
      <c r="I56" s="3107" t="s">
        <v>2351</v>
      </c>
      <c r="J56" s="3047" t="e">
        <f ca="1">ROUND(IF(J48="钢混",J58/J51,1-(1-2%)*(J51-J58)/J51),3)</f>
        <v>#VALUE!</v>
      </c>
      <c r="K56" s="3108" t="s">
        <v>2352</v>
      </c>
      <c r="L56" s="2347"/>
      <c r="O56" s="2365" t="s">
        <v>2407</v>
      </c>
      <c r="P56" s="1575"/>
      <c r="Q56" s="1586"/>
      <c r="R56" s="1575"/>
    </row>
    <row r="57" spans="1:18" s="2041" customFormat="1" ht="43.5" thickBot="1">
      <c r="A57" s="2078"/>
      <c r="B57" s="2079"/>
      <c r="C57" s="2079"/>
      <c r="I57" s="3109" t="s">
        <v>2353</v>
      </c>
      <c r="J57" s="3119" t="s">
        <v>1678</v>
      </c>
      <c r="K57" s="3072" t="s">
        <v>2358</v>
      </c>
      <c r="L57" s="1890">
        <f ca="1">IF(L49&lt;J52,"——",L49-J52)</f>
        <v>0</v>
      </c>
      <c r="O57" s="2356" t="s">
        <v>2371</v>
      </c>
      <c r="P57" s="2357" t="s">
        <v>2372</v>
      </c>
      <c r="Q57" s="2358" t="s">
        <v>2373</v>
      </c>
      <c r="R57" s="2357" t="s">
        <v>2374</v>
      </c>
    </row>
    <row r="58" spans="1:18" s="2041" customFormat="1" ht="29.25" thickBot="1">
      <c r="A58" s="2078"/>
      <c r="B58" s="2079"/>
      <c r="C58" s="2079"/>
      <c r="I58" s="3110" t="s">
        <v>2354</v>
      </c>
      <c r="J58" s="3111" t="str">
        <f ca="1">IF(OR(M48="住宅",J52&lt;L49,J57="是"),"——",J52-L49)</f>
        <v>——</v>
      </c>
      <c r="K58" s="3072" t="s">
        <v>2359</v>
      </c>
      <c r="L58" s="1890">
        <f ca="1">IF(L49&lt;J52,"——",IF(L56="比较法",L50,IF(L56="基准地价",L51,L52)))</f>
        <v>0</v>
      </c>
      <c r="O58" s="2359" t="s">
        <v>2375</v>
      </c>
      <c r="P58" s="2360" t="s">
        <v>2401</v>
      </c>
      <c r="Q58" s="2361">
        <f ca="1">C41+J31</f>
        <v>0</v>
      </c>
      <c r="R58" s="2360" t="s">
        <v>2376</v>
      </c>
    </row>
    <row r="59" spans="1:18" s="2041" customFormat="1" ht="29.25" thickBot="1">
      <c r="A59" s="2078"/>
      <c r="B59" s="2079"/>
      <c r="C59" s="2079"/>
      <c r="I59" s="3110" t="s">
        <v>2355</v>
      </c>
      <c r="J59" s="3048" t="e">
        <f ca="1">IF(J56&lt;0.4,0.4,J56)</f>
        <v>#VALUE!</v>
      </c>
      <c r="K59" s="3072" t="s">
        <v>2360</v>
      </c>
      <c r="L59" s="1890">
        <f ca="1">IF(ISERROR(POWER(1+L53,L48-L49)*(POWER(1+L53,L49)-1)/(POWER(1+L53,L48)-1)),0,POWER(1+L53,L48-L49)*(POWER(1+L53,L49)-1)/(POWER(1+L53,L48)-1))</f>
        <v>0</v>
      </c>
      <c r="O59" s="2359" t="s">
        <v>2377</v>
      </c>
      <c r="P59" s="2360" t="s">
        <v>2408</v>
      </c>
      <c r="Q59" s="2361" t="e">
        <f ca="1">L61</f>
        <v>#DIV/0!</v>
      </c>
      <c r="R59" s="2364" t="s">
        <v>2410</v>
      </c>
    </row>
    <row r="60" spans="1:18" s="2041" customFormat="1" ht="29.25" thickBot="1">
      <c r="A60" s="2078"/>
      <c r="B60" s="2079"/>
      <c r="C60" s="2079"/>
      <c r="I60" s="3110" t="s">
        <v>2356</v>
      </c>
      <c r="J60" s="3111" t="str">
        <f ca="1">IF(OR(M48="住宅",J52&lt;L49,J57="是"),"——",ROUND(C30*J59,0))</f>
        <v>——</v>
      </c>
      <c r="K60" s="3072" t="s">
        <v>2361</v>
      </c>
      <c r="L60" s="1890">
        <f ca="1">IF(ISERROR(POWER(1+L53,L48-J52)*(POWER(1+L53,J52)-1)/(POWER(1+L53,L48)-1)),0,POWER(1+L53,L48-J52)*(POWER(1+L53,J52)-1)/(POWER(1+L53,L48)-1))</f>
        <v>0</v>
      </c>
      <c r="O60" s="2362" t="s">
        <v>2379</v>
      </c>
      <c r="P60" s="2360" t="s">
        <v>2409</v>
      </c>
      <c r="Q60" s="2361">
        <f>IF(L56="比较法",L50,IF(L56="基准地价",L51,0))</f>
        <v>0</v>
      </c>
      <c r="R60" s="2360" t="s">
        <v>2376</v>
      </c>
    </row>
    <row r="61" spans="1:18" s="2041" customFormat="1" ht="15.75" thickBot="1">
      <c r="A61" s="2078"/>
      <c r="B61" s="2079"/>
      <c r="C61" s="2079"/>
      <c r="I61" s="3112" t="s">
        <v>2357</v>
      </c>
      <c r="J61" s="3113" t="str">
        <f ca="1">IF(OR(M48="住宅",J52&lt;L49,J57="是"),"0",ROUND(J60/(1+J53)^J54,0))</f>
        <v>0</v>
      </c>
      <c r="K61" s="3114" t="s">
        <v>2362</v>
      </c>
      <c r="L61" s="3113" t="e">
        <f ca="1">IF(OR(M48="住宅",L49&lt;J52),0,ROUND(L58*(L59/L60-1),0))</f>
        <v>#DIV/0!</v>
      </c>
      <c r="O61" s="2362" t="s">
        <v>2380</v>
      </c>
      <c r="P61" s="2360" t="s">
        <v>2389</v>
      </c>
      <c r="Q61" s="2363">
        <f>L53</f>
        <v>0</v>
      </c>
      <c r="R61" s="2364"/>
    </row>
    <row r="62" spans="1:18" s="2041" customFormat="1" ht="20.25" thickBot="1">
      <c r="A62" s="2078"/>
      <c r="B62" s="2079"/>
      <c r="C62" s="2079"/>
      <c r="K62" s="2068"/>
      <c r="O62" s="2362" t="s">
        <v>2382</v>
      </c>
      <c r="P62" s="2360" t="s">
        <v>2390</v>
      </c>
      <c r="Q62" s="2361">
        <f ca="1">L59</f>
        <v>0</v>
      </c>
      <c r="R62" s="2364" t="s">
        <v>2391</v>
      </c>
    </row>
    <row r="63" spans="1:18" s="2041" customFormat="1" ht="20.25" thickBot="1">
      <c r="A63" s="2078"/>
      <c r="B63" s="2079"/>
      <c r="C63" s="2079"/>
      <c r="I63" s="3115" t="s">
        <v>2363</v>
      </c>
      <c r="J63" s="3116" t="s">
        <v>2364</v>
      </c>
      <c r="K63" s="3116" t="s">
        <v>2365</v>
      </c>
      <c r="L63" s="3116" t="s">
        <v>2346</v>
      </c>
      <c r="M63" s="3117" t="s">
        <v>2935</v>
      </c>
      <c r="O63" s="2362" t="s">
        <v>2384</v>
      </c>
      <c r="P63" s="2360" t="s">
        <v>2392</v>
      </c>
      <c r="Q63" s="2361">
        <f ca="1">L60</f>
        <v>0</v>
      </c>
      <c r="R63" s="2364" t="s">
        <v>2393</v>
      </c>
    </row>
    <row r="64" spans="1:18" s="2041" customFormat="1" ht="15.75" thickBot="1">
      <c r="A64" s="2078"/>
      <c r="B64" s="2079"/>
      <c r="C64" s="2079"/>
      <c r="I64" s="3115" t="s">
        <v>2366</v>
      </c>
      <c r="J64" s="3116">
        <v>70</v>
      </c>
      <c r="K64" s="3116">
        <v>50</v>
      </c>
      <c r="L64" s="3116">
        <v>80</v>
      </c>
      <c r="M64" s="3118">
        <v>0.02</v>
      </c>
      <c r="O64" s="2359" t="s">
        <v>2387</v>
      </c>
      <c r="P64" s="2360" t="s">
        <v>2404</v>
      </c>
      <c r="Q64" s="2361" t="e">
        <f ca="1">Q58+Q59</f>
        <v>#DIV/0!</v>
      </c>
      <c r="R64" s="2364" t="s">
        <v>2388</v>
      </c>
    </row>
    <row r="65" spans="1:18" s="2041" customFormat="1" ht="16.5" thickBot="1">
      <c r="A65" s="2078"/>
      <c r="B65" s="2079"/>
      <c r="C65" s="2079"/>
      <c r="I65" s="3115" t="s">
        <v>2367</v>
      </c>
      <c r="J65" s="3116">
        <v>50</v>
      </c>
      <c r="K65" s="3116">
        <v>35</v>
      </c>
      <c r="L65" s="3116">
        <v>60</v>
      </c>
      <c r="M65" s="845">
        <v>0</v>
      </c>
      <c r="O65" s="2365" t="s">
        <v>2411</v>
      </c>
      <c r="P65" s="1575"/>
      <c r="Q65" s="1586"/>
      <c r="R65" s="1575"/>
    </row>
    <row r="66" spans="1:18" s="2041" customFormat="1" ht="15.75" thickBot="1">
      <c r="A66" s="2078"/>
      <c r="B66" s="2079"/>
      <c r="C66" s="2079"/>
      <c r="I66" s="3115" t="s">
        <v>2368</v>
      </c>
      <c r="J66" s="3116">
        <v>40</v>
      </c>
      <c r="K66" s="3116">
        <v>30</v>
      </c>
      <c r="L66" s="3116">
        <v>50</v>
      </c>
      <c r="M66" s="3118">
        <v>0.02</v>
      </c>
      <c r="O66" s="2356" t="s">
        <v>2371</v>
      </c>
      <c r="P66" s="2357" t="s">
        <v>2372</v>
      </c>
      <c r="Q66" s="2358" t="s">
        <v>2373</v>
      </c>
      <c r="R66" s="2357" t="s">
        <v>2374</v>
      </c>
    </row>
    <row r="67" spans="1:18" s="2041" customFormat="1" ht="15.75" thickBot="1">
      <c r="A67" s="2078"/>
      <c r="B67" s="2079"/>
      <c r="C67" s="2079"/>
      <c r="K67" s="2068"/>
      <c r="O67" s="2359" t="s">
        <v>2375</v>
      </c>
      <c r="P67" s="2360" t="s">
        <v>2401</v>
      </c>
      <c r="Q67" s="2361">
        <f ca="1">C41+J31</f>
        <v>0</v>
      </c>
      <c r="R67" s="2360" t="s">
        <v>2376</v>
      </c>
    </row>
    <row r="68" spans="1:18" s="2041" customFormat="1" ht="20.25" thickBot="1">
      <c r="A68" s="2078"/>
      <c r="B68" s="2079"/>
      <c r="C68" s="2079"/>
      <c r="K68" s="2068"/>
      <c r="O68" s="2359" t="s">
        <v>2377</v>
      </c>
      <c r="P68" s="2360" t="s">
        <v>2408</v>
      </c>
      <c r="Q68" s="2361" t="e">
        <f ca="1">L61</f>
        <v>#DIV/0!</v>
      </c>
      <c r="R68" s="2364" t="s">
        <v>2410</v>
      </c>
    </row>
    <row r="69" spans="1:18" s="2041" customFormat="1" ht="21.75" thickBot="1">
      <c r="A69" s="2078"/>
      <c r="B69" s="2079"/>
      <c r="C69" s="2079"/>
      <c r="K69" s="2068"/>
      <c r="O69" s="2362" t="s">
        <v>2379</v>
      </c>
      <c r="P69" s="2360" t="s">
        <v>2409</v>
      </c>
      <c r="Q69" s="2366">
        <f ca="1">L52</f>
        <v>0</v>
      </c>
      <c r="R69" s="2367" t="s">
        <v>2412</v>
      </c>
    </row>
    <row r="70" spans="1:18" s="2041" customFormat="1" ht="20.25" thickBot="1">
      <c r="A70" s="2078"/>
      <c r="B70" s="2079"/>
      <c r="C70" s="2079"/>
      <c r="K70" s="2068"/>
      <c r="O70" s="2362" t="s">
        <v>2380</v>
      </c>
      <c r="P70" s="2368" t="s">
        <v>2394</v>
      </c>
      <c r="Q70" s="2361">
        <f ca="1">ROUND(Q71-Q72*Q73,0)</f>
        <v>0</v>
      </c>
      <c r="R70" s="2364"/>
    </row>
    <row r="71" spans="1:18" s="2041" customFormat="1" ht="15.75" thickBot="1">
      <c r="A71" s="2078"/>
      <c r="B71" s="2079"/>
      <c r="C71" s="2079"/>
      <c r="K71" s="2068"/>
      <c r="O71" s="2362" t="s">
        <v>2395</v>
      </c>
      <c r="P71" s="2368" t="s">
        <v>2396</v>
      </c>
      <c r="Q71" s="2361">
        <f ca="1">C42</f>
        <v>0</v>
      </c>
      <c r="R71" s="2360" t="s">
        <v>2376</v>
      </c>
    </row>
    <row r="72" spans="1:18" s="2041" customFormat="1" ht="15.75" thickBot="1">
      <c r="A72" s="2078"/>
      <c r="B72" s="2079"/>
      <c r="C72" s="2079"/>
      <c r="K72" s="2068"/>
      <c r="O72" s="2362" t="s">
        <v>2397</v>
      </c>
      <c r="P72" s="2368" t="s">
        <v>2398</v>
      </c>
      <c r="Q72" s="2361">
        <f ca="1">C15</f>
        <v>0</v>
      </c>
      <c r="R72" s="2360" t="s">
        <v>2376</v>
      </c>
    </row>
    <row r="73" spans="1:18" s="2041" customFormat="1" ht="15.75" thickBot="1">
      <c r="A73" s="2078"/>
      <c r="B73" s="2079"/>
      <c r="C73" s="2079"/>
      <c r="K73" s="2068"/>
      <c r="O73" s="2362" t="s">
        <v>2399</v>
      </c>
      <c r="P73" s="2368" t="s">
        <v>2400</v>
      </c>
      <c r="Q73" s="2363">
        <f ca="1">F43</f>
        <v>0</v>
      </c>
      <c r="R73" s="2364"/>
    </row>
    <row r="74" spans="1:18" s="2041" customFormat="1" ht="15.75" thickBot="1">
      <c r="A74" s="2078"/>
      <c r="B74" s="2079"/>
      <c r="C74" s="2079"/>
      <c r="K74" s="2068"/>
      <c r="O74" s="2362" t="s">
        <v>2382</v>
      </c>
      <c r="P74" s="2360" t="s">
        <v>2389</v>
      </c>
      <c r="Q74" s="2363">
        <f>L53</f>
        <v>0</v>
      </c>
      <c r="R74" s="2364"/>
    </row>
    <row r="75" spans="1:18" s="2041" customFormat="1" ht="20.25" thickBot="1">
      <c r="A75" s="2078"/>
      <c r="B75" s="2079"/>
      <c r="C75" s="2079"/>
      <c r="K75" s="2068"/>
      <c r="O75" s="2362" t="s">
        <v>2384</v>
      </c>
      <c r="P75" s="2360" t="s">
        <v>2390</v>
      </c>
      <c r="Q75" s="2361">
        <f ca="1">L59</f>
        <v>0</v>
      </c>
      <c r="R75" s="2364" t="s">
        <v>2391</v>
      </c>
    </row>
    <row r="76" spans="1:18" s="2041" customFormat="1" ht="20.25" thickBot="1">
      <c r="A76" s="2078"/>
      <c r="B76" s="2079"/>
      <c r="C76" s="2079"/>
      <c r="K76" s="2068"/>
      <c r="O76" s="2362" t="s">
        <v>2413</v>
      </c>
      <c r="P76" s="2360" t="s">
        <v>2392</v>
      </c>
      <c r="Q76" s="2361">
        <f ca="1">L60</f>
        <v>0</v>
      </c>
      <c r="R76" s="2364" t="s">
        <v>2393</v>
      </c>
    </row>
    <row r="77" spans="1:18" s="2041" customFormat="1" ht="15.75" thickBot="1">
      <c r="A77" s="2078"/>
      <c r="B77" s="2079"/>
      <c r="C77" s="2079"/>
      <c r="K77" s="2068"/>
      <c r="O77" s="2359" t="s">
        <v>2387</v>
      </c>
      <c r="P77" s="2360" t="s">
        <v>2404</v>
      </c>
      <c r="Q77" s="2361" t="e">
        <f ca="1">Q67+Q68</f>
        <v>#DIV/0!</v>
      </c>
      <c r="R77" s="2364" t="s">
        <v>2388</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60" t="s">
        <v>2466</v>
      </c>
      <c r="B1" s="3561"/>
      <c r="C1" s="3562"/>
      <c r="D1" s="3563">
        <f>SUM(I10,I15,I20,I21,I23)</f>
        <v>0</v>
      </c>
      <c r="E1" s="3563"/>
      <c r="F1" s="3563"/>
      <c r="G1" s="3563"/>
      <c r="H1" s="3563"/>
      <c r="I1" s="3564"/>
    </row>
    <row r="2" spans="1:9">
      <c r="A2" s="3565" t="s">
        <v>2467</v>
      </c>
      <c r="B2" s="3566" t="s">
        <v>2468</v>
      </c>
      <c r="C2" s="3566"/>
      <c r="D2" s="2468" t="s">
        <v>2469</v>
      </c>
      <c r="E2" s="2468" t="s">
        <v>2470</v>
      </c>
      <c r="F2" s="2468" t="s">
        <v>2471</v>
      </c>
      <c r="G2" s="2468" t="s">
        <v>2472</v>
      </c>
      <c r="H2" s="2468" t="s">
        <v>2473</v>
      </c>
      <c r="I2" s="2469" t="s">
        <v>2474</v>
      </c>
    </row>
    <row r="3" spans="1:9">
      <c r="A3" s="3565"/>
      <c r="B3" s="3566" t="s">
        <v>2475</v>
      </c>
      <c r="C3" s="3566"/>
      <c r="D3" s="2470"/>
      <c r="E3" s="2468"/>
      <c r="F3" s="2471"/>
      <c r="G3" s="2471"/>
      <c r="H3" s="2472"/>
      <c r="I3" s="2473">
        <f>ROUND(D3*E3*F3*G3*H3/10000,0)</f>
        <v>0</v>
      </c>
    </row>
    <row r="4" spans="1:9">
      <c r="A4" s="3565"/>
      <c r="B4" s="3566" t="s">
        <v>2476</v>
      </c>
      <c r="C4" s="3566"/>
      <c r="D4" s="2470"/>
      <c r="E4" s="2468"/>
      <c r="F4" s="2471"/>
      <c r="G4" s="2471"/>
      <c r="H4" s="2472"/>
      <c r="I4" s="2473">
        <f t="shared" ref="I4:I9" si="0">ROUND(D4*E4*F4*G4*H4/10000,0)</f>
        <v>0</v>
      </c>
    </row>
    <row r="5" spans="1:9">
      <c r="A5" s="3565"/>
      <c r="B5" s="3566" t="s">
        <v>2477</v>
      </c>
      <c r="C5" s="3566"/>
      <c r="D5" s="2470"/>
      <c r="E5" s="2468"/>
      <c r="F5" s="2471"/>
      <c r="G5" s="2471"/>
      <c r="H5" s="2472"/>
      <c r="I5" s="2473">
        <f t="shared" si="0"/>
        <v>0</v>
      </c>
    </row>
    <row r="6" spans="1:9">
      <c r="A6" s="3565"/>
      <c r="B6" s="3566" t="s">
        <v>2478</v>
      </c>
      <c r="C6" s="3566"/>
      <c r="D6" s="2470"/>
      <c r="E6" s="2468"/>
      <c r="F6" s="2471"/>
      <c r="G6" s="2471"/>
      <c r="H6" s="2472"/>
      <c r="I6" s="2473">
        <f t="shared" si="0"/>
        <v>0</v>
      </c>
    </row>
    <row r="7" spans="1:9">
      <c r="A7" s="3565"/>
      <c r="B7" s="3566" t="s">
        <v>2479</v>
      </c>
      <c r="C7" s="3566"/>
      <c r="D7" s="2470"/>
      <c r="E7" s="2468"/>
      <c r="F7" s="2471"/>
      <c r="G7" s="2471"/>
      <c r="H7" s="2472"/>
      <c r="I7" s="2473">
        <f t="shared" si="0"/>
        <v>0</v>
      </c>
    </row>
    <row r="8" spans="1:9">
      <c r="A8" s="3565"/>
      <c r="B8" s="3566" t="s">
        <v>2480</v>
      </c>
      <c r="C8" s="3566"/>
      <c r="D8" s="2470"/>
      <c r="E8" s="2468"/>
      <c r="F8" s="2471"/>
      <c r="G8" s="2471"/>
      <c r="H8" s="2472"/>
      <c r="I8" s="2473">
        <f t="shared" si="0"/>
        <v>0</v>
      </c>
    </row>
    <row r="9" spans="1:9">
      <c r="A9" s="3565"/>
      <c r="B9" s="3566" t="s">
        <v>2481</v>
      </c>
      <c r="C9" s="3566"/>
      <c r="D9" s="2470"/>
      <c r="E9" s="2468"/>
      <c r="F9" s="2471"/>
      <c r="G9" s="2471"/>
      <c r="H9" s="2472"/>
      <c r="I9" s="2473">
        <f t="shared" si="0"/>
        <v>0</v>
      </c>
    </row>
    <row r="10" spans="1:9">
      <c r="A10" s="3565"/>
      <c r="B10" s="3567" t="s">
        <v>2482</v>
      </c>
      <c r="C10" s="3567"/>
      <c r="D10" s="2474">
        <v>527</v>
      </c>
      <c r="E10" s="2474" t="e">
        <f>ROUND(D1*10000/D10/H9,0)</f>
        <v>#DIV/0!</v>
      </c>
      <c r="F10" s="2475"/>
      <c r="G10" s="2475"/>
      <c r="H10" s="2476"/>
      <c r="I10" s="2477">
        <f>SUM(I3:I9)</f>
        <v>0</v>
      </c>
    </row>
    <row r="11" spans="1:9" ht="14.25">
      <c r="A11" s="3565" t="s">
        <v>2483</v>
      </c>
      <c r="B11" s="3566" t="s">
        <v>2484</v>
      </c>
      <c r="C11" s="3566"/>
      <c r="D11" s="2470" t="s">
        <v>2485</v>
      </c>
      <c r="E11" s="2470" t="s">
        <v>2486</v>
      </c>
      <c r="F11" s="2471" t="s">
        <v>2487</v>
      </c>
      <c r="G11" s="2471" t="s">
        <v>2488</v>
      </c>
      <c r="H11" s="2478" t="s">
        <v>2489</v>
      </c>
      <c r="I11" s="2469" t="s">
        <v>2490</v>
      </c>
    </row>
    <row r="12" spans="1:9">
      <c r="A12" s="3565"/>
      <c r="B12" s="3566" t="s">
        <v>2491</v>
      </c>
      <c r="C12" s="3566"/>
      <c r="D12" s="2470"/>
      <c r="E12" s="2470"/>
      <c r="F12" s="2471"/>
      <c r="G12" s="2472"/>
      <c r="H12" s="2479"/>
      <c r="I12" s="2469">
        <f>ROUND(D12*E12*F12*G12/10000,0)</f>
        <v>0</v>
      </c>
    </row>
    <row r="13" spans="1:9">
      <c r="A13" s="3565"/>
      <c r="B13" s="3566" t="s">
        <v>2492</v>
      </c>
      <c r="C13" s="3566"/>
      <c r="D13" s="2470"/>
      <c r="E13" s="2470"/>
      <c r="F13" s="2471"/>
      <c r="G13" s="2472"/>
      <c r="H13" s="2479"/>
      <c r="I13" s="2469">
        <f>ROUND(D13*E13*F13*G13/10000,0)</f>
        <v>0</v>
      </c>
    </row>
    <row r="14" spans="1:9">
      <c r="A14" s="3565"/>
      <c r="B14" s="3566" t="s">
        <v>2493</v>
      </c>
      <c r="C14" s="3566"/>
      <c r="D14" s="2470"/>
      <c r="E14" s="2470"/>
      <c r="F14" s="2471"/>
      <c r="G14" s="2472"/>
      <c r="H14" s="2479"/>
      <c r="I14" s="2469">
        <f>ROUND(D14*E14*F14*G14/10000,0)</f>
        <v>0</v>
      </c>
    </row>
    <row r="15" spans="1:9">
      <c r="A15" s="3565"/>
      <c r="B15" s="3567" t="s">
        <v>2482</v>
      </c>
      <c r="C15" s="3567"/>
      <c r="D15" s="2474"/>
      <c r="E15" s="2474">
        <f>SUM(E12:E14)</f>
        <v>0</v>
      </c>
      <c r="F15" s="2475"/>
      <c r="G15" s="2472"/>
      <c r="H15" s="2479"/>
      <c r="I15" s="2480">
        <f>SUM(I12:I14)</f>
        <v>0</v>
      </c>
    </row>
    <row r="16" spans="1:9" ht="24">
      <c r="A16" s="3565" t="s">
        <v>2494</v>
      </c>
      <c r="B16" s="3566" t="s">
        <v>2495</v>
      </c>
      <c r="C16" s="3566"/>
      <c r="D16" s="2470" t="s">
        <v>2496</v>
      </c>
      <c r="E16" s="2481" t="s">
        <v>2497</v>
      </c>
      <c r="F16" s="2471" t="s">
        <v>2498</v>
      </c>
      <c r="G16" s="2472" t="s">
        <v>2488</v>
      </c>
      <c r="H16" s="2478" t="s">
        <v>2489</v>
      </c>
      <c r="I16" s="2469" t="s">
        <v>2490</v>
      </c>
    </row>
    <row r="17" spans="1:9" ht="14.25">
      <c r="A17" s="3565"/>
      <c r="B17" s="3566" t="s">
        <v>2499</v>
      </c>
      <c r="C17" s="3566"/>
      <c r="D17" s="2470"/>
      <c r="E17" s="2470"/>
      <c r="F17" s="2471"/>
      <c r="G17" s="2472"/>
      <c r="H17" s="2482"/>
      <c r="I17" s="2483">
        <f>ROUND(D17*E17*F17*G17/10000,0)</f>
        <v>0</v>
      </c>
    </row>
    <row r="18" spans="1:9" ht="14.25">
      <c r="A18" s="3565"/>
      <c r="B18" s="3566" t="s">
        <v>2500</v>
      </c>
      <c r="C18" s="3566"/>
      <c r="D18" s="2470"/>
      <c r="E18" s="2470"/>
      <c r="F18" s="2471"/>
      <c r="G18" s="2472"/>
      <c r="H18" s="2482"/>
      <c r="I18" s="2483">
        <f>ROUND(D18*E18*F18*G18/10000,0)</f>
        <v>0</v>
      </c>
    </row>
    <row r="19" spans="1:9" ht="14.25">
      <c r="A19" s="3565"/>
      <c r="B19" s="3566" t="s">
        <v>2501</v>
      </c>
      <c r="C19" s="3566"/>
      <c r="D19" s="2470"/>
      <c r="E19" s="2470"/>
      <c r="F19" s="2471"/>
      <c r="G19" s="2472"/>
      <c r="H19" s="2482"/>
      <c r="I19" s="2483">
        <f>ROUND(D19*E19*F19*G19/10000,0)</f>
        <v>0</v>
      </c>
    </row>
    <row r="20" spans="1:9">
      <c r="A20" s="3565"/>
      <c r="B20" s="3567" t="s">
        <v>2482</v>
      </c>
      <c r="C20" s="3567"/>
      <c r="D20" s="2474">
        <f>SUM(D17:D19)</f>
        <v>0</v>
      </c>
      <c r="E20" s="2474"/>
      <c r="F20" s="2475"/>
      <c r="G20" s="2472"/>
      <c r="H20" s="2479"/>
      <c r="I20" s="2480">
        <f>SUM(I17:I19)</f>
        <v>0</v>
      </c>
    </row>
    <row r="21" spans="1:9">
      <c r="A21" s="3565" t="s">
        <v>2502</v>
      </c>
      <c r="B21" s="3569"/>
      <c r="C21" s="3569"/>
      <c r="D21" s="3569"/>
      <c r="E21" s="3569"/>
      <c r="F21" s="3569"/>
      <c r="G21" s="3569"/>
      <c r="H21" s="2484">
        <v>0.1</v>
      </c>
      <c r="I21" s="2477">
        <f>ROUND(I10*H21,0)</f>
        <v>0</v>
      </c>
    </row>
    <row r="22" spans="1:9" ht="14.25">
      <c r="A22" s="3570" t="s">
        <v>2503</v>
      </c>
      <c r="B22" s="3571"/>
      <c r="C22" s="3572"/>
      <c r="D22" s="2485" t="s">
        <v>2504</v>
      </c>
      <c r="E22" s="2485" t="s">
        <v>2505</v>
      </c>
      <c r="F22" s="2486" t="s">
        <v>2506</v>
      </c>
      <c r="G22" s="2486" t="s">
        <v>2507</v>
      </c>
      <c r="H22" s="2478" t="s">
        <v>2508</v>
      </c>
      <c r="I22" s="2469" t="s">
        <v>2509</v>
      </c>
    </row>
    <row r="23" spans="1:9" ht="14.25" thickBot="1">
      <c r="A23" s="3573"/>
      <c r="B23" s="3574"/>
      <c r="C23" s="3575"/>
      <c r="D23" s="2487"/>
      <c r="E23" s="2487"/>
      <c r="F23" s="2487"/>
      <c r="G23" s="2488"/>
      <c r="H23" s="2489"/>
      <c r="I23" s="2490">
        <f>ROUND(E23*D23*F23*(1-G23)/10000,0)</f>
        <v>0</v>
      </c>
    </row>
    <row r="26" spans="1:9">
      <c r="A26" s="2491" t="s">
        <v>2510</v>
      </c>
      <c r="B26" s="2491"/>
      <c r="C26" s="2491"/>
      <c r="D26" s="2491"/>
      <c r="E26" s="3576">
        <f>C27-C30-C31-C32</f>
        <v>0</v>
      </c>
      <c r="F26" s="3576"/>
      <c r="G26" s="3576"/>
      <c r="H26" s="2990" t="s">
        <v>2838</v>
      </c>
    </row>
    <row r="27" spans="1:9">
      <c r="A27" s="2492">
        <v>1</v>
      </c>
      <c r="B27" s="2493" t="s">
        <v>2511</v>
      </c>
      <c r="C27" s="2493"/>
      <c r="D27" s="2493"/>
      <c r="E27" s="3577"/>
      <c r="F27" s="3577"/>
      <c r="G27" s="3577"/>
    </row>
    <row r="28" spans="1:9">
      <c r="A28" s="2494" t="s">
        <v>2512</v>
      </c>
      <c r="B28" s="2493" t="s">
        <v>2513</v>
      </c>
      <c r="C28" s="2493"/>
      <c r="D28" s="2493"/>
      <c r="E28" s="3577"/>
      <c r="F28" s="3577"/>
      <c r="G28" s="3577"/>
    </row>
    <row r="29" spans="1:9">
      <c r="A29" s="2494" t="s">
        <v>2514</v>
      </c>
      <c r="B29" s="2493" t="s">
        <v>2455</v>
      </c>
      <c r="C29" s="2493"/>
      <c r="D29" s="2493"/>
      <c r="E29" s="2493" t="s">
        <v>2515</v>
      </c>
      <c r="F29" s="2493"/>
      <c r="G29" s="2493"/>
    </row>
    <row r="30" spans="1:9">
      <c r="A30" s="2492">
        <v>2</v>
      </c>
      <c r="B30" s="2493" t="s">
        <v>2516</v>
      </c>
      <c r="C30" s="2493">
        <f>C27*D30</f>
        <v>0</v>
      </c>
      <c r="D30" s="2495">
        <v>0.2</v>
      </c>
      <c r="E30" s="2493" t="s">
        <v>2517</v>
      </c>
      <c r="F30" s="2493"/>
      <c r="G30" s="2493"/>
    </row>
    <row r="31" spans="1:9">
      <c r="A31" s="2492">
        <v>3</v>
      </c>
      <c r="B31" s="2493" t="s">
        <v>2518</v>
      </c>
      <c r="C31" s="2493">
        <f>C25*D31</f>
        <v>0</v>
      </c>
      <c r="D31" s="2495">
        <v>0.15</v>
      </c>
      <c r="E31" s="2493" t="s">
        <v>2519</v>
      </c>
      <c r="F31" s="2493"/>
      <c r="G31" s="2493"/>
    </row>
    <row r="32" spans="1:9">
      <c r="A32" s="2492">
        <v>4</v>
      </c>
      <c r="B32" s="2493" t="s">
        <v>2520</v>
      </c>
      <c r="C32" s="2493">
        <f>C27*D32</f>
        <v>0</v>
      </c>
      <c r="D32" s="2495">
        <v>0.05</v>
      </c>
      <c r="E32" s="3568"/>
      <c r="F32" s="3568"/>
      <c r="G32" s="3568"/>
    </row>
    <row r="33" spans="1:7" hidden="1">
      <c r="A33" s="3578" t="s">
        <v>2521</v>
      </c>
      <c r="B33" s="3579"/>
      <c r="C33" s="3579"/>
      <c r="D33" s="3580"/>
      <c r="E33" s="3576"/>
      <c r="F33" s="3576"/>
      <c r="G33" s="3576"/>
    </row>
    <row r="34" spans="1:7" hidden="1">
      <c r="A34" s="2496">
        <v>1</v>
      </c>
      <c r="B34" s="2493" t="s">
        <v>2522</v>
      </c>
      <c r="C34" s="2493"/>
      <c r="D34" s="2493"/>
      <c r="E34" s="3577"/>
      <c r="F34" s="3577"/>
      <c r="G34" s="3577"/>
    </row>
    <row r="35" spans="1:7" hidden="1">
      <c r="A35" s="2496">
        <v>2</v>
      </c>
      <c r="B35" s="2493" t="s">
        <v>2523</v>
      </c>
      <c r="C35" s="2493"/>
      <c r="D35" s="2493"/>
      <c r="E35" s="3577"/>
      <c r="F35" s="3577"/>
      <c r="G35" s="3577"/>
    </row>
    <row r="36" spans="1:7" hidden="1">
      <c r="A36" s="2496">
        <v>3</v>
      </c>
      <c r="B36" s="2493" t="s">
        <v>2524</v>
      </c>
      <c r="C36" s="2493"/>
      <c r="D36" s="2493"/>
      <c r="E36" s="3577"/>
      <c r="F36" s="3577"/>
      <c r="G36" s="3577"/>
    </row>
    <row r="37" spans="1:7" hidden="1">
      <c r="A37" s="2496">
        <v>4</v>
      </c>
      <c r="B37" s="2493" t="s">
        <v>2525</v>
      </c>
      <c r="C37" s="2493"/>
      <c r="D37" s="2493"/>
      <c r="E37" s="3577"/>
      <c r="F37" s="3577"/>
      <c r="G37" s="3577"/>
    </row>
    <row r="38" spans="1:7" hidden="1">
      <c r="A38" s="3578" t="s">
        <v>2526</v>
      </c>
      <c r="B38" s="3579"/>
      <c r="C38" s="3579"/>
      <c r="D38" s="3580"/>
      <c r="E38" s="3576"/>
      <c r="F38" s="3576"/>
      <c r="G38" s="35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0" t="s">
        <v>603</v>
      </c>
      <c r="B1" s="741"/>
      <c r="C1" s="2164"/>
      <c r="D1" s="2164"/>
      <c r="E1" s="2164"/>
      <c r="F1" s="2164"/>
      <c r="G1" s="2090"/>
    </row>
    <row r="2" spans="1:25" s="2041" customFormat="1" ht="18" customHeight="1">
      <c r="A2" s="422" t="s">
        <v>467</v>
      </c>
      <c r="B2" s="424">
        <f ca="1">C23</f>
        <v>0</v>
      </c>
      <c r="C2" s="2090"/>
      <c r="D2" s="2090"/>
      <c r="E2" s="2090"/>
      <c r="F2" s="2090"/>
      <c r="G2" s="2090"/>
    </row>
    <row r="3" spans="1:25" s="2041" customFormat="1" ht="18" customHeight="1">
      <c r="A3" s="1372" t="s">
        <v>1685</v>
      </c>
      <c r="B3" s="424">
        <f ca="1">ROUND(B2*10000/'数据-汇总表'!E3,0)</f>
        <v>0</v>
      </c>
      <c r="C3" s="2090"/>
      <c r="D3" s="2090"/>
      <c r="E3" s="2090"/>
      <c r="F3" s="2090"/>
      <c r="G3" s="2090"/>
    </row>
    <row r="4" spans="1:25" s="2041" customFormat="1" ht="18" customHeight="1">
      <c r="A4" s="425" t="s">
        <v>468</v>
      </c>
      <c r="B4" s="426">
        <f ca="1">ROUND(B2*10000/'数据-汇总表'!D3,0)</f>
        <v>0</v>
      </c>
      <c r="C4" s="2043"/>
      <c r="D4" s="2090"/>
      <c r="E4" s="2090"/>
      <c r="F4" s="2090"/>
      <c r="G4" s="2090"/>
    </row>
    <row r="5" spans="1:25" s="2041" customFormat="1" ht="18" customHeight="1" thickBot="1">
      <c r="A5" s="428"/>
      <c r="B5" s="429">
        <f ca="1">ROUND(B2/('数据-汇总表'!D3/666.67),0)</f>
        <v>0</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30">
        <v>1</v>
      </c>
      <c r="B7" s="747" t="s">
        <v>609</v>
      </c>
      <c r="C7" s="748">
        <f>C8+C9</f>
        <v>0</v>
      </c>
      <c r="D7" s="748"/>
      <c r="E7" s="749"/>
      <c r="F7" s="749"/>
      <c r="G7" s="2440"/>
    </row>
    <row r="8" spans="1:25" s="2165" customFormat="1" ht="13.5" customHeight="1">
      <c r="A8" s="2430" t="s">
        <v>2435</v>
      </c>
      <c r="B8" s="2433" t="s">
        <v>2437</v>
      </c>
      <c r="C8" s="2434"/>
      <c r="D8" s="748"/>
      <c r="E8" s="749"/>
      <c r="F8" s="749"/>
      <c r="G8" s="750"/>
    </row>
    <row r="9" spans="1:25" s="2165" customFormat="1" ht="13.5" customHeight="1">
      <c r="A9" s="2430" t="s">
        <v>2436</v>
      </c>
      <c r="B9" s="2433" t="s">
        <v>2438</v>
      </c>
      <c r="C9" s="2434"/>
      <c r="D9" s="748"/>
      <c r="E9" s="749"/>
      <c r="F9" s="749"/>
      <c r="G9" s="750"/>
    </row>
    <row r="10" spans="1:25" s="2165" customFormat="1" ht="36">
      <c r="A10" s="2430">
        <v>2</v>
      </c>
      <c r="B10" s="747" t="s">
        <v>613</v>
      </c>
      <c r="C10" s="748">
        <f>C11+C14+C15</f>
        <v>0</v>
      </c>
      <c r="D10" s="759">
        <f>'数据-汇总表'!E3</f>
        <v>73123.75</v>
      </c>
      <c r="E10" s="748">
        <f>'数据-取费表'!B31</f>
        <v>80</v>
      </c>
      <c r="F10" s="760"/>
      <c r="G10" s="758" t="s">
        <v>614</v>
      </c>
    </row>
    <row r="11" spans="1:25" s="2165" customFormat="1" ht="13.5" customHeight="1">
      <c r="A11" s="2430" t="s">
        <v>2435</v>
      </c>
      <c r="B11" s="751" t="s">
        <v>610</v>
      </c>
      <c r="C11" s="752">
        <f>'数据-取费表'!B29</f>
        <v>0</v>
      </c>
      <c r="D11" s="753"/>
      <c r="E11" s="752"/>
      <c r="F11" s="754"/>
      <c r="G11" s="2439" t="s">
        <v>2446</v>
      </c>
    </row>
    <row r="12" spans="1:25" s="2165" customFormat="1" ht="13.5" customHeight="1">
      <c r="A12" s="2437" t="s">
        <v>2443</v>
      </c>
      <c r="B12" s="755" t="s">
        <v>611</v>
      </c>
      <c r="C12" s="756">
        <f>ROUND(D12*E12/10000,0)</f>
        <v>91</v>
      </c>
      <c r="D12" s="757">
        <f>'数据-汇总表'!E5</f>
        <v>48133.2</v>
      </c>
      <c r="E12" s="756">
        <f>'数据-取费表'!B27</f>
        <v>19</v>
      </c>
      <c r="F12" s="754"/>
      <c r="G12" s="758"/>
    </row>
    <row r="13" spans="1:25" s="2165" customFormat="1" ht="13.5" customHeight="1">
      <c r="A13" s="2437" t="s">
        <v>2442</v>
      </c>
      <c r="B13" s="755" t="s">
        <v>612</v>
      </c>
      <c r="C13" s="756">
        <f>ROUND(D13*E13/10000,0)</f>
        <v>47</v>
      </c>
      <c r="D13" s="757">
        <f>'数据-汇总表'!E6</f>
        <v>24990.550000000003</v>
      </c>
      <c r="E13" s="756">
        <f>'数据-取费表'!B28</f>
        <v>19</v>
      </c>
      <c r="F13" s="754"/>
      <c r="G13" s="758"/>
    </row>
    <row r="14" spans="1:25" s="2165" customFormat="1" ht="13.5" customHeight="1">
      <c r="A14" s="2430" t="s">
        <v>2436</v>
      </c>
      <c r="B14" s="2436" t="s">
        <v>2439</v>
      </c>
      <c r="C14" s="2434"/>
      <c r="D14" s="757"/>
      <c r="E14" s="756"/>
      <c r="F14" s="2435"/>
      <c r="G14" s="2438" t="s">
        <v>2444</v>
      </c>
    </row>
    <row r="15" spans="1:25" s="2165" customFormat="1" ht="13.5" customHeight="1">
      <c r="A15" s="2430" t="s">
        <v>2441</v>
      </c>
      <c r="B15" s="2436" t="s">
        <v>2440</v>
      </c>
      <c r="C15" s="2434"/>
      <c r="D15" s="757"/>
      <c r="E15" s="756"/>
      <c r="F15" s="2435"/>
      <c r="G15" s="2438" t="s">
        <v>2445</v>
      </c>
    </row>
    <row r="16" spans="1:25" s="2166" customFormat="1" ht="48">
      <c r="A16" s="2430">
        <v>3</v>
      </c>
      <c r="B16" s="747" t="s">
        <v>615</v>
      </c>
      <c r="C16" s="2434"/>
      <c r="D16" s="759"/>
      <c r="E16" s="748"/>
      <c r="F16" s="760"/>
      <c r="G16" s="758" t="s">
        <v>2447</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7" t="s">
        <v>616</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7" t="s">
        <v>617</v>
      </c>
      <c r="C18" s="748">
        <f>ROUND((C7+C10+C16)*F18,0)</f>
        <v>0</v>
      </c>
      <c r="D18" s="761"/>
      <c r="E18" s="762"/>
      <c r="F18" s="760">
        <f>'数据-取费表'!Q16</f>
        <v>0.16</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7" t="s">
        <v>619</v>
      </c>
      <c r="C19" s="748">
        <f ca="1">C7+C10+C16+C17+C18</f>
        <v>0</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7" t="s">
        <v>621</v>
      </c>
      <c r="C20" s="748">
        <f ca="1">ROUND(C19*F20,0)</f>
        <v>0</v>
      </c>
      <c r="D20" s="759"/>
      <c r="E20" s="748"/>
      <c r="F20" s="1343"/>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7" t="s">
        <v>623</v>
      </c>
      <c r="C21" s="748">
        <f ca="1">C19+C20</f>
        <v>0</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7" t="s">
        <v>625</v>
      </c>
      <c r="C22" s="748">
        <f ca="1">ROUND(C21*F22,0)</f>
        <v>0</v>
      </c>
      <c r="D22" s="759"/>
      <c r="E22" s="748"/>
      <c r="F22" s="765">
        <f>'数据-取费表'!AP16</f>
        <v>0.92300000000000004</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6" t="s">
        <v>627</v>
      </c>
      <c r="C23" s="767">
        <f ca="1">C22</f>
        <v>0</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I33" sqref="I33"/>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2584" t="s">
        <v>719</v>
      </c>
      <c r="C1" s="2585" t="s">
        <v>720</v>
      </c>
      <c r="D1" s="2586" t="s">
        <v>923</v>
      </c>
      <c r="E1" s="2587"/>
      <c r="F1" s="2759" t="s">
        <v>3269</v>
      </c>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2" t="s">
        <v>467</v>
      </c>
      <c r="B2" s="2583">
        <f>ROUND(B3*D3/10000,0)</f>
        <v>39176</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8" t="s">
        <v>519</v>
      </c>
      <c r="B3" s="850">
        <f>C49</f>
        <v>8139</v>
      </c>
      <c r="C3" s="851" t="s">
        <v>722</v>
      </c>
      <c r="D3" s="850">
        <f>SUMIF('数据-汇总表'!$C19:$C33,D1,'数据-汇总表'!$E19:$E33)</f>
        <v>48133.2</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1" t="s">
        <v>521</v>
      </c>
      <c r="B4" s="512"/>
      <c r="C4" s="3473" t="s">
        <v>522</v>
      </c>
      <c r="D4" s="3474"/>
      <c r="E4" s="3507" t="s">
        <v>523</v>
      </c>
      <c r="F4" s="3508"/>
      <c r="G4" s="3473" t="s">
        <v>524</v>
      </c>
      <c r="H4" s="3474"/>
      <c r="I4" s="3473" t="s">
        <v>525</v>
      </c>
      <c r="J4" s="3474"/>
      <c r="K4" s="852" t="s">
        <v>526</v>
      </c>
      <c r="L4" s="2115"/>
      <c r="M4" s="2116"/>
      <c r="N4" s="2116"/>
      <c r="O4" s="2116"/>
      <c r="P4" s="3475" t="s">
        <v>527</v>
      </c>
      <c r="Q4" s="3476"/>
      <c r="R4" s="3481" t="s">
        <v>523</v>
      </c>
      <c r="S4" s="3482"/>
      <c r="T4" s="3481" t="s">
        <v>524</v>
      </c>
      <c r="U4" s="3482"/>
      <c r="V4" s="3468" t="s">
        <v>525</v>
      </c>
      <c r="W4" s="3468"/>
      <c r="X4" s="1550"/>
      <c r="Y4" s="3481" t="s">
        <v>527</v>
      </c>
      <c r="Z4" s="3482"/>
      <c r="AA4" s="3470" t="s">
        <v>523</v>
      </c>
      <c r="AB4" s="3470" t="s">
        <v>524</v>
      </c>
      <c r="AC4" s="3470" t="s">
        <v>525</v>
      </c>
    </row>
    <row r="5" spans="1:29" ht="15">
      <c r="A5" s="514"/>
      <c r="B5" s="515"/>
      <c r="C5" s="3489" t="s">
        <v>2922</v>
      </c>
      <c r="D5" s="3490"/>
      <c r="E5" s="3585" t="s">
        <v>3301</v>
      </c>
      <c r="F5" s="3510"/>
      <c r="G5" s="3584" t="s">
        <v>3302</v>
      </c>
      <c r="H5" s="3490"/>
      <c r="I5" s="3584" t="s">
        <v>3270</v>
      </c>
      <c r="J5" s="3490"/>
      <c r="K5" s="853"/>
      <c r="L5" s="2115"/>
      <c r="M5" s="2116"/>
      <c r="N5" s="2116"/>
      <c r="O5" s="2116"/>
      <c r="P5" s="3477"/>
      <c r="Q5" s="3478"/>
      <c r="R5" s="3483"/>
      <c r="S5" s="3484"/>
      <c r="T5" s="3483"/>
      <c r="U5" s="3484"/>
      <c r="V5" s="3468"/>
      <c r="W5" s="3468"/>
      <c r="X5" s="1550"/>
      <c r="Y5" s="3483"/>
      <c r="Z5" s="3484"/>
      <c r="AA5" s="3471"/>
      <c r="AB5" s="3471"/>
      <c r="AC5" s="3471"/>
    </row>
    <row r="6" spans="1:29" ht="15.75" thickBot="1">
      <c r="A6" s="516"/>
      <c r="B6" s="517"/>
      <c r="C6" s="3487" t="s">
        <v>2926</v>
      </c>
      <c r="D6" s="3488"/>
      <c r="E6" s="3505" t="s">
        <v>2926</v>
      </c>
      <c r="F6" s="3506"/>
      <c r="G6" s="3487" t="s">
        <v>2926</v>
      </c>
      <c r="H6" s="3488"/>
      <c r="I6" s="3487" t="s">
        <v>2926</v>
      </c>
      <c r="J6" s="3488"/>
      <c r="K6" s="853" t="s">
        <v>528</v>
      </c>
      <c r="L6" s="2115"/>
      <c r="M6" s="2116"/>
      <c r="N6" s="2116"/>
      <c r="O6" s="2116"/>
      <c r="P6" s="3479"/>
      <c r="Q6" s="3480"/>
      <c r="R6" s="3483"/>
      <c r="S6" s="3484"/>
      <c r="T6" s="3485"/>
      <c r="U6" s="3486"/>
      <c r="V6" s="3468"/>
      <c r="W6" s="3468"/>
      <c r="X6" s="1550"/>
      <c r="Y6" s="3485"/>
      <c r="Z6" s="3486"/>
      <c r="AA6" s="3472"/>
      <c r="AB6" s="3472"/>
      <c r="AC6" s="3472"/>
    </row>
    <row r="7" spans="1:29" s="1214" customFormat="1" ht="15.75" thickBot="1">
      <c r="A7" s="2863"/>
      <c r="B7" s="2870" t="s">
        <v>529</v>
      </c>
      <c r="C7" s="518">
        <f>'数据-取费表'!B2</f>
        <v>43692</v>
      </c>
      <c r="D7" s="519">
        <v>100</v>
      </c>
      <c r="E7" s="520">
        <f>C7</f>
        <v>43692</v>
      </c>
      <c r="F7" s="521">
        <f>SUMIF(58:58,YEAR(E7)&amp;"-"&amp;MONTH(E7),59:59)</f>
        <v>100</v>
      </c>
      <c r="G7" s="520">
        <f>E7</f>
        <v>43692</v>
      </c>
      <c r="H7" s="519">
        <f>SUMIF(58:58,YEAR(G7)&amp;"-"&amp;MONTH(G7),59:59)</f>
        <v>100</v>
      </c>
      <c r="I7" s="520">
        <f>G7</f>
        <v>43692</v>
      </c>
      <c r="J7" s="519">
        <f>SUMIF(58:58,YEAR(I7)&amp;"-"&amp;MONTH(I7),59:59)</f>
        <v>100</v>
      </c>
      <c r="K7" s="854"/>
      <c r="L7" s="2117"/>
      <c r="M7" s="2118"/>
      <c r="N7" s="2118"/>
      <c r="O7" s="2118"/>
      <c r="P7" s="3498" t="s">
        <v>530</v>
      </c>
      <c r="Q7" s="3500"/>
      <c r="R7" s="1551" t="s">
        <v>13</v>
      </c>
      <c r="S7" s="1552">
        <f t="shared" ref="S7:S15" si="0">F7</f>
        <v>100</v>
      </c>
      <c r="T7" s="1551" t="s">
        <v>13</v>
      </c>
      <c r="U7" s="1552">
        <f t="shared" ref="U7:U15" si="1">H7</f>
        <v>100</v>
      </c>
      <c r="V7" s="1551" t="s">
        <v>13</v>
      </c>
      <c r="W7" s="1552">
        <f t="shared" ref="W7:W15" si="2">J7</f>
        <v>100</v>
      </c>
      <c r="X7" s="1553"/>
      <c r="Y7" s="3498" t="s">
        <v>530</v>
      </c>
      <c r="Z7" s="3499"/>
      <c r="AA7" s="1554">
        <f>D7/F7</f>
        <v>1</v>
      </c>
      <c r="AB7" s="1554">
        <f>D7/H7</f>
        <v>1</v>
      </c>
      <c r="AC7" s="1554">
        <f>D7/J7</f>
        <v>1</v>
      </c>
    </row>
    <row r="8" spans="1:29" s="1214" customFormat="1" ht="15.75" thickBot="1">
      <c r="A8" s="2864"/>
      <c r="B8" s="2871" t="s">
        <v>531</v>
      </c>
      <c r="C8" s="524" t="s">
        <v>576</v>
      </c>
      <c r="D8" s="519">
        <v>100</v>
      </c>
      <c r="E8" s="855" t="s">
        <v>3184</v>
      </c>
      <c r="F8" s="521">
        <f>SUMIF(61:61,E8,62:62)-SUMIF(61:61,C8,62:62)+100</f>
        <v>100</v>
      </c>
      <c r="G8" s="855" t="s">
        <v>3184</v>
      </c>
      <c r="H8" s="519">
        <f>SUMIF(61:61,G8,62:62)-SUMIF(61:61,C8,62:62)+100</f>
        <v>100</v>
      </c>
      <c r="I8" s="855" t="s">
        <v>3184</v>
      </c>
      <c r="J8" s="519">
        <f>SUMIF(61:61,I8,62:62)-SUMIF(61:61,C8,62:62)+100</f>
        <v>100</v>
      </c>
      <c r="K8" s="854"/>
      <c r="L8" s="2117"/>
      <c r="M8" s="2118"/>
      <c r="N8" s="2118"/>
      <c r="O8" s="2118"/>
      <c r="P8" s="3498" t="s">
        <v>533</v>
      </c>
      <c r="Q8" s="3499"/>
      <c r="R8" s="1551" t="s">
        <v>13</v>
      </c>
      <c r="S8" s="1552">
        <f t="shared" si="0"/>
        <v>100</v>
      </c>
      <c r="T8" s="1551" t="s">
        <v>13</v>
      </c>
      <c r="U8" s="1552">
        <f t="shared" si="1"/>
        <v>100</v>
      </c>
      <c r="V8" s="1551" t="s">
        <v>13</v>
      </c>
      <c r="W8" s="1552">
        <f t="shared" si="2"/>
        <v>100</v>
      </c>
      <c r="X8" s="1553"/>
      <c r="Y8" s="3498" t="s">
        <v>533</v>
      </c>
      <c r="Z8" s="3499"/>
      <c r="AA8" s="1554">
        <f t="shared" ref="AA8:AA46" si="3">D8/F8</f>
        <v>1</v>
      </c>
      <c r="AB8" s="1554">
        <f t="shared" ref="AB8:AB46" si="4">D8/H8</f>
        <v>1</v>
      </c>
      <c r="AC8" s="1554">
        <f t="shared" ref="AC8:AC46" si="5">D8/J8</f>
        <v>1</v>
      </c>
    </row>
    <row r="9" spans="1:29" s="1214" customFormat="1" ht="15">
      <c r="A9" s="2865"/>
      <c r="B9" s="3251" t="s">
        <v>2751</v>
      </c>
      <c r="C9" s="3260" t="s">
        <v>3299</v>
      </c>
      <c r="D9" s="253">
        <v>100</v>
      </c>
      <c r="E9" s="857" t="s">
        <v>923</v>
      </c>
      <c r="F9" s="858">
        <f>SUMIF(63:63,E9,64:64)-SUMIF(63:63,C9,64:64)+100</f>
        <v>100</v>
      </c>
      <c r="G9" s="857" t="s">
        <v>923</v>
      </c>
      <c r="H9" s="253">
        <f>SUMIF(63:63,G9,64:64)-SUMIF(63:63,C9,64:64)+100</f>
        <v>100</v>
      </c>
      <c r="I9" s="857" t="s">
        <v>923</v>
      </c>
      <c r="J9" s="253">
        <f>SUMIF(63:63,I9,64:64)-SUMIF(63:63,C9,64:64)+100</f>
        <v>100</v>
      </c>
      <c r="K9" s="854"/>
      <c r="L9" s="2117"/>
      <c r="M9" s="2118"/>
      <c r="N9" s="2118"/>
      <c r="O9" s="2119"/>
      <c r="P9" s="3467" t="s">
        <v>535</v>
      </c>
      <c r="Q9" s="1145" t="str">
        <f t="shared" ref="Q9:Q15" si="6">B9</f>
        <v>用途</v>
      </c>
      <c r="R9" s="1551" t="s">
        <v>8</v>
      </c>
      <c r="S9" s="1552">
        <f t="shared" si="0"/>
        <v>100</v>
      </c>
      <c r="T9" s="1551" t="s">
        <v>8</v>
      </c>
      <c r="U9" s="1552">
        <f t="shared" si="1"/>
        <v>100</v>
      </c>
      <c r="V9" s="1551" t="s">
        <v>8</v>
      </c>
      <c r="W9" s="1552">
        <f t="shared" si="2"/>
        <v>100</v>
      </c>
      <c r="X9" s="1553"/>
      <c r="Y9" s="3413" t="s">
        <v>536</v>
      </c>
      <c r="Z9" s="1144" t="str">
        <f t="shared" ref="Z9:Z15" si="7">Q9</f>
        <v>用途</v>
      </c>
      <c r="AA9" s="1554">
        <f t="shared" si="3"/>
        <v>1</v>
      </c>
      <c r="AB9" s="1554">
        <f t="shared" si="4"/>
        <v>1</v>
      </c>
      <c r="AC9" s="1554">
        <f t="shared" si="5"/>
        <v>1</v>
      </c>
    </row>
    <row r="10" spans="1:29" s="1332" customFormat="1" ht="27">
      <c r="A10" s="2866"/>
      <c r="B10" s="3252" t="s">
        <v>2752</v>
      </c>
      <c r="C10" s="860" t="s">
        <v>3300</v>
      </c>
      <c r="D10" s="254">
        <v>100</v>
      </c>
      <c r="E10" s="860" t="s">
        <v>3300</v>
      </c>
      <c r="F10" s="862">
        <f>SUMIF(65:65,E10,66:66)-SUMIF(65:65,C10,66:66)+100</f>
        <v>100</v>
      </c>
      <c r="G10" s="860" t="s">
        <v>3300</v>
      </c>
      <c r="H10" s="254">
        <f>SUMIF(65:65,G10,66:66)-SUMIF(65:65,C10,66:66)+100</f>
        <v>100</v>
      </c>
      <c r="I10" s="860" t="s">
        <v>3300</v>
      </c>
      <c r="J10" s="254">
        <f>SUMIF(65:65,I10,66:66)-SUMIF(65:65,C10,66:66)+100</f>
        <v>100</v>
      </c>
      <c r="K10" s="863">
        <v>2</v>
      </c>
      <c r="L10" s="2120"/>
      <c r="M10" s="2160"/>
      <c r="N10" s="2160"/>
      <c r="O10" s="2121"/>
      <c r="P10" s="3467"/>
      <c r="Q10" s="1145" t="str">
        <f t="shared" si="6"/>
        <v>土地使用年限（年）</v>
      </c>
      <c r="R10" s="1551" t="s">
        <v>8</v>
      </c>
      <c r="S10" s="1552">
        <f t="shared" si="0"/>
        <v>100</v>
      </c>
      <c r="T10" s="1551" t="s">
        <v>8</v>
      </c>
      <c r="U10" s="1552">
        <f t="shared" si="1"/>
        <v>100</v>
      </c>
      <c r="V10" s="1551" t="s">
        <v>8</v>
      </c>
      <c r="W10" s="1552">
        <f t="shared" si="2"/>
        <v>100</v>
      </c>
      <c r="X10" s="1553"/>
      <c r="Y10" s="3413"/>
      <c r="Z10" s="1144" t="str">
        <f t="shared" si="7"/>
        <v>土地使用年限（年）</v>
      </c>
      <c r="AA10" s="1554">
        <f t="shared" si="3"/>
        <v>1</v>
      </c>
      <c r="AB10" s="1554">
        <f t="shared" si="4"/>
        <v>1</v>
      </c>
      <c r="AC10" s="1554">
        <f t="shared" si="5"/>
        <v>1</v>
      </c>
    </row>
    <row r="11" spans="1:29" ht="15">
      <c r="A11" s="2867"/>
      <c r="B11" s="2871" t="s">
        <v>2753</v>
      </c>
      <c r="C11" s="3250">
        <v>2.5</v>
      </c>
      <c r="D11" s="254">
        <v>100</v>
      </c>
      <c r="E11" s="533">
        <v>2.9</v>
      </c>
      <c r="F11" s="862">
        <f>LOOKUP(E11,68:68,69:69)-LOOKUP(C11,68:68,69:69)+100</f>
        <v>100</v>
      </c>
      <c r="G11" s="532">
        <v>3.2</v>
      </c>
      <c r="H11" s="3268">
        <f>LOOKUP(G11,68:68,69:69)-LOOKUP(C11,68:68,69:69)+100</f>
        <v>98</v>
      </c>
      <c r="I11" s="532">
        <v>2.7</v>
      </c>
      <c r="J11" s="254">
        <f>LOOKUP(I11,68:68,69:69)-LOOKUP(C11,68:68,69:69)+100</f>
        <v>100</v>
      </c>
      <c r="K11" s="863">
        <v>2</v>
      </c>
      <c r="L11" s="2122"/>
      <c r="M11" s="2116"/>
      <c r="N11" s="2116"/>
      <c r="O11" s="2123"/>
      <c r="P11" s="3467"/>
      <c r="Q11" s="1145" t="str">
        <f t="shared" si="6"/>
        <v>容积率</v>
      </c>
      <c r="R11" s="1551" t="s">
        <v>11</v>
      </c>
      <c r="S11" s="1552">
        <f t="shared" si="0"/>
        <v>100</v>
      </c>
      <c r="T11" s="1551" t="s">
        <v>11</v>
      </c>
      <c r="U11" s="1552">
        <f t="shared" si="1"/>
        <v>98</v>
      </c>
      <c r="V11" s="1551" t="s">
        <v>11</v>
      </c>
      <c r="W11" s="1552">
        <f t="shared" si="2"/>
        <v>100</v>
      </c>
      <c r="X11" s="1553"/>
      <c r="Y11" s="3413"/>
      <c r="Z11" s="1144" t="str">
        <f t="shared" si="7"/>
        <v>容积率</v>
      </c>
      <c r="AA11" s="1554">
        <f t="shared" si="3"/>
        <v>1</v>
      </c>
      <c r="AB11" s="1554">
        <f t="shared" si="4"/>
        <v>1.0204081632653061</v>
      </c>
      <c r="AC11" s="1554">
        <f t="shared" si="5"/>
        <v>1</v>
      </c>
    </row>
    <row r="12" spans="1:29" s="1214" customFormat="1" ht="15">
      <c r="A12" s="2868"/>
      <c r="B12" s="2874">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467"/>
      <c r="Q12" s="1145">
        <f t="shared" si="6"/>
        <v>111</v>
      </c>
      <c r="R12" s="1551" t="s">
        <v>11</v>
      </c>
      <c r="S12" s="1552">
        <f t="shared" si="0"/>
        <v>100</v>
      </c>
      <c r="T12" s="1551" t="s">
        <v>11</v>
      </c>
      <c r="U12" s="1552">
        <f t="shared" si="1"/>
        <v>100</v>
      </c>
      <c r="V12" s="1551" t="s">
        <v>11</v>
      </c>
      <c r="W12" s="1552">
        <f t="shared" si="2"/>
        <v>100</v>
      </c>
      <c r="X12" s="1553"/>
      <c r="Y12" s="3413"/>
      <c r="Z12" s="1144">
        <f t="shared" si="7"/>
        <v>111</v>
      </c>
      <c r="AA12" s="1554">
        <f>D12/F12</f>
        <v>1</v>
      </c>
      <c r="AB12" s="1554">
        <f>D12/H12</f>
        <v>1</v>
      </c>
      <c r="AC12" s="1554">
        <f>D12/J12</f>
        <v>1</v>
      </c>
    </row>
    <row r="13" spans="1:29" ht="15">
      <c r="A13" s="2868"/>
      <c r="B13" s="2874">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467"/>
      <c r="Q13" s="1145">
        <f t="shared" si="6"/>
        <v>111</v>
      </c>
      <c r="R13" s="1551" t="s">
        <v>11</v>
      </c>
      <c r="S13" s="1552">
        <f t="shared" si="0"/>
        <v>100</v>
      </c>
      <c r="T13" s="1551" t="s">
        <v>11</v>
      </c>
      <c r="U13" s="1552">
        <f t="shared" si="1"/>
        <v>100</v>
      </c>
      <c r="V13" s="1551" t="s">
        <v>11</v>
      </c>
      <c r="W13" s="1552">
        <f t="shared" si="2"/>
        <v>100</v>
      </c>
      <c r="X13" s="1553"/>
      <c r="Y13" s="3413"/>
      <c r="Z13" s="1144">
        <f t="shared" si="7"/>
        <v>111</v>
      </c>
      <c r="AA13" s="1554">
        <f t="shared" si="3"/>
        <v>1</v>
      </c>
      <c r="AB13" s="1554">
        <f t="shared" si="4"/>
        <v>1</v>
      </c>
      <c r="AC13" s="1554">
        <f t="shared" si="5"/>
        <v>1</v>
      </c>
    </row>
    <row r="14" spans="1:29" ht="15.75" thickBot="1">
      <c r="A14" s="2869"/>
      <c r="B14" s="2875">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467"/>
      <c r="Q14" s="1145">
        <f t="shared" si="6"/>
        <v>111</v>
      </c>
      <c r="R14" s="1551" t="s">
        <v>11</v>
      </c>
      <c r="S14" s="1552">
        <f t="shared" si="0"/>
        <v>100</v>
      </c>
      <c r="T14" s="1551" t="s">
        <v>11</v>
      </c>
      <c r="U14" s="1552">
        <f t="shared" si="1"/>
        <v>100</v>
      </c>
      <c r="V14" s="1551" t="s">
        <v>11</v>
      </c>
      <c r="W14" s="1552">
        <f t="shared" si="2"/>
        <v>100</v>
      </c>
      <c r="X14" s="1553"/>
      <c r="Y14" s="3413"/>
      <c r="Z14" s="1144">
        <f t="shared" si="7"/>
        <v>111</v>
      </c>
      <c r="AA14" s="1554">
        <f t="shared" si="3"/>
        <v>1</v>
      </c>
      <c r="AB14" s="1554">
        <f t="shared" si="4"/>
        <v>1</v>
      </c>
      <c r="AC14" s="1554">
        <f t="shared" si="5"/>
        <v>1</v>
      </c>
    </row>
    <row r="15" spans="1:29" ht="15">
      <c r="A15" s="2861" t="s">
        <v>2749</v>
      </c>
      <c r="B15" s="165" t="s">
        <v>295</v>
      </c>
      <c r="C15" s="866" t="str">
        <f>估价对象房地状况!C3</f>
        <v>一般</v>
      </c>
      <c r="D15" s="548">
        <v>100</v>
      </c>
      <c r="E15" s="549"/>
      <c r="F15" s="550">
        <f>SUMIF(76:76,E16,77:77)-SUMIF(76:76,C16,77:77)+100</f>
        <v>105</v>
      </c>
      <c r="G15" s="551"/>
      <c r="H15" s="548">
        <f>SUMIF(76:76,G16,77:77)-SUMIF(76:76,C16,77:77)+100</f>
        <v>105</v>
      </c>
      <c r="I15" s="549"/>
      <c r="J15" s="548">
        <f>SUMIF(76:76,I16,77:77)-SUMIF(76:76,C16,77:77)+100</f>
        <v>100</v>
      </c>
      <c r="K15" s="867">
        <v>5</v>
      </c>
      <c r="L15" s="2124"/>
      <c r="M15" s="2116"/>
      <c r="N15" s="2116"/>
      <c r="O15" s="2123"/>
      <c r="P15" s="3501" t="s">
        <v>540</v>
      </c>
      <c r="Q15" s="1555" t="str">
        <f t="shared" si="6"/>
        <v>居住社区成熟度</v>
      </c>
      <c r="R15" s="1556" t="s">
        <v>11</v>
      </c>
      <c r="S15" s="1557">
        <f t="shared" si="0"/>
        <v>105</v>
      </c>
      <c r="T15" s="1556" t="s">
        <v>11</v>
      </c>
      <c r="U15" s="1557">
        <f t="shared" si="1"/>
        <v>105</v>
      </c>
      <c r="V15" s="1556" t="s">
        <v>11</v>
      </c>
      <c r="W15" s="1557">
        <f t="shared" si="2"/>
        <v>100</v>
      </c>
      <c r="X15" s="1550"/>
      <c r="Y15" s="3501" t="s">
        <v>540</v>
      </c>
      <c r="Z15" s="1558" t="str">
        <f t="shared" si="7"/>
        <v>居住社区成熟度</v>
      </c>
      <c r="AA15" s="1559">
        <f t="shared" si="3"/>
        <v>0.95238095238095233</v>
      </c>
      <c r="AB15" s="1559">
        <f t="shared" si="4"/>
        <v>0.95238095238095233</v>
      </c>
      <c r="AC15" s="1559">
        <f t="shared" si="5"/>
        <v>1</v>
      </c>
    </row>
    <row r="16" spans="1:29" ht="15">
      <c r="A16" s="531"/>
      <c r="B16" s="868"/>
      <c r="C16" s="555" t="s">
        <v>3028</v>
      </c>
      <c r="D16" s="554"/>
      <c r="E16" s="555" t="s">
        <v>3031</v>
      </c>
      <c r="F16" s="556"/>
      <c r="G16" s="555" t="s">
        <v>3031</v>
      </c>
      <c r="H16" s="558"/>
      <c r="I16" s="555" t="s">
        <v>3028</v>
      </c>
      <c r="J16" s="554"/>
      <c r="K16" s="869"/>
      <c r="L16" s="2124"/>
      <c r="M16" s="2116"/>
      <c r="N16" s="2116"/>
      <c r="O16" s="2123"/>
      <c r="P16" s="3502"/>
      <c r="Q16" s="1555"/>
      <c r="R16" s="1556"/>
      <c r="S16" s="1557"/>
      <c r="T16" s="1556"/>
      <c r="U16" s="1557"/>
      <c r="V16" s="1556"/>
      <c r="W16" s="1557"/>
      <c r="X16" s="1550"/>
      <c r="Y16" s="3502"/>
      <c r="Z16" s="1558"/>
      <c r="AA16" s="1559">
        <v>1</v>
      </c>
      <c r="AB16" s="1559">
        <v>1</v>
      </c>
      <c r="AC16" s="1559">
        <v>1</v>
      </c>
    </row>
    <row r="17" spans="1:29" ht="15">
      <c r="A17" s="531"/>
      <c r="B17" s="870" t="s">
        <v>296</v>
      </c>
      <c r="C17" s="871" t="str">
        <f>估价对象房地状况!C6</f>
        <v>一般</v>
      </c>
      <c r="D17" s="558">
        <v>100</v>
      </c>
      <c r="E17" s="561"/>
      <c r="F17" s="562">
        <f>SUMIF(78:78,E18,79:79)-SUMIF(78:78,C18,79:79)+100</f>
        <v>104</v>
      </c>
      <c r="G17" s="563"/>
      <c r="H17" s="564">
        <f>SUMIF(78:78,G18,79:79)-SUMIF(78:78,C18,79:79)+100</f>
        <v>104</v>
      </c>
      <c r="I17" s="561"/>
      <c r="J17" s="564">
        <f>SUMIF(78:78,I18,79:79)-SUMIF(78:78,C18,79:79)+100</f>
        <v>100</v>
      </c>
      <c r="K17" s="867">
        <v>4</v>
      </c>
      <c r="L17" s="2124"/>
      <c r="M17" s="2116"/>
      <c r="N17" s="2116"/>
      <c r="O17" s="2123"/>
      <c r="P17" s="3502"/>
      <c r="Q17" s="1555" t="str">
        <f>B17</f>
        <v>交通便捷度</v>
      </c>
      <c r="R17" s="1556" t="s">
        <v>11</v>
      </c>
      <c r="S17" s="1557">
        <f>F17</f>
        <v>104</v>
      </c>
      <c r="T17" s="1556" t="s">
        <v>11</v>
      </c>
      <c r="U17" s="1557">
        <f>H17</f>
        <v>104</v>
      </c>
      <c r="V17" s="1556" t="s">
        <v>11</v>
      </c>
      <c r="W17" s="1557">
        <f>J17</f>
        <v>100</v>
      </c>
      <c r="X17" s="1550"/>
      <c r="Y17" s="3502"/>
      <c r="Z17" s="1558" t="str">
        <f>Q17</f>
        <v>交通便捷度</v>
      </c>
      <c r="AA17" s="1559">
        <f t="shared" si="3"/>
        <v>0.96153846153846156</v>
      </c>
      <c r="AB17" s="1559">
        <f t="shared" si="4"/>
        <v>0.96153846153846156</v>
      </c>
      <c r="AC17" s="1559">
        <f t="shared" si="5"/>
        <v>1</v>
      </c>
    </row>
    <row r="18" spans="1:29" ht="15">
      <c r="A18" s="531"/>
      <c r="B18" s="594"/>
      <c r="C18" s="555" t="s">
        <v>3028</v>
      </c>
      <c r="D18" s="558"/>
      <c r="E18" s="555" t="s">
        <v>3031</v>
      </c>
      <c r="F18" s="562"/>
      <c r="G18" s="555" t="s">
        <v>3031</v>
      </c>
      <c r="H18" s="554"/>
      <c r="I18" s="555" t="s">
        <v>3028</v>
      </c>
      <c r="J18" s="554"/>
      <c r="K18" s="869"/>
      <c r="L18" s="2124"/>
      <c r="M18" s="2116"/>
      <c r="N18" s="2116"/>
      <c r="O18" s="2123"/>
      <c r="P18" s="3502"/>
      <c r="Q18" s="1555"/>
      <c r="R18" s="1556"/>
      <c r="S18" s="1557"/>
      <c r="T18" s="1556"/>
      <c r="U18" s="1557"/>
      <c r="V18" s="1556"/>
      <c r="W18" s="1557"/>
      <c r="X18" s="1550"/>
      <c r="Y18" s="3502"/>
      <c r="Z18" s="1558"/>
      <c r="AA18" s="1559">
        <v>1</v>
      </c>
      <c r="AB18" s="1559">
        <v>1</v>
      </c>
      <c r="AC18" s="1559">
        <v>1</v>
      </c>
    </row>
    <row r="19" spans="1:29" ht="15">
      <c r="A19" s="531"/>
      <c r="B19" s="2561" t="s">
        <v>2541</v>
      </c>
      <c r="C19" s="871" t="str">
        <f>估价对象房地状况!C7</f>
        <v>一般</v>
      </c>
      <c r="D19" s="564">
        <v>100</v>
      </c>
      <c r="E19" s="569"/>
      <c r="F19" s="570">
        <f>SUMIF(80:80,E20,81:81)-SUMIF(80:80,C20,81:81)+100</f>
        <v>100</v>
      </c>
      <c r="G19" s="571"/>
      <c r="H19" s="558">
        <f>SUMIF(80:80,G20,81:81)-SUMIF(80:80,C20,81:81)+100</f>
        <v>100</v>
      </c>
      <c r="I19" s="569"/>
      <c r="J19" s="558">
        <f>SUMIF(80:80,I20,81:81)-SUMIF(80:80,C20,81:81)+100</f>
        <v>100</v>
      </c>
      <c r="K19" s="867">
        <v>2</v>
      </c>
      <c r="L19" s="2124"/>
      <c r="M19" s="2116"/>
      <c r="N19" s="2116"/>
      <c r="O19" s="2123"/>
      <c r="P19" s="3502"/>
      <c r="Q19" s="1555" t="str">
        <f>B19</f>
        <v>公共配套设施</v>
      </c>
      <c r="R19" s="1556" t="s">
        <v>11</v>
      </c>
      <c r="S19" s="1557">
        <f>F19</f>
        <v>100</v>
      </c>
      <c r="T19" s="1556" t="s">
        <v>11</v>
      </c>
      <c r="U19" s="1557">
        <f>H19</f>
        <v>100</v>
      </c>
      <c r="V19" s="1556" t="s">
        <v>11</v>
      </c>
      <c r="W19" s="1557">
        <f>J19</f>
        <v>100</v>
      </c>
      <c r="X19" s="1550"/>
      <c r="Y19" s="3502"/>
      <c r="Z19" s="1558" t="str">
        <f>Q19</f>
        <v>公共配套设施</v>
      </c>
      <c r="AA19" s="1559">
        <f t="shared" si="3"/>
        <v>1</v>
      </c>
      <c r="AB19" s="1559">
        <f t="shared" si="4"/>
        <v>1</v>
      </c>
      <c r="AC19" s="1559">
        <f t="shared" si="5"/>
        <v>1</v>
      </c>
    </row>
    <row r="20" spans="1:29" ht="15">
      <c r="A20" s="531"/>
      <c r="B20" s="594"/>
      <c r="C20" s="555" t="s">
        <v>3028</v>
      </c>
      <c r="D20" s="554"/>
      <c r="E20" s="555" t="s">
        <v>3028</v>
      </c>
      <c r="F20" s="556"/>
      <c r="G20" s="555" t="s">
        <v>3028</v>
      </c>
      <c r="H20" s="554"/>
      <c r="I20" s="555" t="s">
        <v>3028</v>
      </c>
      <c r="J20" s="554"/>
      <c r="K20" s="869"/>
      <c r="L20" s="2124"/>
      <c r="M20" s="2116"/>
      <c r="N20" s="2116"/>
      <c r="O20" s="2123"/>
      <c r="P20" s="3502"/>
      <c r="Q20" s="1555"/>
      <c r="R20" s="1556"/>
      <c r="S20" s="1557"/>
      <c r="T20" s="1556"/>
      <c r="U20" s="1557"/>
      <c r="V20" s="1556"/>
      <c r="W20" s="1557"/>
      <c r="X20" s="1550"/>
      <c r="Y20" s="3502"/>
      <c r="Z20" s="1558"/>
      <c r="AA20" s="1559">
        <v>1</v>
      </c>
      <c r="AB20" s="1559">
        <v>1</v>
      </c>
      <c r="AC20" s="1559">
        <v>1</v>
      </c>
    </row>
    <row r="21" spans="1:29" ht="15">
      <c r="A21" s="531"/>
      <c r="B21" s="2554" t="s">
        <v>2553</v>
      </c>
      <c r="C21" s="871" t="str">
        <f>估价对象房地状况!C8</f>
        <v>六通</v>
      </c>
      <c r="D21" s="564">
        <v>100</v>
      </c>
      <c r="E21" s="571"/>
      <c r="F21" s="570">
        <f>SUMIF(82:82,E22,83:83)-SUMIF(82:82,C22,83:83)+100</f>
        <v>100</v>
      </c>
      <c r="G21" s="571"/>
      <c r="H21" s="564">
        <f>SUMIF(82:82,G22,83:83)-SUMIF(82:82,C22,83:83)+100</f>
        <v>100</v>
      </c>
      <c r="I21" s="569"/>
      <c r="J21" s="564">
        <f>SUMIF(82:82,I22,83:83)-SUMIF(82:82,C22,83:83)+100</f>
        <v>100</v>
      </c>
      <c r="K21" s="867">
        <v>2</v>
      </c>
      <c r="L21" s="2124"/>
      <c r="M21" s="2116"/>
      <c r="N21" s="2116"/>
      <c r="O21" s="2123"/>
      <c r="P21" s="3502"/>
      <c r="Q21" s="2540" t="str">
        <f>B21</f>
        <v>基础设施水平</v>
      </c>
      <c r="R21" s="1556" t="s">
        <v>11</v>
      </c>
      <c r="S21" s="1557">
        <f>F21</f>
        <v>100</v>
      </c>
      <c r="T21" s="1556" t="s">
        <v>11</v>
      </c>
      <c r="U21" s="1557">
        <f>H21</f>
        <v>100</v>
      </c>
      <c r="V21" s="1556" t="s">
        <v>11</v>
      </c>
      <c r="W21" s="1557">
        <f>J21</f>
        <v>100</v>
      </c>
      <c r="X21" s="2542"/>
      <c r="Y21" s="3502"/>
      <c r="Z21" s="2541" t="str">
        <f>Q21</f>
        <v>基础设施水平</v>
      </c>
      <c r="AA21" s="1559">
        <f t="shared" ref="AA21" si="8">D21/F21</f>
        <v>1</v>
      </c>
      <c r="AB21" s="1559">
        <f t="shared" ref="AB21" si="9">D21/H21</f>
        <v>1</v>
      </c>
      <c r="AC21" s="1559">
        <f t="shared" ref="AC21" si="10">D21/J21</f>
        <v>1</v>
      </c>
    </row>
    <row r="22" spans="1:29" ht="15">
      <c r="A22" s="531"/>
      <c r="B22" s="920"/>
      <c r="C22" s="872" t="s">
        <v>3277</v>
      </c>
      <c r="D22" s="554"/>
      <c r="E22" s="575" t="s">
        <v>3277</v>
      </c>
      <c r="F22" s="556"/>
      <c r="G22" s="575" t="s">
        <v>3277</v>
      </c>
      <c r="H22" s="554"/>
      <c r="I22" s="575" t="s">
        <v>3277</v>
      </c>
      <c r="J22" s="554"/>
      <c r="K22" s="2560"/>
      <c r="L22" s="2124"/>
      <c r="M22" s="2116"/>
      <c r="N22" s="2116"/>
      <c r="O22" s="2123"/>
      <c r="P22" s="3502"/>
      <c r="Q22" s="2540"/>
      <c r="R22" s="1556"/>
      <c r="S22" s="1557"/>
      <c r="T22" s="1556"/>
      <c r="U22" s="1557"/>
      <c r="V22" s="1556"/>
      <c r="W22" s="1557"/>
      <c r="X22" s="2542"/>
      <c r="Y22" s="3502"/>
      <c r="Z22" s="2541"/>
      <c r="AA22" s="1559">
        <v>1</v>
      </c>
      <c r="AB22" s="1559">
        <v>1</v>
      </c>
      <c r="AC22" s="1559">
        <v>1</v>
      </c>
    </row>
    <row r="23" spans="1:29" ht="15">
      <c r="A23" s="531"/>
      <c r="B23" s="870" t="s">
        <v>297</v>
      </c>
      <c r="C23" s="871"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67">
        <v>2</v>
      </c>
      <c r="L23" s="2124"/>
      <c r="M23" s="2116"/>
      <c r="N23" s="2116"/>
      <c r="O23" s="2123"/>
      <c r="P23" s="3502"/>
      <c r="Q23" s="1555" t="str">
        <f>B23</f>
        <v>自然及人文环境</v>
      </c>
      <c r="R23" s="1556" t="s">
        <v>11</v>
      </c>
      <c r="S23" s="1557">
        <f>F23</f>
        <v>100</v>
      </c>
      <c r="T23" s="1556" t="s">
        <v>11</v>
      </c>
      <c r="U23" s="1557">
        <f>H23</f>
        <v>100</v>
      </c>
      <c r="V23" s="1556" t="s">
        <v>11</v>
      </c>
      <c r="W23" s="1557">
        <f>J23</f>
        <v>100</v>
      </c>
      <c r="X23" s="1550"/>
      <c r="Y23" s="3502"/>
      <c r="Z23" s="1558" t="str">
        <f>Q23</f>
        <v>自然及人文环境</v>
      </c>
      <c r="AA23" s="1559">
        <f t="shared" si="3"/>
        <v>1</v>
      </c>
      <c r="AB23" s="1559">
        <f t="shared" si="4"/>
        <v>1</v>
      </c>
      <c r="AC23" s="1559">
        <f t="shared" si="5"/>
        <v>1</v>
      </c>
    </row>
    <row r="24" spans="1:29" ht="15">
      <c r="A24" s="531"/>
      <c r="B24" s="594"/>
      <c r="C24" s="555" t="s">
        <v>3028</v>
      </c>
      <c r="D24" s="554"/>
      <c r="E24" s="555" t="s">
        <v>3028</v>
      </c>
      <c r="F24" s="556"/>
      <c r="G24" s="555" t="s">
        <v>3028</v>
      </c>
      <c r="H24" s="554"/>
      <c r="I24" s="555" t="s">
        <v>3028</v>
      </c>
      <c r="J24" s="554"/>
      <c r="K24" s="869"/>
      <c r="L24" s="2124"/>
      <c r="M24" s="2116"/>
      <c r="N24" s="2116"/>
      <c r="O24" s="2123"/>
      <c r="P24" s="3502"/>
      <c r="Q24" s="1555"/>
      <c r="R24" s="1556"/>
      <c r="S24" s="1557"/>
      <c r="T24" s="1556"/>
      <c r="U24" s="1557"/>
      <c r="V24" s="1556"/>
      <c r="W24" s="1557"/>
      <c r="X24" s="1550"/>
      <c r="Y24" s="3502"/>
      <c r="Z24" s="1558"/>
      <c r="AA24" s="1559">
        <v>1</v>
      </c>
      <c r="AB24" s="1559">
        <v>1</v>
      </c>
      <c r="AC24" s="1559">
        <v>1</v>
      </c>
    </row>
    <row r="25" spans="1:29" ht="15">
      <c r="A25" s="531"/>
      <c r="B25" s="1877" t="s">
        <v>2254</v>
      </c>
      <c r="C25" s="573"/>
      <c r="D25" s="539">
        <v>100</v>
      </c>
      <c r="E25" s="873"/>
      <c r="F25" s="574">
        <f>SUMIF(86:86,E25,87:87)-SUMIF(86:86,C25,87:87)+100</f>
        <v>100</v>
      </c>
      <c r="G25" s="598"/>
      <c r="H25" s="539">
        <f>SUMIF(86:86,G25,87:87)-SUMIF(86:86,C25,87:87)+100</f>
        <v>100</v>
      </c>
      <c r="I25" s="873"/>
      <c r="J25" s="539">
        <f>SUMIF(86:86,I25,87:87)-SUMIF(86:86,C25,87:87)+100</f>
        <v>100</v>
      </c>
      <c r="K25" s="863">
        <v>2</v>
      </c>
      <c r="L25" s="2124"/>
      <c r="M25" s="2116"/>
      <c r="N25" s="2116"/>
      <c r="O25" s="2123"/>
      <c r="P25" s="3502"/>
      <c r="Q25" s="1555" t="str">
        <f t="shared" ref="Q25:Q46" si="11">B25</f>
        <v>楼层-1</v>
      </c>
      <c r="R25" s="1556" t="s">
        <v>11</v>
      </c>
      <c r="S25" s="1557">
        <f>F25</f>
        <v>100</v>
      </c>
      <c r="T25" s="1556" t="s">
        <v>11</v>
      </c>
      <c r="U25" s="1557">
        <f>H25</f>
        <v>100</v>
      </c>
      <c r="V25" s="1556" t="s">
        <v>11</v>
      </c>
      <c r="W25" s="1557">
        <f>J25</f>
        <v>100</v>
      </c>
      <c r="X25" s="1550"/>
      <c r="Y25" s="3502"/>
      <c r="Z25" s="1558" t="str">
        <f>Q25</f>
        <v>楼层-1</v>
      </c>
      <c r="AA25" s="1559">
        <f t="shared" si="3"/>
        <v>1</v>
      </c>
      <c r="AB25" s="1559">
        <f t="shared" si="4"/>
        <v>1</v>
      </c>
      <c r="AC25" s="1559">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v>2</v>
      </c>
      <c r="L26" s="2124"/>
      <c r="M26" s="2116"/>
      <c r="N26" s="2116"/>
      <c r="O26" s="2123"/>
      <c r="P26" s="3502"/>
      <c r="Q26" s="1555" t="str">
        <f t="shared" si="11"/>
        <v>朝向</v>
      </c>
      <c r="R26" s="1556" t="s">
        <v>11</v>
      </c>
      <c r="S26" s="1557">
        <f>F26</f>
        <v>100</v>
      </c>
      <c r="T26" s="1556" t="s">
        <v>11</v>
      </c>
      <c r="U26" s="1557">
        <f>H26</f>
        <v>100</v>
      </c>
      <c r="V26" s="1556" t="s">
        <v>11</v>
      </c>
      <c r="W26" s="1557">
        <f>J26</f>
        <v>100</v>
      </c>
      <c r="X26" s="1550"/>
      <c r="Y26" s="3502"/>
      <c r="Z26" s="1558" t="str">
        <f>Q26</f>
        <v>朝向</v>
      </c>
      <c r="AA26" s="1559">
        <f t="shared" si="3"/>
        <v>1</v>
      </c>
      <c r="AB26" s="1559">
        <f t="shared" si="4"/>
        <v>1</v>
      </c>
      <c r="AC26" s="1559">
        <f t="shared" si="5"/>
        <v>1</v>
      </c>
    </row>
    <row r="27" spans="1:29" s="1214"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502"/>
      <c r="Q27" s="1145" t="str">
        <f t="shared" si="11"/>
        <v>道路级别</v>
      </c>
      <c r="R27" s="1551" t="s">
        <v>11</v>
      </c>
      <c r="S27" s="1552">
        <f>F27</f>
        <v>100</v>
      </c>
      <c r="T27" s="1551" t="s">
        <v>11</v>
      </c>
      <c r="U27" s="1552">
        <f>H27</f>
        <v>100</v>
      </c>
      <c r="V27" s="1551" t="s">
        <v>11</v>
      </c>
      <c r="W27" s="1552">
        <f>J27</f>
        <v>100</v>
      </c>
      <c r="X27" s="1553"/>
      <c r="Y27" s="3502"/>
      <c r="Z27" s="1144" t="str">
        <f>Q27</f>
        <v>道路级别</v>
      </c>
      <c r="AA27" s="1559">
        <f>D27/F27</f>
        <v>1</v>
      </c>
      <c r="AB27" s="1559">
        <f>D27/H27</f>
        <v>1</v>
      </c>
      <c r="AC27" s="1559">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502"/>
      <c r="Q28" s="1555">
        <f t="shared" si="11"/>
        <v>111</v>
      </c>
      <c r="R28" s="1556" t="s">
        <v>11</v>
      </c>
      <c r="S28" s="1557">
        <f t="shared" ref="S28:S46" si="12">F28</f>
        <v>100</v>
      </c>
      <c r="T28" s="1556" t="s">
        <v>11</v>
      </c>
      <c r="U28" s="1557">
        <f t="shared" ref="U28:U46" si="13">H28</f>
        <v>100</v>
      </c>
      <c r="V28" s="1556" t="s">
        <v>11</v>
      </c>
      <c r="W28" s="1557">
        <f t="shared" ref="W28:W46" si="14">J28</f>
        <v>100</v>
      </c>
      <c r="X28" s="1550"/>
      <c r="Y28" s="3502"/>
      <c r="Z28" s="1558">
        <f t="shared" ref="Z28:Z46" si="15">Q28</f>
        <v>111</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502"/>
      <c r="Q29" s="1555">
        <f t="shared" si="11"/>
        <v>111</v>
      </c>
      <c r="R29" s="1556" t="s">
        <v>11</v>
      </c>
      <c r="S29" s="1557">
        <f t="shared" si="12"/>
        <v>100</v>
      </c>
      <c r="T29" s="1556" t="s">
        <v>11</v>
      </c>
      <c r="U29" s="1557">
        <f t="shared" si="13"/>
        <v>100</v>
      </c>
      <c r="V29" s="1556" t="s">
        <v>11</v>
      </c>
      <c r="W29" s="1557">
        <f t="shared" si="14"/>
        <v>100</v>
      </c>
      <c r="X29" s="1550"/>
      <c r="Y29" s="3502"/>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502"/>
      <c r="Q30" s="1555">
        <f t="shared" si="11"/>
        <v>111</v>
      </c>
      <c r="R30" s="1556" t="s">
        <v>11</v>
      </c>
      <c r="S30" s="1557">
        <f t="shared" si="12"/>
        <v>100</v>
      </c>
      <c r="T30" s="1556" t="s">
        <v>11</v>
      </c>
      <c r="U30" s="1557">
        <f t="shared" si="13"/>
        <v>100</v>
      </c>
      <c r="V30" s="1556" t="s">
        <v>11</v>
      </c>
      <c r="W30" s="1557">
        <f t="shared" si="14"/>
        <v>100</v>
      </c>
      <c r="X30" s="1550"/>
      <c r="Y30" s="3502"/>
      <c r="Z30" s="1558">
        <f t="shared" si="15"/>
        <v>111</v>
      </c>
      <c r="AA30" s="1559">
        <f t="shared" si="3"/>
        <v>1</v>
      </c>
      <c r="AB30" s="1559">
        <f t="shared" si="4"/>
        <v>1</v>
      </c>
      <c r="AC30" s="1559">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502"/>
      <c r="Q31" s="1555">
        <f t="shared" si="11"/>
        <v>111</v>
      </c>
      <c r="R31" s="1556" t="s">
        <v>11</v>
      </c>
      <c r="S31" s="1557">
        <f t="shared" si="12"/>
        <v>100</v>
      </c>
      <c r="T31" s="1556" t="s">
        <v>11</v>
      </c>
      <c r="U31" s="1557">
        <f t="shared" si="13"/>
        <v>100</v>
      </c>
      <c r="V31" s="1556" t="s">
        <v>11</v>
      </c>
      <c r="W31" s="1557">
        <f t="shared" si="14"/>
        <v>100</v>
      </c>
      <c r="X31" s="1550"/>
      <c r="Y31" s="3502"/>
      <c r="Z31" s="1558">
        <f t="shared" si="15"/>
        <v>111</v>
      </c>
      <c r="AA31" s="1559">
        <f t="shared" si="3"/>
        <v>1</v>
      </c>
      <c r="AB31" s="1559">
        <f t="shared" si="4"/>
        <v>1</v>
      </c>
      <c r="AC31" s="1559">
        <f t="shared" si="5"/>
        <v>1</v>
      </c>
    </row>
    <row r="32" spans="1:29" ht="15">
      <c r="A32" s="2859" t="s">
        <v>2750</v>
      </c>
      <c r="B32" s="3249" t="s">
        <v>725</v>
      </c>
      <c r="C32" s="877" t="s">
        <v>3011</v>
      </c>
      <c r="D32" s="596">
        <v>100</v>
      </c>
      <c r="E32" s="877" t="s">
        <v>3011</v>
      </c>
      <c r="F32" s="574">
        <f>SUMIF(100:100,E32,101:101)-SUMIF(100:100,C32,101:101)+100</f>
        <v>100</v>
      </c>
      <c r="G32" s="877" t="s">
        <v>3011</v>
      </c>
      <c r="H32" s="596">
        <f>SUMIF(100:100,G32,101:101)-SUMIF(100:100,C32,101:101)+100</f>
        <v>100</v>
      </c>
      <c r="I32" s="877" t="s">
        <v>3011</v>
      </c>
      <c r="J32" s="539">
        <f>SUMIF(100:100,I32,101:101)-SUMIF(100:100,C32,101:101)+100</f>
        <v>100</v>
      </c>
      <c r="K32" s="863">
        <v>2</v>
      </c>
      <c r="L32" s="2124"/>
      <c r="M32" s="2116"/>
      <c r="N32" s="2116"/>
      <c r="O32" s="2123"/>
      <c r="P32" s="3503" t="s">
        <v>550</v>
      </c>
      <c r="Q32" s="1555" t="str">
        <f t="shared" si="11"/>
        <v>建筑类型</v>
      </c>
      <c r="R32" s="1556" t="s">
        <v>11</v>
      </c>
      <c r="S32" s="1557">
        <f t="shared" si="12"/>
        <v>100</v>
      </c>
      <c r="T32" s="1556" t="s">
        <v>11</v>
      </c>
      <c r="U32" s="1557">
        <f t="shared" si="13"/>
        <v>100</v>
      </c>
      <c r="V32" s="1556" t="s">
        <v>11</v>
      </c>
      <c r="W32" s="1557">
        <f t="shared" si="14"/>
        <v>100</v>
      </c>
      <c r="X32" s="1550"/>
      <c r="Y32" s="3504" t="s">
        <v>550</v>
      </c>
      <c r="Z32" s="1558" t="str">
        <f t="shared" si="15"/>
        <v>建筑类型</v>
      </c>
      <c r="AA32" s="1559">
        <f t="shared" si="3"/>
        <v>1</v>
      </c>
      <c r="AB32" s="1559">
        <f t="shared" si="4"/>
        <v>1</v>
      </c>
      <c r="AC32" s="1559">
        <f t="shared" si="5"/>
        <v>1</v>
      </c>
    </row>
    <row r="33" spans="1:29" s="1333" customFormat="1" ht="15">
      <c r="A33" s="602"/>
      <c r="B33" s="3269" t="s">
        <v>726</v>
      </c>
      <c r="C33" s="878">
        <f>经济技术指标!D27+经济技术指标!E27+经济技术指标!F27</f>
        <v>221078.81400000001</v>
      </c>
      <c r="D33" s="254">
        <v>100</v>
      </c>
      <c r="E33" s="533">
        <v>290429</v>
      </c>
      <c r="F33" s="862">
        <f>LOOKUP(E33,103:103,104:104)-LOOKUP(C33,103:103,104:104)+100</f>
        <v>100</v>
      </c>
      <c r="G33" s="532">
        <v>103757.75</v>
      </c>
      <c r="H33" s="254">
        <f>LOOKUP(G33,103:103,104:104)-LOOKUP(C33,103:103,104:104)+100</f>
        <v>96</v>
      </c>
      <c r="I33" s="533">
        <v>581373</v>
      </c>
      <c r="J33" s="254">
        <f>LOOKUP(I33,103:103,104:104)-LOOKUP(C33,103:103,104:104)+100</f>
        <v>102</v>
      </c>
      <c r="K33" s="864"/>
      <c r="L33" s="2122"/>
      <c r="M33" s="2153"/>
      <c r="N33" s="2153"/>
      <c r="O33" s="2125"/>
      <c r="P33" s="3504"/>
      <c r="Q33" s="1587" t="str">
        <f t="shared" si="11"/>
        <v>项目建筑规模</v>
      </c>
      <c r="R33" s="1560" t="s">
        <v>11</v>
      </c>
      <c r="S33" s="1561">
        <f t="shared" si="12"/>
        <v>100</v>
      </c>
      <c r="T33" s="1560" t="s">
        <v>11</v>
      </c>
      <c r="U33" s="1561">
        <f t="shared" si="13"/>
        <v>96</v>
      </c>
      <c r="V33" s="1560" t="s">
        <v>11</v>
      </c>
      <c r="W33" s="1561">
        <f t="shared" si="14"/>
        <v>102</v>
      </c>
      <c r="X33" s="1562"/>
      <c r="Y33" s="3504"/>
      <c r="Z33" s="1563" t="str">
        <f t="shared" si="15"/>
        <v>项目建筑规模</v>
      </c>
      <c r="AA33" s="1559">
        <f t="shared" si="3"/>
        <v>1</v>
      </c>
      <c r="AB33" s="1559">
        <f t="shared" si="4"/>
        <v>1.0416666666666667</v>
      </c>
      <c r="AC33" s="1559">
        <f t="shared" si="5"/>
        <v>0.98039215686274506</v>
      </c>
    </row>
    <row r="34" spans="1:29" ht="15">
      <c r="A34" s="593"/>
      <c r="B34" s="3243" t="s">
        <v>727</v>
      </c>
      <c r="C34" s="879" t="s">
        <v>3036</v>
      </c>
      <c r="D34" s="539">
        <v>100</v>
      </c>
      <c r="E34" s="879" t="s">
        <v>3036</v>
      </c>
      <c r="F34" s="574">
        <f>SUMIF(105:105,E34,106:106)-SUMIF(105:105,C34,106:106)+100</f>
        <v>100</v>
      </c>
      <c r="G34" s="879" t="s">
        <v>3036</v>
      </c>
      <c r="H34" s="539">
        <f>SUMIF(105:105,G34,106:106)-SUMIF(105:105,C34,106:106)+100</f>
        <v>100</v>
      </c>
      <c r="I34" s="879" t="s">
        <v>3036</v>
      </c>
      <c r="J34" s="539">
        <f>SUMIF(105:105,I34,106:106)-SUMIF(105:105,C34,106:106)+100</f>
        <v>100</v>
      </c>
      <c r="K34" s="863">
        <v>2</v>
      </c>
      <c r="L34" s="2124"/>
      <c r="M34" s="2116"/>
      <c r="N34" s="2116"/>
      <c r="O34" s="2123"/>
      <c r="P34" s="3504"/>
      <c r="Q34" s="1555" t="str">
        <f t="shared" si="11"/>
        <v>建筑结构</v>
      </c>
      <c r="R34" s="1556" t="s">
        <v>11</v>
      </c>
      <c r="S34" s="1557">
        <f t="shared" si="12"/>
        <v>100</v>
      </c>
      <c r="T34" s="1556" t="s">
        <v>11</v>
      </c>
      <c r="U34" s="1557">
        <f t="shared" si="13"/>
        <v>100</v>
      </c>
      <c r="V34" s="1556" t="s">
        <v>11</v>
      </c>
      <c r="W34" s="1557">
        <f t="shared" si="14"/>
        <v>100</v>
      </c>
      <c r="X34" s="1550"/>
      <c r="Y34" s="3504"/>
      <c r="Z34" s="1558" t="str">
        <f t="shared" si="15"/>
        <v>建筑结构</v>
      </c>
      <c r="AA34" s="1559">
        <f t="shared" si="3"/>
        <v>1</v>
      </c>
      <c r="AB34" s="1559">
        <f t="shared" si="4"/>
        <v>1</v>
      </c>
      <c r="AC34" s="1559">
        <f t="shared" si="5"/>
        <v>1</v>
      </c>
    </row>
    <row r="35" spans="1:29" ht="15">
      <c r="A35" s="593"/>
      <c r="B35" s="3243" t="s">
        <v>728</v>
      </c>
      <c r="C35" s="598" t="s">
        <v>3304</v>
      </c>
      <c r="D35" s="539">
        <v>100</v>
      </c>
      <c r="E35" s="598" t="s">
        <v>3304</v>
      </c>
      <c r="F35" s="574">
        <f>SUMIF(107:107,E35,108:108)-SUMIF(107:107,C35,108:108)+100</f>
        <v>100</v>
      </c>
      <c r="G35" s="598" t="s">
        <v>3304</v>
      </c>
      <c r="H35" s="539">
        <f>SUMIF(107:107,G35,108:108)-SUMIF(107:107,C35,108:108)+100</f>
        <v>100</v>
      </c>
      <c r="I35" s="598" t="s">
        <v>3304</v>
      </c>
      <c r="J35" s="539">
        <f>SUMIF(107:107,I35,108:108)-SUMIF(107:107,C35,108:108)+100</f>
        <v>100</v>
      </c>
      <c r="K35" s="863">
        <v>2</v>
      </c>
      <c r="L35" s="2124"/>
      <c r="M35" s="2116"/>
      <c r="N35" s="2116"/>
      <c r="O35" s="2123"/>
      <c r="P35" s="3504"/>
      <c r="Q35" s="1555" t="str">
        <f t="shared" si="11"/>
        <v>建筑品质</v>
      </c>
      <c r="R35" s="1556" t="s">
        <v>11</v>
      </c>
      <c r="S35" s="1557">
        <f t="shared" si="12"/>
        <v>100</v>
      </c>
      <c r="T35" s="1556" t="s">
        <v>11</v>
      </c>
      <c r="U35" s="1557">
        <f t="shared" si="13"/>
        <v>100</v>
      </c>
      <c r="V35" s="1556" t="s">
        <v>11</v>
      </c>
      <c r="W35" s="1557">
        <f t="shared" si="14"/>
        <v>100</v>
      </c>
      <c r="X35" s="1550"/>
      <c r="Y35" s="3504"/>
      <c r="Z35" s="1558" t="str">
        <f t="shared" si="15"/>
        <v>建筑品质</v>
      </c>
      <c r="AA35" s="1559">
        <f t="shared" si="3"/>
        <v>1</v>
      </c>
      <c r="AB35" s="1559">
        <f t="shared" si="4"/>
        <v>1</v>
      </c>
      <c r="AC35" s="1559">
        <f t="shared" si="5"/>
        <v>1</v>
      </c>
    </row>
    <row r="36" spans="1:29" ht="15">
      <c r="A36" s="593"/>
      <c r="B36" s="3243" t="s">
        <v>729</v>
      </c>
      <c r="C36" s="598" t="s">
        <v>3313</v>
      </c>
      <c r="D36" s="539">
        <v>100</v>
      </c>
      <c r="E36" s="598" t="s">
        <v>3313</v>
      </c>
      <c r="F36" s="574">
        <f>SUMIF(109:109,E36,110:110)-SUMIF(109:109,C36,110:110)+100</f>
        <v>100</v>
      </c>
      <c r="G36" s="598" t="s">
        <v>3313</v>
      </c>
      <c r="H36" s="539">
        <f>SUMIF(109:109,G36,110:110)-SUMIF(109:109,C36,110:110)+100</f>
        <v>100</v>
      </c>
      <c r="I36" s="598" t="s">
        <v>3313</v>
      </c>
      <c r="J36" s="539">
        <f>SUMIF(109:109,I36,110:110)-SUMIF(109:109,C36,110:110)+100</f>
        <v>100</v>
      </c>
      <c r="K36" s="863">
        <v>2</v>
      </c>
      <c r="L36" s="2124"/>
      <c r="M36" s="2116"/>
      <c r="N36" s="2116"/>
      <c r="O36" s="2123"/>
      <c r="P36" s="3504"/>
      <c r="Q36" s="1555" t="str">
        <f t="shared" si="11"/>
        <v>公共部分装修</v>
      </c>
      <c r="R36" s="1556" t="s">
        <v>11</v>
      </c>
      <c r="S36" s="1557">
        <f t="shared" si="12"/>
        <v>100</v>
      </c>
      <c r="T36" s="1556" t="s">
        <v>11</v>
      </c>
      <c r="U36" s="1557">
        <f t="shared" si="13"/>
        <v>100</v>
      </c>
      <c r="V36" s="1556" t="s">
        <v>11</v>
      </c>
      <c r="W36" s="1557">
        <f t="shared" si="14"/>
        <v>100</v>
      </c>
      <c r="X36" s="1550"/>
      <c r="Y36" s="3504"/>
      <c r="Z36" s="1558" t="str">
        <f t="shared" si="15"/>
        <v>公共部分装修</v>
      </c>
      <c r="AA36" s="1559">
        <f t="shared" si="3"/>
        <v>1</v>
      </c>
      <c r="AB36" s="1559">
        <f t="shared" si="4"/>
        <v>1</v>
      </c>
      <c r="AC36" s="1559">
        <f t="shared" si="5"/>
        <v>1</v>
      </c>
    </row>
    <row r="37" spans="1:29" s="1214"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17"/>
      <c r="M37" s="2118"/>
      <c r="N37" s="2118"/>
      <c r="O37" s="2119"/>
      <c r="P37" s="3504"/>
      <c r="Q37" s="1145" t="str">
        <f t="shared" si="11"/>
        <v>成新度</v>
      </c>
      <c r="R37" s="1551" t="s">
        <v>11</v>
      </c>
      <c r="S37" s="1552">
        <f t="shared" si="12"/>
        <v>100</v>
      </c>
      <c r="T37" s="1551" t="s">
        <v>11</v>
      </c>
      <c r="U37" s="1552">
        <f t="shared" si="13"/>
        <v>100</v>
      </c>
      <c r="V37" s="1551" t="s">
        <v>11</v>
      </c>
      <c r="W37" s="1552">
        <f t="shared" si="14"/>
        <v>100</v>
      </c>
      <c r="X37" s="1553"/>
      <c r="Y37" s="3504"/>
      <c r="Z37" s="1144" t="str">
        <f t="shared" si="15"/>
        <v>成新度</v>
      </c>
      <c r="AA37" s="1554">
        <f t="shared" si="3"/>
        <v>1</v>
      </c>
      <c r="AB37" s="1554">
        <f t="shared" si="4"/>
        <v>1</v>
      </c>
      <c r="AC37" s="1554">
        <f t="shared" si="5"/>
        <v>1</v>
      </c>
    </row>
    <row r="38" spans="1:29" ht="15">
      <c r="A38" s="593"/>
      <c r="B38" s="3243" t="s">
        <v>731</v>
      </c>
      <c r="C38" s="598" t="s">
        <v>3306</v>
      </c>
      <c r="D38" s="539">
        <v>100</v>
      </c>
      <c r="E38" s="598" t="s">
        <v>3306</v>
      </c>
      <c r="F38" s="574">
        <f>SUMIF(114:114,E38,115:115)-SUMIF(114:114,C38,115:115)+100</f>
        <v>100</v>
      </c>
      <c r="G38" s="598" t="s">
        <v>3306</v>
      </c>
      <c r="H38" s="539">
        <f>SUMIF(114:114,G38,115:115)-SUMIF(114:114,C38,115:115)+100</f>
        <v>100</v>
      </c>
      <c r="I38" s="598" t="s">
        <v>3306</v>
      </c>
      <c r="J38" s="539">
        <f>SUMIF(114:114,I38,115:115)-SUMIF(114:114,C38,115:115)+100</f>
        <v>100</v>
      </c>
      <c r="K38" s="863">
        <v>2</v>
      </c>
      <c r="L38" s="2124"/>
      <c r="M38" s="2116"/>
      <c r="N38" s="2116"/>
      <c r="O38" s="2123"/>
      <c r="P38" s="3504" t="s">
        <v>550</v>
      </c>
      <c r="Q38" s="1555" t="str">
        <f t="shared" si="11"/>
        <v>物业管理</v>
      </c>
      <c r="R38" s="1556" t="s">
        <v>11</v>
      </c>
      <c r="S38" s="1557">
        <f t="shared" si="12"/>
        <v>100</v>
      </c>
      <c r="T38" s="1556" t="s">
        <v>11</v>
      </c>
      <c r="U38" s="1557">
        <f t="shared" si="13"/>
        <v>100</v>
      </c>
      <c r="V38" s="1556" t="s">
        <v>11</v>
      </c>
      <c r="W38" s="1557">
        <f t="shared" si="14"/>
        <v>100</v>
      </c>
      <c r="X38" s="1550"/>
      <c r="Y38" s="3504" t="s">
        <v>550</v>
      </c>
      <c r="Z38" s="1558" t="str">
        <f t="shared" si="15"/>
        <v>物业管理</v>
      </c>
      <c r="AA38" s="1559">
        <f t="shared" si="3"/>
        <v>1</v>
      </c>
      <c r="AB38" s="1559">
        <f t="shared" si="4"/>
        <v>1</v>
      </c>
      <c r="AC38" s="1559">
        <f t="shared" si="5"/>
        <v>1</v>
      </c>
    </row>
    <row r="39" spans="1:29" ht="15">
      <c r="A39" s="593"/>
      <c r="B39" s="3270" t="s">
        <v>2559</v>
      </c>
      <c r="C39" s="598" t="s">
        <v>3277</v>
      </c>
      <c r="D39" s="539">
        <v>100</v>
      </c>
      <c r="E39" s="598" t="s">
        <v>3277</v>
      </c>
      <c r="F39" s="574">
        <f>SUMIF(116:116,E39,117:117)-SUMIF(116:116,C39,117:117)+100</f>
        <v>100</v>
      </c>
      <c r="G39" s="598" t="s">
        <v>3277</v>
      </c>
      <c r="H39" s="539">
        <f>SUMIF(116:116,G39,117:117)-SUMIF(116:116,C39,117:117)+100</f>
        <v>100</v>
      </c>
      <c r="I39" s="598" t="s">
        <v>3277</v>
      </c>
      <c r="J39" s="539">
        <f>SUMIF(116:116,I39,117:117)-SUMIF(116:116,C39,117:117)+100</f>
        <v>100</v>
      </c>
      <c r="K39" s="863">
        <v>2</v>
      </c>
      <c r="L39" s="2124"/>
      <c r="M39" s="2116"/>
      <c r="N39" s="2116"/>
      <c r="O39" s="2123"/>
      <c r="P39" s="3504"/>
      <c r="Q39" s="1555" t="str">
        <f t="shared" si="11"/>
        <v>市政基础设施</v>
      </c>
      <c r="R39" s="1556" t="s">
        <v>11</v>
      </c>
      <c r="S39" s="1557">
        <f t="shared" si="12"/>
        <v>100</v>
      </c>
      <c r="T39" s="1556" t="s">
        <v>11</v>
      </c>
      <c r="U39" s="1557">
        <f t="shared" si="13"/>
        <v>100</v>
      </c>
      <c r="V39" s="1556" t="s">
        <v>11</v>
      </c>
      <c r="W39" s="1557">
        <f t="shared" si="14"/>
        <v>100</v>
      </c>
      <c r="X39" s="1550"/>
      <c r="Y39" s="3504"/>
      <c r="Z39" s="1558" t="str">
        <f t="shared" si="15"/>
        <v>市政基础设施</v>
      </c>
      <c r="AA39" s="1559">
        <f t="shared" si="3"/>
        <v>1</v>
      </c>
      <c r="AB39" s="1559">
        <f t="shared" si="4"/>
        <v>1</v>
      </c>
      <c r="AC39" s="1559">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24"/>
      <c r="M40" s="2116"/>
      <c r="N40" s="2116"/>
      <c r="O40" s="2123"/>
      <c r="P40" s="3504"/>
      <c r="Q40" s="1555" t="str">
        <f t="shared" si="11"/>
        <v>房型</v>
      </c>
      <c r="R40" s="1556" t="s">
        <v>11</v>
      </c>
      <c r="S40" s="1557">
        <f t="shared" si="12"/>
        <v>100</v>
      </c>
      <c r="T40" s="1556" t="s">
        <v>11</v>
      </c>
      <c r="U40" s="1557">
        <f t="shared" si="13"/>
        <v>100</v>
      </c>
      <c r="V40" s="1556" t="s">
        <v>11</v>
      </c>
      <c r="W40" s="1557">
        <f t="shared" si="14"/>
        <v>100</v>
      </c>
      <c r="X40" s="1550"/>
      <c r="Y40" s="3504"/>
      <c r="Z40" s="1558" t="str">
        <f t="shared" si="15"/>
        <v>房型</v>
      </c>
      <c r="AA40" s="1559">
        <f t="shared" si="3"/>
        <v>1</v>
      </c>
      <c r="AB40" s="1559">
        <f t="shared" si="4"/>
        <v>1</v>
      </c>
      <c r="AC40" s="1559">
        <f t="shared" si="5"/>
        <v>1</v>
      </c>
    </row>
    <row r="41" spans="1:29" s="1333" customFormat="1" ht="28.5">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22"/>
      <c r="M41" s="2153"/>
      <c r="N41" s="2153"/>
      <c r="O41" s="2125"/>
      <c r="P41" s="3504"/>
      <c r="Q41" s="1587" t="str">
        <f t="shared" si="11"/>
        <v>单套/主力户型建筑面积</v>
      </c>
      <c r="R41" s="1560" t="s">
        <v>11</v>
      </c>
      <c r="S41" s="1561">
        <f t="shared" si="12"/>
        <v>100</v>
      </c>
      <c r="T41" s="1560" t="s">
        <v>11</v>
      </c>
      <c r="U41" s="1561">
        <f t="shared" si="13"/>
        <v>100</v>
      </c>
      <c r="V41" s="1560" t="s">
        <v>11</v>
      </c>
      <c r="W41" s="1561">
        <f t="shared" si="14"/>
        <v>100</v>
      </c>
      <c r="X41" s="1562"/>
      <c r="Y41" s="3504"/>
      <c r="Z41" s="1563" t="str">
        <f t="shared" si="15"/>
        <v>单套/主力户型建筑面积</v>
      </c>
      <c r="AA41" s="1559">
        <f t="shared" si="3"/>
        <v>1</v>
      </c>
      <c r="AB41" s="1559">
        <f t="shared" si="4"/>
        <v>1</v>
      </c>
      <c r="AC41" s="1559">
        <f t="shared" si="5"/>
        <v>1</v>
      </c>
    </row>
    <row r="42" spans="1:29" ht="15">
      <c r="A42" s="593"/>
      <c r="B42" s="526" t="s">
        <v>734</v>
      </c>
      <c r="C42" s="598" t="s">
        <v>3275</v>
      </c>
      <c r="D42" s="539">
        <v>100</v>
      </c>
      <c r="E42" s="598" t="s">
        <v>3275</v>
      </c>
      <c r="F42" s="574">
        <f>SUMIF(122:122,E42,123:123)-SUMIF(122:122,C42,123:123)+100</f>
        <v>100</v>
      </c>
      <c r="G42" s="598" t="s">
        <v>3271</v>
      </c>
      <c r="H42" s="539">
        <f>SUMIF(122:122,G42,123:123)-SUMIF(122:122,C42,123:123)+100</f>
        <v>109</v>
      </c>
      <c r="I42" s="598" t="s">
        <v>3275</v>
      </c>
      <c r="J42" s="539">
        <f>SUMIF(122:122,I42,123:123)-SUMIF(122:122,C42,123:123)+100</f>
        <v>100</v>
      </c>
      <c r="K42" s="863">
        <v>3</v>
      </c>
      <c r="L42" s="2124"/>
      <c r="M42" s="2116"/>
      <c r="N42" s="2116"/>
      <c r="O42" s="2123"/>
      <c r="P42" s="3504"/>
      <c r="Q42" s="1555" t="str">
        <f t="shared" si="11"/>
        <v>内部装修</v>
      </c>
      <c r="R42" s="1556" t="s">
        <v>11</v>
      </c>
      <c r="S42" s="1557">
        <f t="shared" si="12"/>
        <v>100</v>
      </c>
      <c r="T42" s="1556" t="s">
        <v>11</v>
      </c>
      <c r="U42" s="1557">
        <f t="shared" si="13"/>
        <v>109</v>
      </c>
      <c r="V42" s="1556" t="s">
        <v>11</v>
      </c>
      <c r="W42" s="1557">
        <f t="shared" si="14"/>
        <v>100</v>
      </c>
      <c r="X42" s="1550"/>
      <c r="Y42" s="3504"/>
      <c r="Z42" s="1558" t="str">
        <f t="shared" si="15"/>
        <v>内部装修</v>
      </c>
      <c r="AA42" s="1559">
        <f t="shared" si="3"/>
        <v>1</v>
      </c>
      <c r="AB42" s="1559">
        <f t="shared" si="4"/>
        <v>0.91743119266055051</v>
      </c>
      <c r="AC42" s="1559">
        <f t="shared" si="5"/>
        <v>1</v>
      </c>
    </row>
    <row r="43" spans="1:29" ht="27">
      <c r="A43" s="593"/>
      <c r="B43" s="526" t="s">
        <v>735</v>
      </c>
      <c r="C43" s="598" t="s">
        <v>3031</v>
      </c>
      <c r="D43" s="539">
        <v>100</v>
      </c>
      <c r="E43" s="598" t="s">
        <v>3031</v>
      </c>
      <c r="F43" s="574">
        <f>SUMIF(124:124,E43,125:125)-SUMIF(124:124,C43,125:125)+100</f>
        <v>100</v>
      </c>
      <c r="G43" s="598" t="s">
        <v>3031</v>
      </c>
      <c r="H43" s="539">
        <f>SUMIF(124:124,G43,125:125)-SUMIF(124:124,C43,125:125)+100</f>
        <v>100</v>
      </c>
      <c r="I43" s="598" t="s">
        <v>3031</v>
      </c>
      <c r="J43" s="539">
        <f>SUMIF(124:124,I43,125:125)-SUMIF(124:124,C43,125:125)+100</f>
        <v>100</v>
      </c>
      <c r="K43" s="863">
        <v>2</v>
      </c>
      <c r="L43" s="2124"/>
      <c r="M43" s="2116"/>
      <c r="N43" s="2116"/>
      <c r="O43" s="2123"/>
      <c r="P43" s="3504"/>
      <c r="Q43" s="1555" t="str">
        <f t="shared" si="11"/>
        <v>内部装修维护情况</v>
      </c>
      <c r="R43" s="1556" t="s">
        <v>11</v>
      </c>
      <c r="S43" s="1557">
        <f t="shared" si="12"/>
        <v>100</v>
      </c>
      <c r="T43" s="1556" t="s">
        <v>11</v>
      </c>
      <c r="U43" s="1557">
        <f t="shared" si="13"/>
        <v>100</v>
      </c>
      <c r="V43" s="1556" t="s">
        <v>11</v>
      </c>
      <c r="W43" s="1557">
        <f t="shared" si="14"/>
        <v>100</v>
      </c>
      <c r="X43" s="1550"/>
      <c r="Y43" s="3504"/>
      <c r="Z43" s="1558" t="str">
        <f t="shared" si="15"/>
        <v>内部装修维护情况</v>
      </c>
      <c r="AA43" s="1559">
        <f t="shared" si="3"/>
        <v>1</v>
      </c>
      <c r="AB43" s="1559">
        <f t="shared" si="4"/>
        <v>1</v>
      </c>
      <c r="AC43" s="1559">
        <f t="shared" si="5"/>
        <v>1</v>
      </c>
    </row>
    <row r="44" spans="1:29" s="1214"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7"/>
      <c r="M44" s="2118"/>
      <c r="N44" s="2118"/>
      <c r="O44" s="2119"/>
      <c r="P44" s="3504"/>
      <c r="Q44" s="1145">
        <f t="shared" si="11"/>
        <v>111</v>
      </c>
      <c r="R44" s="1551" t="s">
        <v>11</v>
      </c>
      <c r="S44" s="1552">
        <f t="shared" si="12"/>
        <v>100</v>
      </c>
      <c r="T44" s="1551" t="s">
        <v>11</v>
      </c>
      <c r="U44" s="1552">
        <f t="shared" si="13"/>
        <v>100</v>
      </c>
      <c r="V44" s="1551" t="s">
        <v>11</v>
      </c>
      <c r="W44" s="1552">
        <f t="shared" si="14"/>
        <v>100</v>
      </c>
      <c r="X44" s="1553"/>
      <c r="Y44" s="3504"/>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504"/>
      <c r="Q45" s="1555">
        <f t="shared" si="11"/>
        <v>111</v>
      </c>
      <c r="R45" s="1556" t="s">
        <v>11</v>
      </c>
      <c r="S45" s="1557">
        <f t="shared" si="12"/>
        <v>100</v>
      </c>
      <c r="T45" s="1556" t="s">
        <v>11</v>
      </c>
      <c r="U45" s="1557">
        <f t="shared" si="13"/>
        <v>100</v>
      </c>
      <c r="V45" s="1556" t="s">
        <v>11</v>
      </c>
      <c r="W45" s="1557">
        <f t="shared" si="14"/>
        <v>100</v>
      </c>
      <c r="X45" s="1550"/>
      <c r="Y45" s="3504"/>
      <c r="Z45" s="1558">
        <f t="shared" si="15"/>
        <v>111</v>
      </c>
      <c r="AA45" s="1559">
        <f t="shared" si="3"/>
        <v>1</v>
      </c>
      <c r="AB45" s="1559">
        <f t="shared" si="4"/>
        <v>1</v>
      </c>
      <c r="AC45" s="1559">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583"/>
      <c r="Q46" s="1555">
        <f t="shared" si="11"/>
        <v>111</v>
      </c>
      <c r="R46" s="1556" t="s">
        <v>10</v>
      </c>
      <c r="S46" s="1557">
        <f t="shared" si="12"/>
        <v>100</v>
      </c>
      <c r="T46" s="1556" t="s">
        <v>10</v>
      </c>
      <c r="U46" s="1557">
        <f t="shared" si="13"/>
        <v>100</v>
      </c>
      <c r="V46" s="1556" t="s">
        <v>10</v>
      </c>
      <c r="W46" s="1557">
        <f t="shared" si="14"/>
        <v>100</v>
      </c>
      <c r="X46" s="1550"/>
      <c r="Y46" s="3583"/>
      <c r="Z46" s="1558">
        <f t="shared" si="15"/>
        <v>111</v>
      </c>
      <c r="AA46" s="1559">
        <f t="shared" si="3"/>
        <v>1</v>
      </c>
      <c r="AB46" s="1559">
        <f t="shared" si="4"/>
        <v>1</v>
      </c>
      <c r="AC46" s="1559">
        <f t="shared" si="5"/>
        <v>1</v>
      </c>
    </row>
    <row r="47" spans="1:29" ht="15">
      <c r="A47" s="606" t="s">
        <v>736</v>
      </c>
      <c r="B47" s="885"/>
      <c r="C47" s="2588" t="s">
        <v>9</v>
      </c>
      <c r="D47" s="2589"/>
      <c r="E47" s="2590">
        <v>8300</v>
      </c>
      <c r="F47" s="2591"/>
      <c r="G47" s="2592">
        <v>9500</v>
      </c>
      <c r="H47" s="2593"/>
      <c r="I47" s="2590">
        <v>8500</v>
      </c>
      <c r="J47" s="2593"/>
      <c r="K47" s="1588"/>
      <c r="L47" s="2126"/>
      <c r="M47" s="2127"/>
      <c r="N47" s="2116"/>
      <c r="O47" s="2127"/>
      <c r="P47" s="3467" t="str">
        <f>A47</f>
        <v>成交单价（元/平方米）</v>
      </c>
      <c r="Q47" s="3467"/>
      <c r="R47" s="3582">
        <f>E47</f>
        <v>8300</v>
      </c>
      <c r="S47" s="3582"/>
      <c r="T47" s="3582">
        <f>G47</f>
        <v>9500</v>
      </c>
      <c r="U47" s="3582"/>
      <c r="V47" s="3582">
        <f>I47</f>
        <v>8500</v>
      </c>
      <c r="W47" s="3582"/>
      <c r="X47" s="1542"/>
      <c r="Y47" s="1564"/>
      <c r="Z47" s="1542"/>
      <c r="AA47" s="1542"/>
      <c r="AB47" s="1542"/>
      <c r="AC47" s="1542"/>
    </row>
    <row r="48" spans="1:29" ht="15.75" thickBot="1">
      <c r="A48" s="614" t="s">
        <v>2755</v>
      </c>
      <c r="B48" s="886"/>
      <c r="C48" s="2594">
        <f>R49</f>
        <v>8139</v>
      </c>
      <c r="D48" s="2595"/>
      <c r="E48" s="2596">
        <f>R48</f>
        <v>7601</v>
      </c>
      <c r="F48" s="2596"/>
      <c r="G48" s="2594">
        <f>T48</f>
        <v>8484</v>
      </c>
      <c r="H48" s="2595"/>
      <c r="I48" s="2596">
        <f>V48</f>
        <v>8333</v>
      </c>
      <c r="J48" s="2595"/>
      <c r="K48" s="1589"/>
      <c r="L48" s="2126"/>
      <c r="M48" s="2127"/>
      <c r="N48" s="2127"/>
      <c r="O48" s="2127"/>
      <c r="P48" s="3467" t="str">
        <f>A48</f>
        <v>比较价格（元/平方米）</v>
      </c>
      <c r="Q48" s="3467"/>
      <c r="R48" s="3582">
        <f>IF(F1="售价",ROUND(PRODUCT(R47,AA7:AA46),0),ROUND(PRODUCT(R47,AA7:AA46),1))</f>
        <v>7601</v>
      </c>
      <c r="S48" s="3582"/>
      <c r="T48" s="3582">
        <f>IF(F1="售价",ROUND(PRODUCT(T47,AB7:AB46),0),ROUND(PRODUCT(T47,AB7:AB46),1))</f>
        <v>8484</v>
      </c>
      <c r="U48" s="3582"/>
      <c r="V48" s="3582">
        <f>IF(F1="售价",ROUND(PRODUCT(V47,AC7:AC46),0),ROUND(PRODUCT(V47,AC7:AC46),1))</f>
        <v>8333</v>
      </c>
      <c r="W48" s="3582"/>
      <c r="X48" s="1542"/>
      <c r="Y48" s="1542"/>
      <c r="Z48" s="1542"/>
      <c r="AA48" s="1542"/>
      <c r="AB48" s="1542"/>
      <c r="AC48" s="1542"/>
    </row>
    <row r="49" spans="1:29" ht="15.75" thickBot="1">
      <c r="A49" s="620" t="s">
        <v>2928</v>
      </c>
      <c r="B49" s="621"/>
      <c r="C49" s="2597">
        <f>R49</f>
        <v>8139</v>
      </c>
      <c r="D49" s="2597"/>
      <c r="E49" s="2597"/>
      <c r="F49" s="2597"/>
      <c r="G49" s="2597"/>
      <c r="H49" s="2597"/>
      <c r="I49" s="2597"/>
      <c r="J49" s="2597"/>
      <c r="K49" s="1590"/>
      <c r="L49" s="2126"/>
      <c r="M49" s="2127"/>
      <c r="N49" s="2127"/>
      <c r="O49" s="2127"/>
      <c r="P49" s="3464" t="str">
        <f>A49</f>
        <v>估价对象XX用房的比较价格（楼面单价，元/平方米）</v>
      </c>
      <c r="Q49" s="3465"/>
      <c r="R49" s="3581">
        <f>IF(F1="售价",ROUND(AVERAGE(R48:V48),0),ROUND(AVERAGE(R48:V48),1))</f>
        <v>8139</v>
      </c>
      <c r="S49" s="3581"/>
      <c r="T49" s="3581"/>
      <c r="U49" s="3581"/>
      <c r="V49" s="3581"/>
      <c r="W49" s="3581"/>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f>IF(E47&lt;E48,E48/E47-1,E47/E48-1)</f>
        <v>9.1961584002105079E-2</v>
      </c>
      <c r="F52" s="626" t="str">
        <f>IF(OR(E52&gt;=0.3,E52&lt;=-0.3),"超过30%","")</f>
        <v/>
      </c>
      <c r="G52" s="625">
        <f>IF(G47&lt;G48,G48/G47-1,G47/G48-1)</f>
        <v>0.11975483262611974</v>
      </c>
      <c r="H52" s="626" t="str">
        <f>IF(OR(G52&gt;=0.3,G52&lt;=-0.3),"超过30%","")</f>
        <v/>
      </c>
      <c r="I52" s="625">
        <f>IF(I47&lt;I48,I48/I47-1,I47/I48-1)</f>
        <v>2.004080163206523E-2</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f>IF(E48&lt;G48,G48/E48-1,E48/G48-1)</f>
        <v>0.11616892514142885</v>
      </c>
      <c r="F53" s="626" t="str">
        <f>IF(OR(E53&gt;=0.2,E53&lt;=-0.2),"超过20%","")</f>
        <v/>
      </c>
      <c r="G53" s="625">
        <f>IF(G48&lt;I48,I48/G48-1,G48/I48-1)</f>
        <v>1.8120724828993184E-2</v>
      </c>
      <c r="H53" s="626" t="str">
        <f>IF(OR(G53&gt;=0.2,G53&lt;=-0.2),"超过20%","")</f>
        <v/>
      </c>
      <c r="I53" s="625">
        <f>IF(I48&lt;E48,E48/I48-1,I48/E48-1)</f>
        <v>9.6303118010788058E-2</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559</v>
      </c>
      <c r="D54" s="627"/>
      <c r="E54" s="625">
        <f>IF(E47&lt;G47,G47/E47-1,E47/G47-1)</f>
        <v>0.14457831325301207</v>
      </c>
      <c r="F54" s="626" t="str">
        <f>IF(OR(E54&gt;=0.3,E54&lt;=-0.3),"超过30%","")</f>
        <v/>
      </c>
      <c r="G54" s="625">
        <f>IF(G47&lt;I47,I47/G47-1,G47/I47-1)</f>
        <v>0.11764705882352944</v>
      </c>
      <c r="H54" s="626" t="str">
        <f>IF(OR(G54&gt;=0.3,G54&lt;=-0.3),"超过30%","")</f>
        <v/>
      </c>
      <c r="I54" s="625">
        <f>IF(I47&lt;E47,E47/I47-1,I47/E47-1)</f>
        <v>2.4096385542168752E-2</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4" t="s">
        <v>529</v>
      </c>
      <c r="B58" s="645"/>
      <c r="C58" s="2756" t="str">
        <f>YEAR(C7)&amp;"-"&amp;MONTH(C7)</f>
        <v>2019-8</v>
      </c>
      <c r="D58" s="2756">
        <f>EDATE(C58,-1)</f>
        <v>43647</v>
      </c>
      <c r="E58" s="2756">
        <f t="shared" ref="E58:O58" si="16">EDATE(D58,-1)</f>
        <v>43617</v>
      </c>
      <c r="F58" s="2756">
        <f t="shared" si="16"/>
        <v>43586</v>
      </c>
      <c r="G58" s="2756">
        <f t="shared" si="16"/>
        <v>43556</v>
      </c>
      <c r="H58" s="2756">
        <f t="shared" si="16"/>
        <v>43525</v>
      </c>
      <c r="I58" s="2756">
        <f t="shared" si="16"/>
        <v>43497</v>
      </c>
      <c r="J58" s="2756">
        <f t="shared" si="16"/>
        <v>43466</v>
      </c>
      <c r="K58" s="2756">
        <f t="shared" si="16"/>
        <v>43435</v>
      </c>
      <c r="L58" s="2756">
        <f t="shared" si="16"/>
        <v>43405</v>
      </c>
      <c r="M58" s="2756">
        <f t="shared" si="16"/>
        <v>43374</v>
      </c>
      <c r="N58" s="2756">
        <f t="shared" si="16"/>
        <v>43344</v>
      </c>
      <c r="O58" s="2756">
        <f t="shared" si="16"/>
        <v>43313</v>
      </c>
      <c r="P58" s="2142"/>
      <c r="Q58" s="2143"/>
      <c r="R58" s="2143"/>
      <c r="S58" s="2143"/>
      <c r="T58" s="2143"/>
      <c r="U58" s="2143"/>
      <c r="V58" s="2143"/>
      <c r="W58" s="2143"/>
      <c r="X58" s="2143"/>
      <c r="Y58" s="2143"/>
      <c r="Z58" s="2143"/>
      <c r="AA58" s="2143"/>
      <c r="AB58" s="2143"/>
      <c r="AC58" s="2143"/>
    </row>
    <row r="59" spans="1:29" s="1214" customFormat="1" ht="15">
      <c r="A59" s="646"/>
      <c r="B59" s="647"/>
      <c r="C59" s="648">
        <v>100</v>
      </c>
      <c r="D59" s="649"/>
      <c r="E59" s="649"/>
      <c r="F59" s="649"/>
      <c r="G59" s="649"/>
      <c r="H59" s="649"/>
      <c r="I59" s="649"/>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4"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c r="A63" s="663" t="s">
        <v>577</v>
      </c>
      <c r="B63" s="664" t="s">
        <v>534</v>
      </c>
      <c r="C63" s="703" t="str">
        <f>C9</f>
        <v>住宅</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v>0</v>
      </c>
      <c r="D68" s="540">
        <v>1</v>
      </c>
      <c r="E68" s="540">
        <v>2</v>
      </c>
      <c r="F68" s="540">
        <v>3</v>
      </c>
      <c r="G68" s="540">
        <v>4</v>
      </c>
      <c r="H68" s="540">
        <v>5</v>
      </c>
      <c r="I68" s="540">
        <v>6</v>
      </c>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95</v>
      </c>
      <c r="E77" s="678">
        <f>D77-$K15</f>
        <v>90</v>
      </c>
      <c r="F77" s="678">
        <f>E77-$K15</f>
        <v>85</v>
      </c>
      <c r="G77" s="678">
        <f>F77-$K15</f>
        <v>80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96</v>
      </c>
      <c r="E79" s="678">
        <f>D79-$K17</f>
        <v>92</v>
      </c>
      <c r="F79" s="678">
        <f>E79-$K17</f>
        <v>88</v>
      </c>
      <c r="G79" s="678">
        <f>F79-$K17</f>
        <v>84</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2552</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98</v>
      </c>
      <c r="E81" s="678">
        <f>D81-$K19</f>
        <v>96</v>
      </c>
      <c r="F81" s="678">
        <f>E81-$K19</f>
        <v>94</v>
      </c>
      <c r="G81" s="678">
        <f>F81-$K19</f>
        <v>92</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2553</v>
      </c>
      <c r="C82" s="2559" t="s">
        <v>2554</v>
      </c>
      <c r="D82" s="2559" t="s">
        <v>2555</v>
      </c>
      <c r="E82" s="2559" t="s">
        <v>2556</v>
      </c>
      <c r="F82" s="2559" t="s">
        <v>2557</v>
      </c>
      <c r="G82" s="2559" t="s">
        <v>2558</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98</v>
      </c>
      <c r="E83" s="678">
        <f>D83-$K21</f>
        <v>96</v>
      </c>
      <c r="F83" s="678">
        <f>E83-$K21</f>
        <v>94</v>
      </c>
      <c r="G83" s="678">
        <f>F83-$K21</f>
        <v>92</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98</v>
      </c>
      <c r="E85" s="678">
        <f>D85-$K23</f>
        <v>96</v>
      </c>
      <c r="F85" s="678">
        <f>E85-$K23</f>
        <v>94</v>
      </c>
      <c r="G85" s="678">
        <f>F85-$K23</f>
        <v>92</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8"/>
      <c r="B86" s="1878" t="s">
        <v>2255</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8"/>
      <c r="B88" s="672" t="s">
        <v>746</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8"/>
      <c r="B89" s="677"/>
      <c r="C89" s="711">
        <v>100</v>
      </c>
      <c r="D89" s="678">
        <f t="shared" ref="D89:M89" si="21">C89-$K26</f>
        <v>98</v>
      </c>
      <c r="E89" s="678">
        <f t="shared" si="21"/>
        <v>96</v>
      </c>
      <c r="F89" s="678">
        <f t="shared" si="21"/>
        <v>94</v>
      </c>
      <c r="G89" s="678">
        <f t="shared" si="21"/>
        <v>92</v>
      </c>
      <c r="H89" s="678">
        <f t="shared" si="21"/>
        <v>90</v>
      </c>
      <c r="I89" s="678">
        <f t="shared" si="21"/>
        <v>88</v>
      </c>
      <c r="J89" s="678">
        <f t="shared" si="21"/>
        <v>86</v>
      </c>
      <c r="K89" s="678">
        <f t="shared" si="21"/>
        <v>84</v>
      </c>
      <c r="L89" s="678">
        <f t="shared" si="21"/>
        <v>82</v>
      </c>
      <c r="M89" s="678">
        <f t="shared" si="21"/>
        <v>80</v>
      </c>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5.75"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1"/>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747</v>
      </c>
      <c r="C100" s="3259" t="s">
        <v>3314</v>
      </c>
      <c r="D100" s="3259"/>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200000(含)-300000</v>
      </c>
      <c r="H102" s="707" t="str">
        <f t="shared" si="23"/>
        <v>300000(含)-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v>0</v>
      </c>
      <c r="D103" s="729">
        <v>50000</v>
      </c>
      <c r="E103" s="729">
        <v>100000</v>
      </c>
      <c r="F103" s="729">
        <v>150000</v>
      </c>
      <c r="G103" s="729">
        <v>200000</v>
      </c>
      <c r="H103" s="729">
        <v>300000</v>
      </c>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6"/>
      <c r="B104" s="677"/>
      <c r="C104" s="691">
        <v>100</v>
      </c>
      <c r="D104" s="670">
        <v>102</v>
      </c>
      <c r="E104" s="670">
        <v>104</v>
      </c>
      <c r="F104" s="670">
        <v>106</v>
      </c>
      <c r="G104" s="670">
        <v>108</v>
      </c>
      <c r="H104" s="670">
        <v>110</v>
      </c>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3226" t="s">
        <v>3303</v>
      </c>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3234" t="s">
        <v>3305</v>
      </c>
      <c r="D107" s="717"/>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3226" t="s">
        <v>3272</v>
      </c>
      <c r="D109" s="3226" t="s">
        <v>3273</v>
      </c>
      <c r="E109" s="3226" t="s">
        <v>3274</v>
      </c>
      <c r="F109" s="3234" t="s">
        <v>3276</v>
      </c>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7"/>
      <c r="B112" s="680"/>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3226" t="s">
        <v>3307</v>
      </c>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2551</v>
      </c>
      <c r="C116" s="3226" t="s">
        <v>3308</v>
      </c>
      <c r="D116" s="3226" t="s">
        <v>3309</v>
      </c>
      <c r="E116" s="3226" t="s">
        <v>3310</v>
      </c>
      <c r="F116" s="3226" t="s">
        <v>3311</v>
      </c>
      <c r="G116" s="3226" t="s">
        <v>3312</v>
      </c>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48"/>
      <c r="O119" s="2148"/>
      <c r="P119" s="2147"/>
      <c r="Q119" s="2140"/>
      <c r="R119" s="2127"/>
      <c r="S119" s="2127"/>
      <c r="T119" s="2127"/>
      <c r="U119" s="2127"/>
      <c r="V119" s="2127"/>
      <c r="W119" s="2127"/>
      <c r="X119" s="2127"/>
      <c r="Y119" s="2127"/>
      <c r="Z119" s="2127"/>
      <c r="AA119" s="2127"/>
      <c r="AB119" s="2127"/>
      <c r="AC119" s="2127"/>
    </row>
    <row r="120" spans="1:29" s="1333" customFormat="1" ht="28.5" thickTop="1">
      <c r="A120" s="727"/>
      <c r="B120" s="672" t="s">
        <v>733</v>
      </c>
      <c r="C120" s="687"/>
      <c r="D120" s="687"/>
      <c r="E120" s="687"/>
      <c r="F120" s="687"/>
      <c r="G120" s="687"/>
      <c r="H120" s="687"/>
      <c r="I120" s="687"/>
      <c r="J120" s="687"/>
      <c r="K120" s="687"/>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3226" t="s">
        <v>3272</v>
      </c>
      <c r="D122" s="3226" t="s">
        <v>3273</v>
      </c>
      <c r="E122" s="3226" t="s">
        <v>3274</v>
      </c>
      <c r="F122" s="3234" t="s">
        <v>3276</v>
      </c>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2256</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2257</v>
      </c>
      <c r="C137" s="1901"/>
      <c r="D137" s="1901"/>
      <c r="E137" s="1901"/>
      <c r="F137" s="1901"/>
      <c r="G137" s="1902"/>
      <c r="H137" s="1903"/>
      <c r="I137" s="1904" t="s">
        <v>2258</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2259</v>
      </c>
      <c r="D138" s="1907" t="s">
        <v>2260</v>
      </c>
      <c r="E138" s="1908" t="s">
        <v>2261</v>
      </c>
      <c r="F138" s="1909" t="s">
        <v>2262</v>
      </c>
      <c r="G138" s="1907" t="s">
        <v>2263</v>
      </c>
      <c r="H138" s="1910" t="s">
        <v>2264</v>
      </c>
      <c r="I138" s="1911"/>
      <c r="J138" s="1907" t="s">
        <v>2265</v>
      </c>
      <c r="K138" s="1910" t="s">
        <v>2266</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2267</v>
      </c>
      <c r="E139" s="1881">
        <v>100</v>
      </c>
      <c r="F139" s="1882">
        <v>102.5</v>
      </c>
      <c r="G139" s="1912" t="s">
        <v>2268</v>
      </c>
      <c r="H139" s="1883">
        <v>105</v>
      </c>
      <c r="I139" s="1913" t="s">
        <v>2269</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2270</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2271</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2272</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2273</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2274</v>
      </c>
      <c r="E144" s="1887">
        <v>102</v>
      </c>
      <c r="F144" s="1893">
        <v>100</v>
      </c>
      <c r="G144" s="1916" t="s">
        <v>2274</v>
      </c>
      <c r="H144" s="1889">
        <v>105</v>
      </c>
      <c r="I144" s="1915" t="s">
        <v>2273</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2275</v>
      </c>
      <c r="C145" s="1894">
        <f>ROUND(MAX(C139:C144)/MIN(C139:C144)-1,3)</f>
        <v>7.2999999999999995E-2</v>
      </c>
      <c r="D145" s="1918"/>
      <c r="E145" s="1918"/>
      <c r="F145" s="1919" t="s">
        <v>2276</v>
      </c>
      <c r="G145" s="1920"/>
      <c r="H145" s="1921"/>
      <c r="I145" s="1922" t="s">
        <v>2273</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2285</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2286</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80" zoomScaleSheetLayoutView="70" workbookViewId="0">
      <selection activeCell="D20" sqref="D20"/>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t="s">
        <v>2996</v>
      </c>
      <c r="D1" s="3246" t="s">
        <v>3246</v>
      </c>
      <c r="E1" s="2348" t="s">
        <v>2370</v>
      </c>
      <c r="F1" s="2349">
        <f ca="1">J53</f>
        <v>38</v>
      </c>
      <c r="G1" s="773">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2374</v>
      </c>
      <c r="C2" s="2039"/>
      <c r="D2" s="2037"/>
      <c r="E2" s="2038"/>
      <c r="F2" s="2038"/>
      <c r="G2" s="1573"/>
      <c r="H2" s="2039"/>
      <c r="I2" s="2039"/>
      <c r="J2" s="2039"/>
      <c r="K2" s="2040"/>
      <c r="L2" s="2039"/>
      <c r="M2" s="2039"/>
    </row>
    <row r="3" spans="1:33" ht="18" customHeight="1" thickBot="1">
      <c r="A3" s="832" t="s">
        <v>1727</v>
      </c>
      <c r="B3" s="833">
        <f ca="1">IF(ISERROR(B2*10000/F43),0,ROUND(B2*10000/F43,0))</f>
        <v>9692</v>
      </c>
      <c r="C3" s="2039"/>
      <c r="D3" s="2037"/>
      <c r="E3" s="2038"/>
      <c r="F3" s="2038"/>
      <c r="G3" s="1573"/>
      <c r="H3" s="775" t="s">
        <v>695</v>
      </c>
      <c r="I3" s="1357"/>
      <c r="J3" s="1357"/>
      <c r="K3" s="1574"/>
      <c r="L3" s="1357"/>
      <c r="M3" s="1357"/>
    </row>
    <row r="4" spans="1:33" ht="18" customHeight="1">
      <c r="A4" s="776" t="s">
        <v>1728</v>
      </c>
      <c r="B4" s="777" t="s">
        <v>1729</v>
      </c>
      <c r="C4" s="777" t="s">
        <v>1730</v>
      </c>
      <c r="D4" s="777" t="s">
        <v>633</v>
      </c>
      <c r="E4" s="778" t="s">
        <v>1731</v>
      </c>
      <c r="F4" s="779"/>
      <c r="G4" s="1575"/>
      <c r="H4" s="776" t="s">
        <v>1732</v>
      </c>
      <c r="I4" s="777" t="s">
        <v>1733</v>
      </c>
      <c r="J4" s="777" t="s">
        <v>1734</v>
      </c>
      <c r="K4" s="777" t="s">
        <v>1735</v>
      </c>
      <c r="L4" s="778" t="s">
        <v>1736</v>
      </c>
      <c r="M4" s="779"/>
    </row>
    <row r="5" spans="1:33" ht="18" customHeight="1">
      <c r="A5" s="780">
        <v>1</v>
      </c>
      <c r="B5" s="781" t="s">
        <v>2453</v>
      </c>
      <c r="C5" s="55">
        <f ca="1">C6+C10+C12</f>
        <v>161</v>
      </c>
      <c r="D5" s="2457" t="s">
        <v>2456</v>
      </c>
      <c r="E5" s="2451"/>
      <c r="F5" s="2452"/>
      <c r="G5" s="1575"/>
      <c r="H5" s="780">
        <v>1</v>
      </c>
      <c r="I5" s="781" t="s">
        <v>2453</v>
      </c>
      <c r="J5" s="55">
        <f ca="1">J6+J10+J12</f>
        <v>0</v>
      </c>
      <c r="K5" s="2457" t="s">
        <v>2456</v>
      </c>
      <c r="L5" s="2451"/>
      <c r="M5" s="2452"/>
    </row>
    <row r="6" spans="1:33" ht="18" customHeight="1">
      <c r="A6" s="1812" t="s">
        <v>1824</v>
      </c>
      <c r="B6" s="3554" t="s">
        <v>2458</v>
      </c>
      <c r="C6" s="782">
        <f ca="1">ROUND(F6*F8*F7*(1-F9)/10000,0)</f>
        <v>161</v>
      </c>
      <c r="D6" s="2458" t="s">
        <v>2457</v>
      </c>
      <c r="E6" s="783" t="s">
        <v>1738</v>
      </c>
      <c r="F6" s="784">
        <f ca="1">INDIRECT("'数据-取费表'!u"&amp;$G$1)</f>
        <v>2</v>
      </c>
      <c r="G6" s="1575"/>
      <c r="H6" s="2465" t="s">
        <v>2463</v>
      </c>
      <c r="I6" s="3554" t="s">
        <v>2458</v>
      </c>
      <c r="J6" s="782">
        <f ca="1">ROUND(M6*M8*M7*(1-M9)/10000,0)</f>
        <v>0</v>
      </c>
      <c r="K6" s="340" t="s">
        <v>1737</v>
      </c>
      <c r="L6" s="783" t="s">
        <v>1738</v>
      </c>
      <c r="M6" s="784">
        <f ca="1">INDIRECT("'数据-取费表'!z"&amp;$G$1)</f>
        <v>0</v>
      </c>
    </row>
    <row r="7" spans="1:33" ht="18" customHeight="1">
      <c r="A7" s="2461"/>
      <c r="B7" s="3555"/>
      <c r="C7" s="787"/>
      <c r="D7" s="788"/>
      <c r="E7" s="783" t="s">
        <v>1739</v>
      </c>
      <c r="F7" s="784">
        <f ca="1">IF(INDIRECT("'数据-取费表'!ah"&amp;$G$1)="",INDIRECT("'数据-取费表'!k"&amp;$G$1),INDIRECT("'数据-取费表'!ah"&amp;$G$1))</f>
        <v>2449.4</v>
      </c>
      <c r="G7" s="1575"/>
      <c r="H7" s="2450"/>
      <c r="I7" s="3555"/>
      <c r="J7" s="787"/>
      <c r="K7" s="788"/>
      <c r="L7" s="783" t="s">
        <v>1739</v>
      </c>
      <c r="M7" s="784">
        <f ca="1">F7</f>
        <v>2449.4</v>
      </c>
    </row>
    <row r="8" spans="1:33" ht="18" customHeight="1">
      <c r="A8" s="2454"/>
      <c r="B8" s="3556"/>
      <c r="C8" s="787"/>
      <c r="D8" s="788"/>
      <c r="E8" s="783" t="s">
        <v>1740</v>
      </c>
      <c r="F8" s="784">
        <f ca="1">INDIRECT("'数据-取费表'!ai"&amp;$G$1)</f>
        <v>365</v>
      </c>
      <c r="G8" s="1575"/>
      <c r="H8" s="2450"/>
      <c r="I8" s="3556"/>
      <c r="J8" s="787"/>
      <c r="K8" s="788"/>
      <c r="L8" s="783" t="s">
        <v>1740</v>
      </c>
      <c r="M8" s="784">
        <f ca="1">INDIRECT("'数据-取费表'!ai"&amp;$G$1)</f>
        <v>365</v>
      </c>
    </row>
    <row r="9" spans="1:33" ht="18" customHeight="1">
      <c r="A9" s="785"/>
      <c r="B9" s="3557"/>
      <c r="C9" s="787"/>
      <c r="D9" s="788"/>
      <c r="E9" s="783" t="s">
        <v>1741</v>
      </c>
      <c r="F9" s="793">
        <f ca="1">INDIRECT("'数据-取费表'!w"&amp;$G$1)</f>
        <v>0.1</v>
      </c>
      <c r="G9" s="1575"/>
      <c r="H9" s="2466"/>
      <c r="I9" s="3556"/>
      <c r="J9" s="787"/>
      <c r="K9" s="788"/>
      <c r="L9" s="794" t="s">
        <v>1741</v>
      </c>
      <c r="M9" s="795">
        <f ca="1">INDIRECT("'数据-取费表'!ab"&amp;$G$1)</f>
        <v>0</v>
      </c>
    </row>
    <row r="10" spans="1:33" ht="18" customHeight="1">
      <c r="A10" s="1812" t="s">
        <v>2461</v>
      </c>
      <c r="B10" s="2455" t="s">
        <v>2454</v>
      </c>
      <c r="C10" s="798">
        <f ca="1">ROUND(IF(F10="押一",C6/12*F11,IF(F10="押二",C6/12*2*F11,IF(F10="押三",C6/12*3*F11,C11*F11))),0)</f>
        <v>0</v>
      </c>
      <c r="D10" s="2462" t="s">
        <v>2966</v>
      </c>
      <c r="E10" s="2459" t="s">
        <v>2459</v>
      </c>
      <c r="F10" s="2582" t="s">
        <v>3208</v>
      </c>
      <c r="G10" s="1575"/>
      <c r="H10" s="2522" t="s">
        <v>2464</v>
      </c>
      <c r="I10" s="2527" t="s">
        <v>2454</v>
      </c>
      <c r="J10" s="782">
        <f ca="1">ROUND(IF(M10="押一",J6/12*M11,IF(M10="押二",J6/12*2*M11,IF(M10="押三",J6/12*3*M11,J11*M11))),0)</f>
        <v>0</v>
      </c>
      <c r="K10" s="2462" t="s">
        <v>2966</v>
      </c>
      <c r="L10" s="2459" t="s">
        <v>2459</v>
      </c>
      <c r="M10" s="2582"/>
    </row>
    <row r="11" spans="1:33" ht="18" customHeight="1">
      <c r="A11" s="789"/>
      <c r="B11" s="2456" t="s">
        <v>2568</v>
      </c>
      <c r="C11" s="2460"/>
      <c r="D11" s="788"/>
      <c r="E11" s="2459" t="s">
        <v>2460</v>
      </c>
      <c r="F11" s="795">
        <f ca="1">'数据-取费表'!B39</f>
        <v>1.4999999999999999E-2</v>
      </c>
      <c r="G11" s="1575"/>
      <c r="H11" s="2523"/>
      <c r="I11" s="2456" t="s">
        <v>2568</v>
      </c>
      <c r="J11" s="2460"/>
      <c r="K11" s="2524"/>
      <c r="L11" s="2459" t="s">
        <v>2460</v>
      </c>
      <c r="M11" s="2453">
        <f ca="1">'数据-取费表'!B39</f>
        <v>1.4999999999999999E-2</v>
      </c>
    </row>
    <row r="12" spans="1:33" ht="18" customHeight="1" thickBot="1">
      <c r="A12" s="2498" t="s">
        <v>2462</v>
      </c>
      <c r="B12" s="2499" t="s">
        <v>2455</v>
      </c>
      <c r="C12" s="2500"/>
      <c r="D12" s="2501"/>
      <c r="E12" s="2502"/>
      <c r="F12" s="2503"/>
      <c r="G12" s="1575"/>
      <c r="H12" s="2512" t="s">
        <v>2465</v>
      </c>
      <c r="I12" s="2525" t="s">
        <v>2455</v>
      </c>
      <c r="J12" s="2526"/>
      <c r="K12" s="2501"/>
      <c r="L12" s="2502"/>
      <c r="M12" s="2515"/>
    </row>
    <row r="13" spans="1:33" ht="18" customHeight="1" thickTop="1">
      <c r="A13" s="1811">
        <v>2</v>
      </c>
      <c r="B13" s="1809" t="s">
        <v>1742</v>
      </c>
      <c r="C13" s="791">
        <f ca="1">ROUND(C29*F13,0)</f>
        <v>1031</v>
      </c>
      <c r="D13" s="1816" t="s">
        <v>2295</v>
      </c>
      <c r="E13" s="1816" t="s">
        <v>1744</v>
      </c>
      <c r="F13" s="2497">
        <f ca="1">INDIRECT("'数据-取费表'!y"&amp;$G$1)</f>
        <v>1</v>
      </c>
      <c r="G13" s="1575"/>
      <c r="H13" s="1811">
        <v>2</v>
      </c>
      <c r="I13" s="1809" t="s">
        <v>1742</v>
      </c>
      <c r="J13" s="1801">
        <f ca="1">ROUND(J14*J15,0)</f>
        <v>0</v>
      </c>
      <c r="K13" s="1803" t="s">
        <v>1743</v>
      </c>
      <c r="L13" s="2513"/>
      <c r="M13" s="2514"/>
    </row>
    <row r="14" spans="1:33" ht="18" customHeight="1">
      <c r="A14" s="1630" t="s">
        <v>1884</v>
      </c>
      <c r="B14" s="783" t="s">
        <v>645</v>
      </c>
      <c r="C14" s="803">
        <f ca="1">INDIRECT("'数据-取费表'!m"&amp;$G$1)+INDIRECT("'数据-取费表'!t"&amp;$G$1)</f>
        <v>623</v>
      </c>
      <c r="D14" s="1961" t="s">
        <v>1745</v>
      </c>
      <c r="E14" s="1962"/>
      <c r="F14" s="804"/>
      <c r="G14" s="1575"/>
      <c r="H14" s="1631" t="s">
        <v>1830</v>
      </c>
      <c r="I14" s="2213" t="s">
        <v>2821</v>
      </c>
      <c r="J14" s="53">
        <f ca="1">C29</f>
        <v>1031</v>
      </c>
      <c r="K14" s="26"/>
      <c r="L14" s="800"/>
      <c r="M14" s="801"/>
    </row>
    <row r="15" spans="1:33" s="2046" customFormat="1" ht="18" customHeight="1" thickBot="1">
      <c r="A15" s="1630" t="s">
        <v>1885</v>
      </c>
      <c r="B15" s="783" t="s">
        <v>647</v>
      </c>
      <c r="C15" s="53">
        <f ca="1">ROUND(C14*F15,0)</f>
        <v>31</v>
      </c>
      <c r="D15" s="805" t="s">
        <v>1746</v>
      </c>
      <c r="E15" s="805" t="s">
        <v>1747</v>
      </c>
      <c r="F15" s="806">
        <f>'数据-取费表'!B33</f>
        <v>0.05</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3" t="s">
        <v>650</v>
      </c>
      <c r="C16" s="53">
        <f ca="1">ROUND(INDIRECT("'数据-取费表'!m"&amp;$G$1)*F16,0)</f>
        <v>0</v>
      </c>
      <c r="D16" s="783" t="s">
        <v>1746</v>
      </c>
      <c r="E16" s="783" t="s">
        <v>1747</v>
      </c>
      <c r="F16" s="808">
        <f ca="1">IF(INDIRECT("'数据-取费表'!c"&amp;$G$1)="住宅",'数据-取费表'!B34,0)</f>
        <v>0</v>
      </c>
      <c r="G16" s="1575"/>
      <c r="H16" s="1811" t="s">
        <v>1748</v>
      </c>
      <c r="I16" s="1809" t="s">
        <v>1749</v>
      </c>
      <c r="J16" s="791">
        <f ca="1">ROUND(J17+J22+J23+J24,0)</f>
        <v>102</v>
      </c>
      <c r="K16" s="1803" t="s">
        <v>1750</v>
      </c>
      <c r="L16" s="2447"/>
      <c r="M16" s="2452"/>
    </row>
    <row r="17" spans="1:33" s="2046" customFormat="1" ht="18" customHeight="1">
      <c r="A17" s="1630" t="s">
        <v>1887</v>
      </c>
      <c r="B17" s="783" t="s">
        <v>653</v>
      </c>
      <c r="C17" s="53">
        <f ca="1">ROUND(F17*(F43+INDIRECT("'数据-取费表'!S"&amp;$G$1))/10000,0)</f>
        <v>38</v>
      </c>
      <c r="D17" s="783" t="s">
        <v>1751</v>
      </c>
      <c r="E17" s="783" t="s">
        <v>1752</v>
      </c>
      <c r="F17" s="56">
        <f>'数据-取费表'!B35</f>
        <v>150</v>
      </c>
      <c r="G17" s="1576"/>
      <c r="H17" s="1631" t="s">
        <v>1830</v>
      </c>
      <c r="I17" s="783" t="s">
        <v>656</v>
      </c>
      <c r="J17" s="53">
        <f ca="1">ROUND(IF(项目基本情况!B11="自然人",J6*M17/(1+'数据-取费表'!C42),J18+J19+J20),0)</f>
        <v>87</v>
      </c>
      <c r="K17" s="2446" t="s">
        <v>1753</v>
      </c>
      <c r="L17" s="2445"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3" t="s">
        <v>659</v>
      </c>
      <c r="C18" s="53">
        <f ca="1">ROUND(C14*F18,0)</f>
        <v>9</v>
      </c>
      <c r="D18" s="783" t="s">
        <v>1746</v>
      </c>
      <c r="E18" s="783" t="s">
        <v>1747</v>
      </c>
      <c r="F18" s="808">
        <f>'数据-取费表'!B36</f>
        <v>1.4999999999999999E-2</v>
      </c>
      <c r="G18" s="1576"/>
      <c r="H18" s="1630" t="s">
        <v>1884</v>
      </c>
      <c r="I18" s="783" t="s">
        <v>1755</v>
      </c>
      <c r="J18" s="53">
        <f ca="1">ROUND(J6*M18/(1+'数据-取费表'!C42),1)</f>
        <v>0</v>
      </c>
      <c r="K18" s="2445" t="s">
        <v>1756</v>
      </c>
      <c r="L18" s="783" t="s">
        <v>1747</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3" t="s">
        <v>662</v>
      </c>
      <c r="C19" s="53">
        <f ca="1">SUM(C14:C18)</f>
        <v>701</v>
      </c>
      <c r="D19" s="260" t="s">
        <v>1757</v>
      </c>
      <c r="E19" s="1964"/>
      <c r="F19" s="56"/>
      <c r="G19" s="1575"/>
      <c r="H19" s="1630" t="s">
        <v>1885</v>
      </c>
      <c r="I19" s="783" t="s">
        <v>1758</v>
      </c>
      <c r="J19" s="53">
        <f ca="1">IF(K19="按租金收入计税",ROUND(J6*M19/(1+'数据-取费表'!C42),1),ROUND(C29*F33*0.7,1))</f>
        <v>86.6</v>
      </c>
      <c r="K19" s="810" t="s">
        <v>665</v>
      </c>
      <c r="L19" s="783" t="s">
        <v>1747</v>
      </c>
      <c r="M19" s="808">
        <f>IF(K19="按租金收入计税",'数据-取费表'!B51,'数据-取费表'!B50)</f>
        <v>1.2E-2</v>
      </c>
    </row>
    <row r="20" spans="1:33" s="2046" customFormat="1" ht="18" customHeight="1">
      <c r="A20" s="1631" t="s">
        <v>1889</v>
      </c>
      <c r="B20" s="783" t="s">
        <v>666</v>
      </c>
      <c r="C20" s="53">
        <f ca="1">ROUND(C19*F20,0)</f>
        <v>21</v>
      </c>
      <c r="D20" s="811" t="s">
        <v>1759</v>
      </c>
      <c r="E20" s="783" t="s">
        <v>1747</v>
      </c>
      <c r="F20" s="808">
        <f>'数据-取费表'!B37</f>
        <v>0.03</v>
      </c>
      <c r="G20" s="1576"/>
      <c r="H20" s="1633" t="s">
        <v>1880</v>
      </c>
      <c r="I20" s="340" t="s">
        <v>1760</v>
      </c>
      <c r="J20" s="54">
        <f ca="1">ROUND(M20*M21/10000,0)</f>
        <v>0</v>
      </c>
      <c r="K20" s="813" t="s">
        <v>1761</v>
      </c>
      <c r="L20" s="783" t="s">
        <v>1762</v>
      </c>
      <c r="M20" s="639">
        <f>'数据-取费表'!B52</f>
        <v>3</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3" t="s">
        <v>1763</v>
      </c>
      <c r="C21" s="53" t="s">
        <v>1764</v>
      </c>
      <c r="D21" s="811" t="s">
        <v>2296</v>
      </c>
      <c r="E21" s="783" t="s">
        <v>1765</v>
      </c>
      <c r="F21" s="808">
        <f>'数据-取费表'!B38</f>
        <v>0.03</v>
      </c>
      <c r="G21" s="1576"/>
      <c r="H21" s="2467"/>
      <c r="I21" s="792"/>
      <c r="J21" s="69"/>
      <c r="K21" s="815"/>
      <c r="L21" s="783" t="s">
        <v>1766</v>
      </c>
      <c r="M21" s="784">
        <f ca="1">INDIRECT("'数据-取费表'!r"&amp;$G$1)</f>
        <v>690.78</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3" t="s">
        <v>1767</v>
      </c>
      <c r="C22" s="53"/>
      <c r="D22" s="2533" t="str">
        <f>IF(F23&lt;=1,"单利计息。","复利计息。")&amp;"建造成本、管理费用、销售费用产生的利息。"</f>
        <v>复利计息。建造成本、管理费用、销售费用产生的利息。</v>
      </c>
      <c r="E22" s="1964"/>
      <c r="F22" s="56"/>
      <c r="G22" s="1575"/>
      <c r="H22" s="1631" t="s">
        <v>1889</v>
      </c>
      <c r="I22" s="783" t="s">
        <v>1768</v>
      </c>
      <c r="J22" s="53">
        <f ca="1">ROUND(J14*M22,0)</f>
        <v>15</v>
      </c>
      <c r="K22" s="2445" t="s">
        <v>1769</v>
      </c>
      <c r="L22" s="783" t="s">
        <v>1747</v>
      </c>
      <c r="M22" s="816">
        <f ca="1">INDIRECT("'数据-取费表'!Ak"&amp;$G$1)</f>
        <v>1.4999999999999999E-2</v>
      </c>
    </row>
    <row r="23" spans="1:33" s="2046" customFormat="1" ht="18" customHeight="1">
      <c r="A23" s="1630" t="s">
        <v>1831</v>
      </c>
      <c r="B23" s="783" t="s">
        <v>2530</v>
      </c>
      <c r="C23" s="53">
        <f ca="1">ROUND(IF('数据-取费表'!B22&lt;=1,(C19+C20)*F24*F23/2,(C19+C20)*(POWER((1+F24),F23/2)-1)),0)</f>
        <v>34</v>
      </c>
      <c r="D23" s="2532" t="str">
        <f>IF(F23&lt;=1,"(建造成本+管理费用)×利率×(建设周期÷2)","(建造成本+管理费用)×((1+利率)^(建设周期÷2)-1)")</f>
        <v>(建造成本+管理费用)×((1+利率)^(建设周期÷2)-1)</v>
      </c>
      <c r="E23" s="783" t="s">
        <v>1770</v>
      </c>
      <c r="F23" s="639">
        <f>'数据-取费表'!B20</f>
        <v>2</v>
      </c>
      <c r="G23" s="1576"/>
      <c r="H23" s="1631" t="s">
        <v>1890</v>
      </c>
      <c r="I23" s="783" t="s">
        <v>679</v>
      </c>
      <c r="J23" s="53">
        <f ca="1">ROUND(J13*M23,0)</f>
        <v>0</v>
      </c>
      <c r="K23" s="2445"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3" t="s">
        <v>1772</v>
      </c>
      <c r="C24" s="53">
        <f ca="1">ROUND(IF('数据-取费表'!B22&lt;=1,F21*F24*F23/2,F21*(POWER((1+F24),F23/2)-1)),4)</f>
        <v>1.4E-3</v>
      </c>
      <c r="D24" s="2532" t="str">
        <f>IF(F23&lt;=1,"销售费用×利率×(建设周期÷2)","销售费用×((1+利率)^(建设周期÷2)-1)")</f>
        <v>销售费用×((1+利率)^(建设周期÷2)-1)</v>
      </c>
      <c r="E24" s="783" t="s">
        <v>1773</v>
      </c>
      <c r="F24" s="818">
        <f ca="1">'数据-取费表'!B40</f>
        <v>4.7500000000000001E-2</v>
      </c>
      <c r="G24" s="1576"/>
      <c r="H24" s="2512" t="s">
        <v>1891</v>
      </c>
      <c r="I24" s="2507" t="s">
        <v>666</v>
      </c>
      <c r="J24" s="2505">
        <f ca="1">ROUND(J5*M24,0)</f>
        <v>0</v>
      </c>
      <c r="K24" s="2506" t="s">
        <v>1774</v>
      </c>
      <c r="L24" s="2507" t="s">
        <v>1747</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3" t="s">
        <v>684</v>
      </c>
      <c r="C25" s="53"/>
      <c r="D25" s="260" t="s">
        <v>1775</v>
      </c>
      <c r="E25" s="1964"/>
      <c r="F25" s="56"/>
      <c r="G25" s="1575"/>
      <c r="H25" s="1811" t="s">
        <v>1776</v>
      </c>
      <c r="I25" s="2958" t="s">
        <v>2817</v>
      </c>
      <c r="J25" s="791">
        <f ca="1">J5-J16</f>
        <v>-102</v>
      </c>
      <c r="K25" s="2509" t="s">
        <v>1777</v>
      </c>
      <c r="L25" s="2510"/>
      <c r="M25" s="2511"/>
    </row>
    <row r="26" spans="1:33" ht="18" customHeight="1">
      <c r="A26" s="1630" t="s">
        <v>1831</v>
      </c>
      <c r="B26" s="783" t="s">
        <v>2433</v>
      </c>
      <c r="C26" s="53">
        <f ca="1">ROUND((C19+C20)*F26,0)</f>
        <v>181</v>
      </c>
      <c r="D26" s="811" t="s">
        <v>1778</v>
      </c>
      <c r="E26" s="794" t="s">
        <v>1779</v>
      </c>
      <c r="F26" s="793">
        <f ca="1">INDIRECT("'数据-取费表'!q"&amp;$G$1)</f>
        <v>0.25</v>
      </c>
      <c r="G26" s="1575"/>
      <c r="H26" s="2463" t="s">
        <v>1780</v>
      </c>
      <c r="I26" s="2214" t="s">
        <v>2822</v>
      </c>
      <c r="J26" s="782">
        <f ca="1">IF(J5&lt;&gt;0,ROUND(J25*(1-((1+M28)/(1+M26))^M27)/(M26-M28),0),0)</f>
        <v>0</v>
      </c>
      <c r="K26" s="813" t="s">
        <v>1781</v>
      </c>
      <c r="L26" s="783" t="s">
        <v>2415</v>
      </c>
      <c r="M26" s="793">
        <f ca="1">INDIRECT("'数据-取费表'!I"&amp;$G$1)</f>
        <v>5.5E-2</v>
      </c>
    </row>
    <row r="27" spans="1:33" ht="18" customHeight="1">
      <c r="A27" s="1630" t="s">
        <v>1832</v>
      </c>
      <c r="B27" s="783" t="s">
        <v>686</v>
      </c>
      <c r="C27" s="53">
        <f ca="1">ROUND(F21*F26,4)</f>
        <v>7.4999999999999997E-3</v>
      </c>
      <c r="D27" s="811" t="s">
        <v>1782</v>
      </c>
      <c r="E27" s="805"/>
      <c r="F27" s="806"/>
      <c r="G27" s="1575"/>
      <c r="H27" s="2464"/>
      <c r="I27" s="786"/>
      <c r="J27" s="787"/>
      <c r="K27" s="820" t="s">
        <v>1783</v>
      </c>
      <c r="L27" s="783" t="s">
        <v>1784</v>
      </c>
      <c r="M27" s="821">
        <f ca="1">INDIRECT("'数据-取费表'!ag"&amp;$G$1)</f>
        <v>0</v>
      </c>
    </row>
    <row r="28" spans="1:33" s="2046" customFormat="1" ht="18" customHeight="1">
      <c r="A28" s="1632" t="s">
        <v>1841</v>
      </c>
      <c r="B28" s="783" t="s">
        <v>687</v>
      </c>
      <c r="C28" s="53">
        <f>ROUND(F28/(1+'数据-取费表'!C42),4)</f>
        <v>5.2400000000000002E-2</v>
      </c>
      <c r="D28" s="811" t="s">
        <v>2297</v>
      </c>
      <c r="E28" s="783" t="s">
        <v>1785</v>
      </c>
      <c r="F28" s="808">
        <f>'数据-取费表'!B41</f>
        <v>5.5000000000000007E-2</v>
      </c>
      <c r="G28" s="1576"/>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1031</v>
      </c>
      <c r="D29" s="2506"/>
      <c r="E29" s="2507"/>
      <c r="F29" s="2508"/>
      <c r="G29" s="1576"/>
      <c r="H29" s="822" t="s">
        <v>1787</v>
      </c>
      <c r="I29" s="823" t="s">
        <v>1788</v>
      </c>
      <c r="J29" s="824">
        <f ca="1">ROUND(J26/(1+F40)^F41,0)</f>
        <v>0</v>
      </c>
      <c r="K29" s="825" t="s">
        <v>1789</v>
      </c>
      <c r="L29" s="826"/>
      <c r="M29" s="827">
        <f ca="1">INDIRECT("'数据-取费表'!k"&amp;$G$1)</f>
        <v>2449.4</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46</v>
      </c>
      <c r="D30" s="1803" t="s">
        <v>1791</v>
      </c>
      <c r="E30" s="2447"/>
      <c r="F30" s="2452"/>
      <c r="G30" s="2044"/>
      <c r="H30" s="2047"/>
      <c r="I30" s="2048"/>
      <c r="J30" s="2049"/>
      <c r="K30" s="2050"/>
      <c r="L30" s="2051"/>
      <c r="M30" s="2052"/>
    </row>
    <row r="31" spans="1:33" ht="18" customHeight="1">
      <c r="A31" s="1631" t="s">
        <v>1830</v>
      </c>
      <c r="B31" s="783" t="s">
        <v>656</v>
      </c>
      <c r="C31" s="53">
        <f ca="1">ROUND(IF(项目基本情况!B11="自然人",C6*F31/(1+'数据-取费表'!C42),C32+C33+C34),1)</f>
        <v>27</v>
      </c>
      <c r="D31" s="1961" t="s">
        <v>1792</v>
      </c>
      <c r="E31" s="1959"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3" t="s">
        <v>1794</v>
      </c>
      <c r="C32" s="53">
        <f ca="1">ROUND(C6*F32/(1+'数据-取费表'!C42),1)</f>
        <v>8.4</v>
      </c>
      <c r="D32" s="1959" t="s">
        <v>1795</v>
      </c>
      <c r="E32" s="783" t="s">
        <v>1796</v>
      </c>
      <c r="F32" s="808">
        <f>'数据-取费表'!B41</f>
        <v>5.5000000000000007E-2</v>
      </c>
      <c r="G32" s="2044"/>
      <c r="H32" s="2053"/>
      <c r="I32" s="2054"/>
      <c r="J32" s="2055"/>
      <c r="K32" s="2056"/>
      <c r="L32" s="2057"/>
      <c r="M32" s="2058"/>
    </row>
    <row r="33" spans="1:18" ht="18" customHeight="1">
      <c r="A33" s="1630" t="s">
        <v>1832</v>
      </c>
      <c r="B33" s="783" t="s">
        <v>1797</v>
      </c>
      <c r="C33" s="53">
        <f ca="1">IF(D33="按租金收入计税",ROUND(C6*F33/(1+'数据-取费表'!C42),1),IF(D33="按房产原值计税",ROUND(C29*F33*0.7,1),INDIRECT("'数据-取费表'!Aj"&amp;$G$1)))</f>
        <v>18.399999999999999</v>
      </c>
      <c r="D33" s="810" t="s">
        <v>3209</v>
      </c>
      <c r="E33" s="783" t="s">
        <v>1796</v>
      </c>
      <c r="F33" s="808">
        <f>IF(D33="按租金收入计税",'数据-取费表'!B51,'数据-取费表'!B50)</f>
        <v>0.12</v>
      </c>
      <c r="G33" s="2044"/>
      <c r="H33" s="2059"/>
      <c r="I33" s="2059"/>
      <c r="J33" s="2059"/>
      <c r="K33" s="2060"/>
      <c r="L33" s="2059"/>
      <c r="M33" s="2059"/>
    </row>
    <row r="34" spans="1:18" ht="18" customHeight="1">
      <c r="A34" s="1633" t="s">
        <v>1833</v>
      </c>
      <c r="B34" s="340" t="s">
        <v>1798</v>
      </c>
      <c r="C34" s="54">
        <f ca="1">ROUND(F34*F35/10000,1)</f>
        <v>0.2</v>
      </c>
      <c r="D34" s="813" t="s">
        <v>1799</v>
      </c>
      <c r="E34" s="783" t="s">
        <v>1800</v>
      </c>
      <c r="F34" s="639">
        <f>'数据-取费表'!B52</f>
        <v>3</v>
      </c>
      <c r="G34" s="2044"/>
      <c r="H34" s="2047"/>
      <c r="I34" s="834" t="s">
        <v>1813</v>
      </c>
      <c r="J34" s="835"/>
      <c r="K34" s="2062"/>
      <c r="L34" s="2061"/>
      <c r="M34" s="2061"/>
    </row>
    <row r="35" spans="1:18" ht="18" customHeight="1">
      <c r="A35" s="814"/>
      <c r="B35" s="792"/>
      <c r="C35" s="69"/>
      <c r="D35" s="815"/>
      <c r="E35" s="783" t="s">
        <v>1801</v>
      </c>
      <c r="F35" s="784">
        <f ca="1">INDIRECT("'数据-取费表'!r"&amp;$G$1)</f>
        <v>690.78</v>
      </c>
      <c r="G35" s="2044"/>
      <c r="H35" s="2047"/>
      <c r="I35" s="836" t="s">
        <v>1814</v>
      </c>
      <c r="J35" s="837">
        <f ca="1">ROUND(C13*J36,0)</f>
        <v>82</v>
      </c>
      <c r="K35" s="2060"/>
      <c r="L35" s="2059"/>
      <c r="M35" s="2059"/>
    </row>
    <row r="36" spans="1:18" ht="18" customHeight="1">
      <c r="A36" s="1631" t="s">
        <v>1889</v>
      </c>
      <c r="B36" s="783" t="s">
        <v>1802</v>
      </c>
      <c r="C36" s="53">
        <f ca="1">ROUND(C29*F36,1)</f>
        <v>15.5</v>
      </c>
      <c r="D36" s="1959" t="s">
        <v>1803</v>
      </c>
      <c r="E36" s="783" t="s">
        <v>1796</v>
      </c>
      <c r="F36" s="816">
        <f ca="1">INDIRECT("'数据-取费表'!Ak"&amp;$G$1)</f>
        <v>1.4999999999999999E-2</v>
      </c>
      <c r="G36" s="2044"/>
      <c r="H36" s="2059"/>
      <c r="I36" s="838" t="s">
        <v>1815</v>
      </c>
      <c r="J36" s="839">
        <f ca="1">INDIRECT("'数据-取费表'!j"&amp;$G$1)</f>
        <v>0.08</v>
      </c>
      <c r="K36" s="2064"/>
      <c r="L36" s="2059"/>
      <c r="M36" s="2059"/>
    </row>
    <row r="37" spans="1:18" ht="18" customHeight="1">
      <c r="A37" s="1631" t="s">
        <v>1890</v>
      </c>
      <c r="B37" s="783" t="s">
        <v>679</v>
      </c>
      <c r="C37" s="53">
        <f ca="1">ROUND(C13*F37,1)</f>
        <v>1.5</v>
      </c>
      <c r="D37" s="1959" t="s">
        <v>1804</v>
      </c>
      <c r="E37" s="783" t="s">
        <v>1796</v>
      </c>
      <c r="F37" s="817">
        <f ca="1">INDIRECT("'数据-取费表'!Al"&amp;$G$1)</f>
        <v>1.5E-3</v>
      </c>
      <c r="G37" s="2044"/>
      <c r="H37" s="2059"/>
      <c r="I37" s="840" t="s">
        <v>1816</v>
      </c>
      <c r="J37" s="841"/>
      <c r="K37" s="2064"/>
      <c r="L37" s="2059"/>
      <c r="M37" s="2059"/>
    </row>
    <row r="38" spans="1:18" ht="18" customHeight="1" thickBot="1">
      <c r="A38" s="2512" t="s">
        <v>1891</v>
      </c>
      <c r="B38" s="2507" t="s">
        <v>666</v>
      </c>
      <c r="C38" s="2505">
        <f ca="1">ROUND(C5*F38,1)</f>
        <v>1.6</v>
      </c>
      <c r="D38" s="2506" t="s">
        <v>1805</v>
      </c>
      <c r="E38" s="2507" t="s">
        <v>1796</v>
      </c>
      <c r="F38" s="2503">
        <f ca="1">INDIRECT("'数据-取费表'!Am"&amp;$G$1)</f>
        <v>0.01</v>
      </c>
      <c r="G38" s="2044"/>
      <c r="H38" s="2059"/>
      <c r="I38" s="842" t="s">
        <v>1817</v>
      </c>
      <c r="J38" s="843"/>
      <c r="K38" s="2065"/>
      <c r="L38" s="2059"/>
      <c r="M38" s="2059"/>
    </row>
    <row r="39" spans="1:18" ht="24.6" customHeight="1" thickTop="1">
      <c r="A39" s="1811" t="s">
        <v>1894</v>
      </c>
      <c r="B39" s="2958" t="s">
        <v>2817</v>
      </c>
      <c r="C39" s="791">
        <f ca="1">C5-C30</f>
        <v>115</v>
      </c>
      <c r="D39" s="2509" t="s">
        <v>1806</v>
      </c>
      <c r="E39" s="2510"/>
      <c r="F39" s="2511"/>
      <c r="G39" s="2044"/>
      <c r="H39" s="2059"/>
      <c r="I39" s="836" t="s">
        <v>1818</v>
      </c>
      <c r="J39" s="844">
        <f ca="1">ROUND(J35/C39,3)</f>
        <v>0.71299999999999997</v>
      </c>
      <c r="K39" s="2065"/>
      <c r="L39" s="2059"/>
      <c r="M39" s="2059"/>
    </row>
    <row r="40" spans="1:18" ht="18" customHeight="1">
      <c r="A40" s="780" t="s">
        <v>1895</v>
      </c>
      <c r="B40" s="2214" t="s">
        <v>2299</v>
      </c>
      <c r="C40" s="782">
        <f ca="1">ROUND(C39*(1-((1+F42)/(1+F40))^F41)/(F40-F42),0)</f>
        <v>2374</v>
      </c>
      <c r="D40" s="813" t="s">
        <v>1807</v>
      </c>
      <c r="E40" s="783" t="s">
        <v>2415</v>
      </c>
      <c r="F40" s="793">
        <f ca="1">INDIRECT("'数据-取费表'!I"&amp;$G$1)</f>
        <v>5.5E-2</v>
      </c>
      <c r="G40" s="2044"/>
      <c r="H40" s="2044"/>
      <c r="I40" s="836" t="s">
        <v>1819</v>
      </c>
      <c r="J40" s="844">
        <f ca="1">1-J39</f>
        <v>0.28700000000000003</v>
      </c>
      <c r="K40" s="2065"/>
      <c r="L40" s="2044"/>
      <c r="M40" s="2044"/>
    </row>
    <row r="41" spans="1:18" ht="18" customHeight="1">
      <c r="A41" s="785"/>
      <c r="B41" s="786"/>
      <c r="C41" s="787"/>
      <c r="D41" s="820" t="s">
        <v>1808</v>
      </c>
      <c r="E41" s="783" t="s">
        <v>2956</v>
      </c>
      <c r="F41" s="821">
        <f ca="1">IF(INDIRECT("'数据-取费表'!af"&amp;$G$1)=0,INDIRECT("'数据-取费表'!ae"&amp;$G$1),INDIRECT("'数据-取费表'!af"&amp;$G$1))</f>
        <v>38</v>
      </c>
      <c r="G41" s="2044"/>
      <c r="H41" s="1970"/>
      <c r="I41" s="842" t="s">
        <v>1820</v>
      </c>
      <c r="J41" s="845"/>
      <c r="K41" s="2064"/>
      <c r="L41" s="1970"/>
      <c r="M41" s="1970"/>
    </row>
    <row r="42" spans="1:18" ht="18" customHeight="1">
      <c r="A42" s="789"/>
      <c r="B42" s="790"/>
      <c r="C42" s="791"/>
      <c r="D42" s="815"/>
      <c r="E42" s="783" t="s">
        <v>1809</v>
      </c>
      <c r="F42" s="793">
        <f ca="1">INDIRECT("'数据-取费表'!v"&amp;$G$1)</f>
        <v>0.02</v>
      </c>
      <c r="G42" s="2044"/>
      <c r="H42" s="1970"/>
      <c r="I42" s="846" t="s">
        <v>1821</v>
      </c>
      <c r="J42" s="844">
        <f ca="1">ROUND(C13/C40,3)</f>
        <v>0.434</v>
      </c>
      <c r="K42" s="2064"/>
      <c r="L42" s="1970"/>
      <c r="M42" s="1970"/>
    </row>
    <row r="43" spans="1:18" ht="18" customHeight="1" thickBot="1">
      <c r="A43" s="822" t="s">
        <v>1787</v>
      </c>
      <c r="B43" s="823" t="s">
        <v>1810</v>
      </c>
      <c r="C43" s="824">
        <f ca="1">ROUND(C40*10000/F43,0)</f>
        <v>9692</v>
      </c>
      <c r="D43" s="825" t="s">
        <v>1811</v>
      </c>
      <c r="E43" s="826" t="s">
        <v>1812</v>
      </c>
      <c r="F43" s="827">
        <f ca="1">INDIRECT("'数据-取费表'!k"&amp;$G$1)</f>
        <v>2449.4</v>
      </c>
      <c r="G43" s="2044"/>
      <c r="H43" s="1970"/>
      <c r="I43" s="846" t="s">
        <v>1822</v>
      </c>
      <c r="J43" s="847">
        <f ca="1">1-J42</f>
        <v>0.56600000000000006</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-2643</v>
      </c>
      <c r="D46" s="2067"/>
      <c r="E46" s="2067"/>
      <c r="F46" s="2067"/>
      <c r="I46" s="2339" t="s">
        <v>2339</v>
      </c>
      <c r="J46" s="2340"/>
      <c r="K46" s="2341"/>
      <c r="L46" s="3102">
        <f>IF(OR(M47="住宅",D1="土地（套用方法）"),0,IF(L48&gt;J51,L60,J60))</f>
        <v>0</v>
      </c>
      <c r="O46" s="2355" t="s">
        <v>2406</v>
      </c>
      <c r="P46" s="1575"/>
      <c r="Q46" s="1586"/>
      <c r="R46" s="1575"/>
    </row>
    <row r="47" spans="1:18" s="2041" customFormat="1" ht="18" customHeight="1" thickBot="1">
      <c r="A47" s="2333">
        <v>1</v>
      </c>
      <c r="B47" s="2334" t="s">
        <v>635</v>
      </c>
      <c r="C47" s="2535">
        <f ca="1">C48+C52+C54</f>
        <v>0</v>
      </c>
      <c r="D47" s="2067"/>
      <c r="E47" s="2067"/>
      <c r="F47" s="2067"/>
      <c r="I47" s="3093" t="s">
        <v>2340</v>
      </c>
      <c r="J47" s="2342" t="s">
        <v>3036</v>
      </c>
      <c r="K47" s="3099" t="s">
        <v>2345</v>
      </c>
      <c r="L47" s="3103">
        <f ca="1">INDIRECT("'数据-取费表'!d"&amp;$G$1)</f>
        <v>40</v>
      </c>
      <c r="M47" s="1586" t="str">
        <f>IF(ISNUMBER(FIND("住宅",C1)),"住宅","非住宅")</f>
        <v>非住宅</v>
      </c>
      <c r="O47" s="2356" t="s">
        <v>2371</v>
      </c>
      <c r="P47" s="2357" t="s">
        <v>2372</v>
      </c>
      <c r="Q47" s="2358" t="s">
        <v>2373</v>
      </c>
      <c r="R47" s="2357" t="s">
        <v>2374</v>
      </c>
    </row>
    <row r="48" spans="1:18" s="2041" customFormat="1" ht="18" customHeight="1" thickBot="1">
      <c r="A48" s="2603" t="s">
        <v>2532</v>
      </c>
      <c r="B48" s="2604" t="s">
        <v>2533</v>
      </c>
      <c r="C48" s="2335">
        <f ca="1">ROUND(F48*F50*F49*(1-F51)/10000,0)</f>
        <v>0</v>
      </c>
      <c r="D48" s="2336" t="s">
        <v>636</v>
      </c>
      <c r="E48" s="2337" t="s">
        <v>2294</v>
      </c>
      <c r="F48" s="2338"/>
      <c r="G48" s="2072"/>
      <c r="I48" s="3072" t="s">
        <v>2341</v>
      </c>
      <c r="J48" s="2343" t="s">
        <v>2346</v>
      </c>
      <c r="K48" s="3100" t="s">
        <v>2347</v>
      </c>
      <c r="L48" s="1890">
        <f ca="1">INDIRECT("'数据-取费表'!f"&amp;$G$1)</f>
        <v>40</v>
      </c>
      <c r="O48" s="2359" t="s">
        <v>2375</v>
      </c>
      <c r="P48" s="2360" t="s">
        <v>2401</v>
      </c>
      <c r="Q48" s="2361">
        <f ca="1">C40+J29</f>
        <v>2374</v>
      </c>
      <c r="R48" s="2360" t="s">
        <v>2376</v>
      </c>
    </row>
    <row r="49" spans="1:18" s="2041" customFormat="1" ht="18" customHeight="1" thickBot="1">
      <c r="A49" s="785"/>
      <c r="B49" s="786"/>
      <c r="C49" s="787"/>
      <c r="D49" s="788"/>
      <c r="E49" s="783" t="s">
        <v>1739</v>
      </c>
      <c r="F49" s="784">
        <f ca="1">F7</f>
        <v>2449.4</v>
      </c>
      <c r="G49" s="2072"/>
      <c r="H49" s="2075"/>
      <c r="I49" s="3072" t="s">
        <v>2342</v>
      </c>
      <c r="J49" s="2344">
        <v>2020</v>
      </c>
      <c r="K49" s="3101" t="s">
        <v>2348</v>
      </c>
      <c r="L49" s="2345"/>
      <c r="O49" s="2359" t="s">
        <v>2377</v>
      </c>
      <c r="P49" s="2360" t="s">
        <v>2402</v>
      </c>
      <c r="Q49" s="2361" t="str">
        <f ca="1">J60</f>
        <v>0</v>
      </c>
      <c r="R49" s="2360" t="s">
        <v>2378</v>
      </c>
    </row>
    <row r="50" spans="1:18" s="2041" customFormat="1" ht="18" customHeight="1" thickBot="1">
      <c r="A50" s="785"/>
      <c r="B50" s="786"/>
      <c r="C50" s="787"/>
      <c r="D50" s="788"/>
      <c r="E50" s="783" t="s">
        <v>1740</v>
      </c>
      <c r="F50" s="784">
        <f ca="1">F8</f>
        <v>365</v>
      </c>
      <c r="G50" s="2077"/>
      <c r="H50" s="2075"/>
      <c r="I50" s="3072" t="s">
        <v>2343</v>
      </c>
      <c r="J50" s="3097">
        <f>SUMPRODUCT((I63:I65=J47)*(J62:L62=J48)*(J63:L65))</f>
        <v>60</v>
      </c>
      <c r="K50" s="3101" t="s">
        <v>2349</v>
      </c>
      <c r="L50" s="2345"/>
      <c r="O50" s="2362" t="s">
        <v>2379</v>
      </c>
      <c r="P50" s="2360" t="s">
        <v>2403</v>
      </c>
      <c r="Q50" s="2361">
        <f ca="1">C29</f>
        <v>1031</v>
      </c>
      <c r="R50" s="2360" t="s">
        <v>2376</v>
      </c>
    </row>
    <row r="51" spans="1:18" s="2041" customFormat="1" ht="18" customHeight="1" thickBot="1">
      <c r="A51" s="785"/>
      <c r="B51" s="786"/>
      <c r="C51" s="787"/>
      <c r="D51" s="788"/>
      <c r="E51" s="783" t="s">
        <v>640</v>
      </c>
      <c r="F51" s="2332"/>
      <c r="H51" s="2075"/>
      <c r="I51" s="3094" t="s">
        <v>2344</v>
      </c>
      <c r="J51" s="3098">
        <f>IF(J49="",J50,J49+J50-YEAR('数据-取费表'!B2))</f>
        <v>61</v>
      </c>
      <c r="K51" s="3072" t="s">
        <v>2350</v>
      </c>
      <c r="L51" s="3104">
        <f ca="1">ROUND(-PV(INDIRECT("'数据-取费表'!h"&amp;$G$1),L48,(C39-C13*J36),0),0)</f>
        <v>558</v>
      </c>
      <c r="O51" s="2362" t="s">
        <v>2380</v>
      </c>
      <c r="P51" s="2360" t="s">
        <v>2381</v>
      </c>
      <c r="Q51" s="2363" t="e">
        <f ca="1">J58</f>
        <v>#VALUE!</v>
      </c>
      <c r="R51" s="2364"/>
    </row>
    <row r="52" spans="1:18" s="2041" customFormat="1" ht="18" customHeight="1" thickBot="1">
      <c r="A52" s="780" t="s">
        <v>2531</v>
      </c>
      <c r="B52" s="2455" t="s">
        <v>2454</v>
      </c>
      <c r="C52" s="798">
        <f ca="1">ROUND(IF(F52="押一",C48/12*F11,IF(F52="押二",C48/12*2*F11,IF(F52="押三",C48/12*3*F11,C53*F11))),0)</f>
        <v>0</v>
      </c>
      <c r="D52" s="2462" t="s">
        <v>2967</v>
      </c>
      <c r="E52" s="2459" t="s">
        <v>2459</v>
      </c>
      <c r="F52" s="2582"/>
      <c r="I52" s="3095" t="s">
        <v>2417</v>
      </c>
      <c r="J52" s="2346">
        <v>8.5000000000000006E-2</v>
      </c>
      <c r="K52" s="3095" t="s">
        <v>2416</v>
      </c>
      <c r="L52" s="2346"/>
      <c r="O52" s="2362" t="s">
        <v>2382</v>
      </c>
      <c r="P52" s="2360" t="s">
        <v>2383</v>
      </c>
      <c r="Q52" s="2363">
        <f>J52</f>
        <v>8.5000000000000006E-2</v>
      </c>
      <c r="R52" s="2364"/>
    </row>
    <row r="53" spans="1:18" s="2041" customFormat="1" ht="39.75" customHeight="1" thickBot="1">
      <c r="A53" s="785"/>
      <c r="B53" s="2456" t="s">
        <v>2568</v>
      </c>
      <c r="C53" s="2460"/>
      <c r="D53" s="2462"/>
      <c r="E53" s="2459"/>
      <c r="F53" s="799"/>
      <c r="I53" s="3096" t="s">
        <v>2970</v>
      </c>
      <c r="J53" s="3175">
        <f ca="1">IF(M47="住宅",IF(D1="——",MAX(J51,L48),MAX(J51,L48-'数据-取费表'!B20)),IF(D1="——",MIN(J51,L48),MIN(J51,L48-'数据-取费表'!B20)))</f>
        <v>38</v>
      </c>
      <c r="K53" s="3586" t="s">
        <v>2958</v>
      </c>
      <c r="L53" s="3587"/>
      <c r="O53" s="2362" t="s">
        <v>2384</v>
      </c>
      <c r="P53" s="2360" t="s">
        <v>2385</v>
      </c>
      <c r="Q53" s="2361">
        <f ca="1">J53</f>
        <v>38</v>
      </c>
      <c r="R53" s="2360" t="s">
        <v>2386</v>
      </c>
    </row>
    <row r="54" spans="1:18" s="2041" customFormat="1" ht="18" customHeight="1" thickBot="1">
      <c r="A54" s="2498" t="s">
        <v>2462</v>
      </c>
      <c r="B54" s="2499" t="s">
        <v>2455</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2387</v>
      </c>
      <c r="P54" s="2360" t="s">
        <v>2404</v>
      </c>
      <c r="Q54" s="2361">
        <f ca="1">Q48+Q49</f>
        <v>2374</v>
      </c>
      <c r="R54" s="2364" t="s">
        <v>2388</v>
      </c>
    </row>
    <row r="55" spans="1:18" s="2041" customFormat="1" ht="18" customHeight="1" thickTop="1" thickBot="1">
      <c r="A55" s="796">
        <v>2</v>
      </c>
      <c r="B55" s="797" t="s">
        <v>644</v>
      </c>
      <c r="C55" s="798">
        <f ca="1">C13</f>
        <v>1031</v>
      </c>
      <c r="D55" s="794"/>
      <c r="E55" s="794"/>
      <c r="F55" s="799"/>
      <c r="I55" s="3107" t="s">
        <v>2351</v>
      </c>
      <c r="J55" s="3047" t="e">
        <f ca="1">ROUND(IF(J47="钢混",J57/J50,1-(1-2%)*(J50-J57)/J50),3)</f>
        <v>#VALUE!</v>
      </c>
      <c r="K55" s="3108" t="s">
        <v>2352</v>
      </c>
      <c r="L55" s="2347"/>
      <c r="O55" s="2365" t="s">
        <v>2407</v>
      </c>
      <c r="P55" s="1575"/>
      <c r="Q55" s="1586"/>
      <c r="R55" s="1575"/>
    </row>
    <row r="56" spans="1:18" s="2041" customFormat="1" ht="42.75" customHeight="1" thickBot="1">
      <c r="A56" s="1632"/>
      <c r="B56" s="2213" t="s">
        <v>2300</v>
      </c>
      <c r="C56" s="53">
        <f ca="1">C29</f>
        <v>1031</v>
      </c>
      <c r="D56" s="2600"/>
      <c r="E56" s="783"/>
      <c r="F56" s="808"/>
      <c r="I56" s="3109" t="s">
        <v>2353</v>
      </c>
      <c r="J56" s="3119" t="s">
        <v>1678</v>
      </c>
      <c r="K56" s="3072" t="s">
        <v>2358</v>
      </c>
      <c r="L56" s="1890" t="str">
        <f ca="1">IF(L48&lt;J51,"——",L48-J51)</f>
        <v>——</v>
      </c>
      <c r="O56" s="2356" t="s">
        <v>2371</v>
      </c>
      <c r="P56" s="2357" t="s">
        <v>2372</v>
      </c>
      <c r="Q56" s="2358" t="s">
        <v>2373</v>
      </c>
      <c r="R56" s="2357" t="s">
        <v>2374</v>
      </c>
    </row>
    <row r="57" spans="1:18" s="2041" customFormat="1" ht="28.5" customHeight="1" thickBot="1">
      <c r="A57" s="796" t="s">
        <v>1748</v>
      </c>
      <c r="B57" s="797" t="s">
        <v>651</v>
      </c>
      <c r="C57" s="798">
        <f ca="1">ROUND(C58+C63+C64+C65,0)</f>
        <v>17</v>
      </c>
      <c r="D57" s="26" t="s">
        <v>1750</v>
      </c>
      <c r="E57" s="2601"/>
      <c r="F57" s="56"/>
      <c r="I57" s="3110" t="s">
        <v>2354</v>
      </c>
      <c r="J57" s="3111" t="str">
        <f ca="1">IF(OR(M47="住宅",J51&lt;L48,J56="是"),"——",J51-L48)</f>
        <v>——</v>
      </c>
      <c r="K57" s="3072" t="s">
        <v>2359</v>
      </c>
      <c r="L57" s="1890" t="str">
        <f ca="1">IF(L48&lt;J51,"——",IF(L55="比较法",L49,IF(L55="基准地价",L50,L51)))</f>
        <v>——</v>
      </c>
      <c r="O57" s="2359" t="s">
        <v>2375</v>
      </c>
      <c r="P57" s="2360" t="s">
        <v>2405</v>
      </c>
      <c r="Q57" s="2361">
        <f ca="1">C40+J29</f>
        <v>2374</v>
      </c>
      <c r="R57" s="2360" t="s">
        <v>2376</v>
      </c>
    </row>
    <row r="58" spans="1:18" s="2041" customFormat="1" ht="28.5" customHeight="1" thickBot="1">
      <c r="A58" s="1631" t="s">
        <v>1824</v>
      </c>
      <c r="B58" s="783" t="s">
        <v>656</v>
      </c>
      <c r="C58" s="53">
        <f ca="1">ROUND(IF(项目基本情况!B11="自然人",C47*F58,C59+C60+C61),1)</f>
        <v>0.2</v>
      </c>
      <c r="D58" s="2599" t="s">
        <v>657</v>
      </c>
      <c r="E58" s="2600" t="s">
        <v>690</v>
      </c>
      <c r="F58" s="809" t="str">
        <f ca="1">IF(项目基本情况!B11="企业","",IF(INDIRECT("'数据-取费表'!c"&amp;$G$1)="住宅",5%,IF(F48*F49*F50/12/(1+'数据-取费表'!C42)&gt;20000,12%,7%)))</f>
        <v/>
      </c>
      <c r="I58" s="3110" t="s">
        <v>2355</v>
      </c>
      <c r="J58" s="3048" t="e">
        <f ca="1">IF(J55&lt;0.4,0.4,J55)</f>
        <v>#VALUE!</v>
      </c>
      <c r="K58" s="3072" t="s">
        <v>2360</v>
      </c>
      <c r="L58" s="1890" t="e">
        <f ca="1">ROUND(POWER(1+L52,L47-L48)*(POWER(1+L52,L48)-1)/(POWER(1+L52,L47)-1),4)</f>
        <v>#DIV/0!</v>
      </c>
      <c r="O58" s="2359" t="s">
        <v>2377</v>
      </c>
      <c r="P58" s="2360" t="s">
        <v>2408</v>
      </c>
      <c r="Q58" s="2361">
        <f ca="1">L60</f>
        <v>0</v>
      </c>
      <c r="R58" s="2364" t="s">
        <v>2410</v>
      </c>
    </row>
    <row r="59" spans="1:18" s="2041" customFormat="1" ht="28.5" customHeight="1" thickBot="1">
      <c r="A59" s="1630" t="s">
        <v>1831</v>
      </c>
      <c r="B59" s="783" t="s">
        <v>660</v>
      </c>
      <c r="C59" s="53">
        <f ca="1">ROUND(C47*F59/1.05,1)</f>
        <v>0</v>
      </c>
      <c r="D59" s="2600" t="s">
        <v>1756</v>
      </c>
      <c r="E59" s="783" t="s">
        <v>1747</v>
      </c>
      <c r="F59" s="808">
        <f t="shared" ref="F59:F65" si="0">F32</f>
        <v>5.5000000000000007E-2</v>
      </c>
      <c r="I59" s="3110" t="s">
        <v>2356</v>
      </c>
      <c r="J59" s="3111"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2379</v>
      </c>
      <c r="P59" s="2360" t="s">
        <v>2409</v>
      </c>
      <c r="Q59" s="2361">
        <f>IF(L55="比较法",L49,IF(L55="基准地价",L50,0))</f>
        <v>0</v>
      </c>
      <c r="R59" s="2360" t="s">
        <v>2376</v>
      </c>
    </row>
    <row r="60" spans="1:18" s="2041" customFormat="1" ht="18" customHeight="1" thickBot="1">
      <c r="A60" s="1630" t="s">
        <v>1832</v>
      </c>
      <c r="B60" s="783" t="s">
        <v>1758</v>
      </c>
      <c r="C60" s="53">
        <f ca="1">IF(D60="按租金收入计税",ROUND(C47*F60,1),IF(D60="按房产原值计税",ROUND(C56*F60*0.7,1),INDIRECT("'数据-取费表'!Aj"&amp;$G$1)))</f>
        <v>0</v>
      </c>
      <c r="D60" s="2600" t="str">
        <f>D33</f>
        <v>按租金收入计税</v>
      </c>
      <c r="E60" s="783" t="s">
        <v>1747</v>
      </c>
      <c r="F60" s="808">
        <f t="shared" si="0"/>
        <v>0.12</v>
      </c>
      <c r="I60" s="3112" t="s">
        <v>2357</v>
      </c>
      <c r="J60" s="3113" t="str">
        <f ca="1">IF(OR(M47="住宅",J51&lt;L48,J56="是"),"0",ROUND(J59/(1+J52)^J53,0))</f>
        <v>0</v>
      </c>
      <c r="K60" s="3114" t="s">
        <v>2362</v>
      </c>
      <c r="L60" s="3113">
        <f ca="1">IF(OR(M47="住宅",L48&lt;J51),0,ROUND(L57*(L58/L59-1),0))</f>
        <v>0</v>
      </c>
      <c r="O60" s="2362" t="s">
        <v>2380</v>
      </c>
      <c r="P60" s="2360" t="s">
        <v>2389</v>
      </c>
      <c r="Q60" s="2363">
        <f>L52</f>
        <v>0</v>
      </c>
      <c r="R60" s="2364"/>
    </row>
    <row r="61" spans="1:18" s="2041" customFormat="1" ht="18" customHeight="1" thickBot="1">
      <c r="A61" s="1633" t="s">
        <v>1833</v>
      </c>
      <c r="B61" s="340" t="s">
        <v>668</v>
      </c>
      <c r="C61" s="54">
        <f ca="1">ROUND(F61*F62/10000,1)</f>
        <v>0.2</v>
      </c>
      <c r="D61" s="813" t="s">
        <v>669</v>
      </c>
      <c r="E61" s="783" t="s">
        <v>670</v>
      </c>
      <c r="F61" s="639">
        <f t="shared" si="0"/>
        <v>3</v>
      </c>
      <c r="K61" s="2068"/>
      <c r="O61" s="2362" t="s">
        <v>2382</v>
      </c>
      <c r="P61" s="2360" t="s">
        <v>2390</v>
      </c>
      <c r="Q61" s="2361" t="e">
        <f ca="1">L58</f>
        <v>#DIV/0!</v>
      </c>
      <c r="R61" s="2364" t="s">
        <v>2391</v>
      </c>
    </row>
    <row r="62" spans="1:18" s="2041" customFormat="1" ht="15.75" thickBot="1">
      <c r="A62" s="814"/>
      <c r="B62" s="792"/>
      <c r="C62" s="69"/>
      <c r="D62" s="815"/>
      <c r="E62" s="783" t="s">
        <v>674</v>
      </c>
      <c r="F62" s="784">
        <f t="shared" ca="1" si="0"/>
        <v>690.78</v>
      </c>
      <c r="I62" s="3115" t="s">
        <v>2363</v>
      </c>
      <c r="J62" s="3116" t="s">
        <v>2364</v>
      </c>
      <c r="K62" s="3116" t="s">
        <v>2365</v>
      </c>
      <c r="L62" s="3116" t="s">
        <v>2346</v>
      </c>
      <c r="M62" s="3117" t="s">
        <v>2935</v>
      </c>
      <c r="O62" s="2362" t="s">
        <v>2384</v>
      </c>
      <c r="P62" s="2360" t="str">
        <f>K59</f>
        <v>建设期及建筑物耐用年限下的土地年期修正系数Kn</v>
      </c>
      <c r="Q62" s="2361" t="e">
        <f ca="1">L59</f>
        <v>#DIV/0!</v>
      </c>
      <c r="R62" s="2364" t="s">
        <v>2393</v>
      </c>
    </row>
    <row r="63" spans="1:18" s="2041" customFormat="1" ht="15.75" thickBot="1">
      <c r="A63" s="1631" t="s">
        <v>1889</v>
      </c>
      <c r="B63" s="783" t="s">
        <v>676</v>
      </c>
      <c r="C63" s="53">
        <f ca="1">ROUND(C56*F63,1)</f>
        <v>15.5</v>
      </c>
      <c r="D63" s="2600" t="s">
        <v>1803</v>
      </c>
      <c r="E63" s="783" t="s">
        <v>1747</v>
      </c>
      <c r="F63" s="816">
        <f t="shared" ca="1" si="0"/>
        <v>1.4999999999999999E-2</v>
      </c>
      <c r="I63" s="3115" t="s">
        <v>2366</v>
      </c>
      <c r="J63" s="3116">
        <v>70</v>
      </c>
      <c r="K63" s="3116">
        <v>50</v>
      </c>
      <c r="L63" s="3116">
        <v>80</v>
      </c>
      <c r="M63" s="3118">
        <v>0.02</v>
      </c>
      <c r="O63" s="2359" t="s">
        <v>2387</v>
      </c>
      <c r="P63" s="2360" t="s">
        <v>2404</v>
      </c>
      <c r="Q63" s="2361">
        <f ca="1">Q57+Q58</f>
        <v>2374</v>
      </c>
      <c r="R63" s="2364" t="s">
        <v>2388</v>
      </c>
    </row>
    <row r="64" spans="1:18" s="2041" customFormat="1" ht="16.5" thickBot="1">
      <c r="A64" s="1631" t="s">
        <v>1890</v>
      </c>
      <c r="B64" s="783" t="s">
        <v>679</v>
      </c>
      <c r="C64" s="53">
        <f ca="1">ROUND(C55*F64,1)</f>
        <v>1.5</v>
      </c>
      <c r="D64" s="2600" t="s">
        <v>680</v>
      </c>
      <c r="E64" s="783" t="s">
        <v>1747</v>
      </c>
      <c r="F64" s="817">
        <f t="shared" ca="1" si="0"/>
        <v>1.5E-3</v>
      </c>
      <c r="I64" s="3115" t="s">
        <v>2367</v>
      </c>
      <c r="J64" s="3116">
        <v>50</v>
      </c>
      <c r="K64" s="3116">
        <v>35</v>
      </c>
      <c r="L64" s="3116">
        <v>60</v>
      </c>
      <c r="M64" s="845">
        <v>0</v>
      </c>
      <c r="O64" s="2365" t="s">
        <v>2411</v>
      </c>
      <c r="P64" s="1575"/>
      <c r="Q64" s="1586"/>
      <c r="R64" s="1575"/>
    </row>
    <row r="65" spans="1:18" s="2041" customFormat="1" ht="15.75" thickBot="1">
      <c r="A65" s="1631" t="s">
        <v>1891</v>
      </c>
      <c r="B65" s="783" t="s">
        <v>666</v>
      </c>
      <c r="C65" s="53">
        <f ca="1">ROUND(C47*F65,1)</f>
        <v>0</v>
      </c>
      <c r="D65" s="2600" t="s">
        <v>683</v>
      </c>
      <c r="E65" s="783" t="s">
        <v>1747</v>
      </c>
      <c r="F65" s="793">
        <f t="shared" ca="1" si="0"/>
        <v>0.01</v>
      </c>
      <c r="I65" s="3115" t="s">
        <v>2368</v>
      </c>
      <c r="J65" s="3116">
        <v>40</v>
      </c>
      <c r="K65" s="3116">
        <v>30</v>
      </c>
      <c r="L65" s="3116">
        <v>50</v>
      </c>
      <c r="M65" s="3118">
        <v>0.02</v>
      </c>
      <c r="O65" s="2356" t="s">
        <v>2371</v>
      </c>
      <c r="P65" s="2357" t="s">
        <v>2372</v>
      </c>
      <c r="Q65" s="2358" t="s">
        <v>2373</v>
      </c>
      <c r="R65" s="2357" t="s">
        <v>2374</v>
      </c>
    </row>
    <row r="66" spans="1:18" s="2041" customFormat="1" ht="24.75" thickBot="1">
      <c r="A66" s="796" t="s">
        <v>1776</v>
      </c>
      <c r="B66" s="2959" t="s">
        <v>2817</v>
      </c>
      <c r="C66" s="798">
        <f ca="1">C47-C57</f>
        <v>-17</v>
      </c>
      <c r="D66" s="2599" t="s">
        <v>700</v>
      </c>
      <c r="E66" s="2598"/>
      <c r="F66" s="819"/>
      <c r="K66" s="2068"/>
      <c r="O66" s="2359" t="s">
        <v>2375</v>
      </c>
      <c r="P66" s="2360" t="s">
        <v>2405</v>
      </c>
      <c r="Q66" s="2361">
        <f ca="1">C40+J29</f>
        <v>2374</v>
      </c>
      <c r="R66" s="2360" t="s">
        <v>2376</v>
      </c>
    </row>
    <row r="67" spans="1:18" s="2041" customFormat="1" ht="20.25" thickBot="1">
      <c r="A67" s="780" t="s">
        <v>1780</v>
      </c>
      <c r="B67" s="2214" t="s">
        <v>2299</v>
      </c>
      <c r="C67" s="782">
        <f ca="1">ROUND(C66*(1-((1+F69)/(1+F67))^F68)/(F67-F69),0)</f>
        <v>-269</v>
      </c>
      <c r="D67" s="813" t="s">
        <v>704</v>
      </c>
      <c r="E67" s="783" t="s">
        <v>705</v>
      </c>
      <c r="F67" s="793">
        <f ca="1">F40</f>
        <v>5.5E-2</v>
      </c>
      <c r="K67" s="2068"/>
      <c r="O67" s="2359" t="s">
        <v>2377</v>
      </c>
      <c r="P67" s="2360" t="s">
        <v>2408</v>
      </c>
      <c r="Q67" s="2361">
        <f ca="1">L60</f>
        <v>0</v>
      </c>
      <c r="R67" s="2364" t="s">
        <v>2410</v>
      </c>
    </row>
    <row r="68" spans="1:18" ht="21.75" thickBot="1">
      <c r="A68" s="785"/>
      <c r="B68" s="786"/>
      <c r="C68" s="787"/>
      <c r="D68" s="820" t="s">
        <v>1808</v>
      </c>
      <c r="E68" s="783" t="s">
        <v>1784</v>
      </c>
      <c r="F68" s="821">
        <f ca="1">F41</f>
        <v>38</v>
      </c>
      <c r="O68" s="2362" t="s">
        <v>2379</v>
      </c>
      <c r="P68" s="2360" t="s">
        <v>2409</v>
      </c>
      <c r="Q68" s="2366">
        <f ca="1">L51</f>
        <v>558</v>
      </c>
      <c r="R68" s="2367" t="s">
        <v>2412</v>
      </c>
    </row>
    <row r="69" spans="1:18" ht="20.25" thickBot="1">
      <c r="A69" s="789"/>
      <c r="B69" s="790"/>
      <c r="C69" s="791"/>
      <c r="D69" s="815"/>
      <c r="E69" s="783" t="s">
        <v>710</v>
      </c>
      <c r="F69" s="2332"/>
      <c r="O69" s="2362" t="s">
        <v>2380</v>
      </c>
      <c r="P69" s="2368" t="s">
        <v>2394</v>
      </c>
      <c r="Q69" s="2361">
        <f ca="1">ROUND(Q70-Q71*Q72,0)</f>
        <v>33</v>
      </c>
      <c r="R69" s="2364"/>
    </row>
    <row r="70" spans="1:18" ht="15.75" thickBot="1">
      <c r="A70" s="822" t="s">
        <v>1787</v>
      </c>
      <c r="B70" s="823" t="s">
        <v>1810</v>
      </c>
      <c r="C70" s="824">
        <f ca="1">ROUND(C67*10000/F70,0)</f>
        <v>-1098</v>
      </c>
      <c r="D70" s="825" t="s">
        <v>1811</v>
      </c>
      <c r="E70" s="826" t="s">
        <v>1812</v>
      </c>
      <c r="F70" s="827">
        <f ca="1">F43</f>
        <v>2449.4</v>
      </c>
      <c r="O70" s="2362" t="s">
        <v>2395</v>
      </c>
      <c r="P70" s="2368" t="s">
        <v>2396</v>
      </c>
      <c r="Q70" s="2361">
        <f ca="1">C39</f>
        <v>115</v>
      </c>
      <c r="R70" s="2360" t="s">
        <v>2376</v>
      </c>
    </row>
    <row r="71" spans="1:18" ht="15.75" thickBot="1">
      <c r="O71" s="2362" t="s">
        <v>2397</v>
      </c>
      <c r="P71" s="2368" t="s">
        <v>2398</v>
      </c>
      <c r="Q71" s="2361">
        <f ca="1">C13</f>
        <v>1031</v>
      </c>
      <c r="R71" s="2360" t="s">
        <v>2376</v>
      </c>
    </row>
    <row r="72" spans="1:18" ht="15.75" thickBot="1">
      <c r="O72" s="2362" t="s">
        <v>2399</v>
      </c>
      <c r="P72" s="2368" t="s">
        <v>2400</v>
      </c>
      <c r="Q72" s="2363">
        <f ca="1">J36</f>
        <v>0.08</v>
      </c>
      <c r="R72" s="2364"/>
    </row>
    <row r="73" spans="1:18" ht="15.75" thickBot="1">
      <c r="O73" s="2362" t="s">
        <v>2382</v>
      </c>
      <c r="P73" s="2360" t="s">
        <v>2389</v>
      </c>
      <c r="Q73" s="2363">
        <f>L52</f>
        <v>0</v>
      </c>
      <c r="R73" s="2364"/>
    </row>
    <row r="74" spans="1:18" ht="20.25" thickBot="1">
      <c r="O74" s="2362" t="s">
        <v>2384</v>
      </c>
      <c r="P74" s="2360" t="s">
        <v>2390</v>
      </c>
      <c r="Q74" s="2361" t="e">
        <f ca="1">L58</f>
        <v>#DIV/0!</v>
      </c>
      <c r="R74" s="2364" t="s">
        <v>2391</v>
      </c>
    </row>
    <row r="75" spans="1:18" ht="15.75" thickBot="1">
      <c r="O75" s="2362" t="s">
        <v>2413</v>
      </c>
      <c r="P75" s="2360" t="str">
        <f>K59</f>
        <v>建设期及建筑物耐用年限下的土地年期修正系数Kn</v>
      </c>
      <c r="Q75" s="2361" t="e">
        <f ca="1">L59</f>
        <v>#DIV/0!</v>
      </c>
      <c r="R75" s="2364" t="s">
        <v>2393</v>
      </c>
    </row>
    <row r="76" spans="1:18" ht="15.75" thickBot="1">
      <c r="O76" s="2359" t="s">
        <v>2387</v>
      </c>
      <c r="P76" s="2360" t="s">
        <v>2404</v>
      </c>
      <c r="Q76" s="2361">
        <f ca="1">Q66+Q67</f>
        <v>2374</v>
      </c>
      <c r="R76" s="2364"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757</v>
      </c>
      <c r="C1" s="503" t="s">
        <v>720</v>
      </c>
      <c r="D1" s="2331"/>
      <c r="E1" s="505"/>
      <c r="F1" s="2759"/>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467</v>
      </c>
      <c r="B2" s="849"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519</v>
      </c>
      <c r="B3" s="509" t="e">
        <f>C49</f>
        <v>#DIV/0!</v>
      </c>
      <c r="C3" s="851" t="s">
        <v>722</v>
      </c>
      <c r="D3" s="850">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7"/>
    </row>
    <row r="4" spans="1:29" ht="15">
      <c r="A4" s="511" t="s">
        <v>521</v>
      </c>
      <c r="B4" s="512"/>
      <c r="C4" s="3473" t="s">
        <v>522</v>
      </c>
      <c r="D4" s="3474"/>
      <c r="E4" s="3507" t="s">
        <v>523</v>
      </c>
      <c r="F4" s="3508"/>
      <c r="G4" s="3473" t="s">
        <v>524</v>
      </c>
      <c r="H4" s="3474"/>
      <c r="I4" s="3473" t="s">
        <v>525</v>
      </c>
      <c r="J4" s="3474"/>
      <c r="K4" s="513" t="s">
        <v>526</v>
      </c>
      <c r="L4" s="2115"/>
      <c r="M4" s="2116"/>
      <c r="N4" s="2116"/>
      <c r="O4" s="2116"/>
      <c r="P4" s="3475" t="s">
        <v>527</v>
      </c>
      <c r="Q4" s="3476"/>
      <c r="R4" s="3481" t="s">
        <v>523</v>
      </c>
      <c r="S4" s="3482"/>
      <c r="T4" s="3481" t="s">
        <v>524</v>
      </c>
      <c r="U4" s="3482"/>
      <c r="V4" s="3468" t="s">
        <v>525</v>
      </c>
      <c r="W4" s="3468"/>
      <c r="X4" s="1550"/>
      <c r="Y4" s="3481" t="s">
        <v>527</v>
      </c>
      <c r="Z4" s="3482"/>
      <c r="AA4" s="3470" t="s">
        <v>523</v>
      </c>
      <c r="AB4" s="3468" t="s">
        <v>524</v>
      </c>
      <c r="AC4" s="3470" t="s">
        <v>525</v>
      </c>
    </row>
    <row r="5" spans="1:29" ht="15">
      <c r="A5" s="514"/>
      <c r="B5" s="515"/>
      <c r="C5" s="3489" t="s">
        <v>2922</v>
      </c>
      <c r="D5" s="3490"/>
      <c r="E5" s="3509" t="s">
        <v>2923</v>
      </c>
      <c r="F5" s="3510"/>
      <c r="G5" s="3489" t="s">
        <v>2924</v>
      </c>
      <c r="H5" s="3490"/>
      <c r="I5" s="3489" t="s">
        <v>2925</v>
      </c>
      <c r="J5" s="3490"/>
      <c r="K5" s="513"/>
      <c r="L5" s="2115"/>
      <c r="M5" s="2116"/>
      <c r="N5" s="2116"/>
      <c r="O5" s="2116"/>
      <c r="P5" s="3477"/>
      <c r="Q5" s="3478"/>
      <c r="R5" s="3483"/>
      <c r="S5" s="3484"/>
      <c r="T5" s="3483"/>
      <c r="U5" s="3484"/>
      <c r="V5" s="3468"/>
      <c r="W5" s="3468"/>
      <c r="X5" s="1550"/>
      <c r="Y5" s="3483"/>
      <c r="Z5" s="3484"/>
      <c r="AA5" s="3471"/>
      <c r="AB5" s="3468"/>
      <c r="AC5" s="3471"/>
    </row>
    <row r="6" spans="1:29" ht="15.75" thickBot="1">
      <c r="A6" s="516"/>
      <c r="B6" s="517"/>
      <c r="C6" s="3487" t="s">
        <v>2926</v>
      </c>
      <c r="D6" s="3488"/>
      <c r="E6" s="3505" t="s">
        <v>2926</v>
      </c>
      <c r="F6" s="3506"/>
      <c r="G6" s="3487" t="s">
        <v>2926</v>
      </c>
      <c r="H6" s="3488"/>
      <c r="I6" s="3487" t="s">
        <v>2926</v>
      </c>
      <c r="J6" s="3488"/>
      <c r="K6" s="513" t="s">
        <v>528</v>
      </c>
      <c r="L6" s="2115"/>
      <c r="M6" s="2116"/>
      <c r="N6" s="2116"/>
      <c r="O6" s="2116"/>
      <c r="P6" s="3479"/>
      <c r="Q6" s="3480"/>
      <c r="R6" s="3483"/>
      <c r="S6" s="3484"/>
      <c r="T6" s="3485"/>
      <c r="U6" s="3486"/>
      <c r="V6" s="3468"/>
      <c r="W6" s="3468"/>
      <c r="X6" s="1550"/>
      <c r="Y6" s="3485"/>
      <c r="Z6" s="3486"/>
      <c r="AA6" s="3472"/>
      <c r="AB6" s="3468"/>
      <c r="AC6" s="3472"/>
    </row>
    <row r="7" spans="1:29" s="1214" customFormat="1" ht="15.75" thickBot="1">
      <c r="A7" s="2863"/>
      <c r="B7" s="2870" t="s">
        <v>529</v>
      </c>
      <c r="C7" s="518">
        <f>'数据-取费表'!B2</f>
        <v>43692</v>
      </c>
      <c r="D7" s="519">
        <v>100</v>
      </c>
      <c r="E7" s="520"/>
      <c r="F7" s="521">
        <f>SUMIF(58:58,YEAR(E7)&amp;"-"&amp;MONTH(E7),59:59)</f>
        <v>0</v>
      </c>
      <c r="G7" s="520"/>
      <c r="H7" s="519">
        <f>SUMIF(58:58,YEAR(G7)&amp;"-"&amp;MONTH(G7),59:59)</f>
        <v>0</v>
      </c>
      <c r="I7" s="520"/>
      <c r="J7" s="519">
        <f>SUMIF(58:58,YEAR(I7)&amp;"-"&amp;MONTH(I7),59:59)</f>
        <v>0</v>
      </c>
      <c r="K7" s="523"/>
      <c r="L7" s="2117"/>
      <c r="M7" s="2118"/>
      <c r="N7" s="2118"/>
      <c r="O7" s="2118"/>
      <c r="P7" s="3498" t="s">
        <v>530</v>
      </c>
      <c r="Q7" s="3500"/>
      <c r="R7" s="1551" t="s">
        <v>8</v>
      </c>
      <c r="S7" s="1552">
        <f t="shared" ref="S7:S15" si="0">F7</f>
        <v>0</v>
      </c>
      <c r="T7" s="1551" t="s">
        <v>8</v>
      </c>
      <c r="U7" s="1552">
        <f t="shared" ref="U7:U15" si="1">H7</f>
        <v>0</v>
      </c>
      <c r="V7" s="1551" t="s">
        <v>8</v>
      </c>
      <c r="W7" s="1552">
        <f t="shared" ref="W7:W15" si="2">J7</f>
        <v>0</v>
      </c>
      <c r="X7" s="1553"/>
      <c r="Y7" s="3498" t="s">
        <v>530</v>
      </c>
      <c r="Z7" s="3499"/>
      <c r="AA7" s="1554" t="e">
        <f>D7/F7</f>
        <v>#DIV/0!</v>
      </c>
      <c r="AB7" s="1554" t="e">
        <f>D7/H7</f>
        <v>#DIV/0!</v>
      </c>
      <c r="AC7" s="1554" t="e">
        <f>D7/J7</f>
        <v>#DIV/0!</v>
      </c>
    </row>
    <row r="8" spans="1:29" s="1214" customFormat="1" ht="15.75" thickBot="1">
      <c r="A8" s="2864"/>
      <c r="B8" s="2871" t="s">
        <v>531</v>
      </c>
      <c r="C8" s="524" t="s">
        <v>576</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498" t="s">
        <v>533</v>
      </c>
      <c r="Q8" s="3499"/>
      <c r="R8" s="1551" t="s">
        <v>8</v>
      </c>
      <c r="S8" s="1552">
        <f t="shared" si="0"/>
        <v>0</v>
      </c>
      <c r="T8" s="1551" t="s">
        <v>8</v>
      </c>
      <c r="U8" s="1552">
        <f t="shared" si="1"/>
        <v>0</v>
      </c>
      <c r="V8" s="1551" t="s">
        <v>8</v>
      </c>
      <c r="W8" s="1552">
        <f t="shared" si="2"/>
        <v>0</v>
      </c>
      <c r="X8" s="1553"/>
      <c r="Y8" s="3498" t="s">
        <v>533</v>
      </c>
      <c r="Z8" s="3499"/>
      <c r="AA8" s="1554" t="e">
        <f t="shared" ref="AA8:AA46" si="3">D8/F8</f>
        <v>#DIV/0!</v>
      </c>
      <c r="AB8" s="1554" t="e">
        <f t="shared" ref="AB8:AB46" si="4">D8/H8</f>
        <v>#DIV/0!</v>
      </c>
      <c r="AC8" s="1554" t="e">
        <f t="shared" ref="AC8:AC46" si="5">D8/J8</f>
        <v>#DIV/0!</v>
      </c>
    </row>
    <row r="9" spans="1:29" s="1214" customFormat="1" ht="15">
      <c r="A9" s="2865"/>
      <c r="B9" s="2872" t="s">
        <v>2751</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467" t="s">
        <v>535</v>
      </c>
      <c r="Q9" s="1145" t="str">
        <f t="shared" ref="Q9:Q15" si="6">B9</f>
        <v>用途</v>
      </c>
      <c r="R9" s="1551" t="s">
        <v>8</v>
      </c>
      <c r="S9" s="1552">
        <f t="shared" si="0"/>
        <v>100</v>
      </c>
      <c r="T9" s="1551" t="s">
        <v>8</v>
      </c>
      <c r="U9" s="1552">
        <f t="shared" si="1"/>
        <v>100</v>
      </c>
      <c r="V9" s="1551" t="s">
        <v>8</v>
      </c>
      <c r="W9" s="1552">
        <f t="shared" si="2"/>
        <v>100</v>
      </c>
      <c r="X9" s="1553"/>
      <c r="Y9" s="3413" t="s">
        <v>536</v>
      </c>
      <c r="Z9" s="1144" t="str">
        <f t="shared" ref="Z9:Z15" si="7">Q9</f>
        <v>用途</v>
      </c>
      <c r="AA9" s="1554">
        <f t="shared" si="3"/>
        <v>1</v>
      </c>
      <c r="AB9" s="1554">
        <f t="shared" si="4"/>
        <v>1</v>
      </c>
      <c r="AC9" s="1554">
        <f t="shared" si="5"/>
        <v>1</v>
      </c>
    </row>
    <row r="10" spans="1:29" s="1332" customFormat="1" ht="27">
      <c r="A10" s="2866"/>
      <c r="B10" s="2871" t="s">
        <v>2752</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467"/>
      <c r="Q10" s="1145" t="str">
        <f t="shared" si="6"/>
        <v>土地使用年限（年）</v>
      </c>
      <c r="R10" s="1551" t="s">
        <v>8</v>
      </c>
      <c r="S10" s="1552">
        <f t="shared" si="0"/>
        <v>100</v>
      </c>
      <c r="T10" s="1551" t="s">
        <v>8</v>
      </c>
      <c r="U10" s="1552">
        <f t="shared" si="1"/>
        <v>100</v>
      </c>
      <c r="V10" s="1551" t="s">
        <v>8</v>
      </c>
      <c r="W10" s="1552">
        <f t="shared" si="2"/>
        <v>100</v>
      </c>
      <c r="X10" s="1553"/>
      <c r="Y10" s="3413"/>
      <c r="Z10" s="1144" t="str">
        <f t="shared" si="7"/>
        <v>土地使用年限（年）</v>
      </c>
      <c r="AA10" s="1554">
        <f t="shared" si="3"/>
        <v>1</v>
      </c>
      <c r="AB10" s="1554">
        <f t="shared" si="4"/>
        <v>1</v>
      </c>
      <c r="AC10" s="1554">
        <f t="shared" si="5"/>
        <v>1</v>
      </c>
    </row>
    <row r="11" spans="1:29" ht="15">
      <c r="A11" s="2867"/>
      <c r="B11" s="2871" t="s">
        <v>2753</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467"/>
      <c r="Q11" s="1145" t="str">
        <f t="shared" si="6"/>
        <v>容积率</v>
      </c>
      <c r="R11" s="1551" t="s">
        <v>8</v>
      </c>
      <c r="S11" s="1552" t="e">
        <f t="shared" si="0"/>
        <v>#N/A</v>
      </c>
      <c r="T11" s="1551" t="s">
        <v>8</v>
      </c>
      <c r="U11" s="1552" t="e">
        <f t="shared" si="1"/>
        <v>#N/A</v>
      </c>
      <c r="V11" s="1551" t="s">
        <v>8</v>
      </c>
      <c r="W11" s="1552" t="e">
        <f t="shared" si="2"/>
        <v>#N/A</v>
      </c>
      <c r="X11" s="1553"/>
      <c r="Y11" s="3413"/>
      <c r="Z11" s="1144" t="str">
        <f t="shared" si="7"/>
        <v>容积率</v>
      </c>
      <c r="AA11" s="1554" t="e">
        <f t="shared" si="3"/>
        <v>#N/A</v>
      </c>
      <c r="AB11" s="1554" t="e">
        <f t="shared" si="4"/>
        <v>#N/A</v>
      </c>
      <c r="AC11" s="1554" t="e">
        <f t="shared" si="5"/>
        <v>#N/A</v>
      </c>
    </row>
    <row r="12" spans="1:29" s="1214" customFormat="1" ht="15">
      <c r="A12" s="2868"/>
      <c r="B12" s="2874">
        <v>111</v>
      </c>
      <c r="C12" s="527"/>
      <c r="D12" s="537">
        <v>100</v>
      </c>
      <c r="E12" s="538"/>
      <c r="F12" s="254">
        <f>SUMIF(70:70,E12,71:71)-SUMIF(70:70,C12,71:71)+100</f>
        <v>100</v>
      </c>
      <c r="G12" s="910"/>
      <c r="H12" s="254">
        <f>SUMIF(70:70,G12,71:71)-SUMIF(70:70,C12,71:71)+100</f>
        <v>100</v>
      </c>
      <c r="I12" s="538"/>
      <c r="J12" s="254">
        <f>SUMIF(70:70,I12,71:71)-SUMIF(70:70,C12,71:71)+100</f>
        <v>100</v>
      </c>
      <c r="K12" s="580"/>
      <c r="L12" s="2117"/>
      <c r="M12" s="2118"/>
      <c r="N12" s="2118"/>
      <c r="O12" s="2119"/>
      <c r="P12" s="3467"/>
      <c r="Q12" s="1145">
        <f t="shared" si="6"/>
        <v>111</v>
      </c>
      <c r="R12" s="1551" t="s">
        <v>8</v>
      </c>
      <c r="S12" s="1552">
        <f t="shared" si="0"/>
        <v>100</v>
      </c>
      <c r="T12" s="1551" t="s">
        <v>8</v>
      </c>
      <c r="U12" s="1552">
        <f t="shared" si="1"/>
        <v>100</v>
      </c>
      <c r="V12" s="1551" t="s">
        <v>8</v>
      </c>
      <c r="W12" s="1552">
        <f t="shared" si="2"/>
        <v>100</v>
      </c>
      <c r="X12" s="1553"/>
      <c r="Y12" s="3413"/>
      <c r="Z12" s="1144">
        <f t="shared" si="7"/>
        <v>111</v>
      </c>
      <c r="AA12" s="1554">
        <f>D12/F12</f>
        <v>1</v>
      </c>
      <c r="AB12" s="1554">
        <f>D12/H12</f>
        <v>1</v>
      </c>
      <c r="AC12" s="1554">
        <f>D12/J12</f>
        <v>1</v>
      </c>
    </row>
    <row r="13" spans="1:29" ht="15">
      <c r="A13" s="2868"/>
      <c r="B13" s="2874">
        <v>111</v>
      </c>
      <c r="C13" s="538"/>
      <c r="D13" s="539">
        <v>100</v>
      </c>
      <c r="E13" s="538"/>
      <c r="F13" s="254">
        <f>SUMIF(72:72,E13,73:73)-SUMIF(72:72,C13,73:73)+100</f>
        <v>100</v>
      </c>
      <c r="G13" s="910"/>
      <c r="H13" s="539">
        <f>SUMIF(72:72,G13,73:73)-SUMIF(72:72,C13,73:73)+100</f>
        <v>100</v>
      </c>
      <c r="I13" s="538"/>
      <c r="J13" s="539">
        <f>SUMIF(72:72,I13,73:73)-SUMIF(72:72,C13,73:73)+100</f>
        <v>100</v>
      </c>
      <c r="K13" s="580"/>
      <c r="L13" s="2124"/>
      <c r="M13" s="2116"/>
      <c r="N13" s="2116"/>
      <c r="O13" s="2123"/>
      <c r="P13" s="3467"/>
      <c r="Q13" s="1145">
        <f t="shared" si="6"/>
        <v>111</v>
      </c>
      <c r="R13" s="1551" t="s">
        <v>8</v>
      </c>
      <c r="S13" s="1552">
        <f t="shared" si="0"/>
        <v>100</v>
      </c>
      <c r="T13" s="1551" t="s">
        <v>8</v>
      </c>
      <c r="U13" s="1552">
        <f t="shared" si="1"/>
        <v>100</v>
      </c>
      <c r="V13" s="1551" t="s">
        <v>8</v>
      </c>
      <c r="W13" s="1552">
        <f t="shared" si="2"/>
        <v>100</v>
      </c>
      <c r="X13" s="1553"/>
      <c r="Y13" s="3413"/>
      <c r="Z13" s="1144">
        <f t="shared" si="7"/>
        <v>111</v>
      </c>
      <c r="AA13" s="1554">
        <f t="shared" si="3"/>
        <v>1</v>
      </c>
      <c r="AB13" s="1554">
        <f t="shared" si="4"/>
        <v>1</v>
      </c>
      <c r="AC13" s="1554">
        <f t="shared" si="5"/>
        <v>1</v>
      </c>
    </row>
    <row r="14" spans="1:29" ht="15.75" thickBot="1">
      <c r="A14" s="2869"/>
      <c r="B14" s="2875">
        <v>111</v>
      </c>
      <c r="C14" s="544"/>
      <c r="D14" s="545">
        <v>100</v>
      </c>
      <c r="E14" s="544"/>
      <c r="F14" s="545">
        <f>SUMIF(74:74,E14,75:75)-SUMIF(74:74,C14,75:75)+100</f>
        <v>100</v>
      </c>
      <c r="G14" s="910"/>
      <c r="H14" s="545">
        <f>SUMIF(74:74,G14,75:75)-SUMIF(74:74,C14,75:75)+100</f>
        <v>100</v>
      </c>
      <c r="I14" s="538"/>
      <c r="J14" s="545">
        <f>SUMIF(74:74,I14,75:75)-SUMIF(74:74,C14,75:75)+100</f>
        <v>100</v>
      </c>
      <c r="K14" s="580"/>
      <c r="L14" s="2124"/>
      <c r="M14" s="2116"/>
      <c r="N14" s="2116"/>
      <c r="O14" s="2123"/>
      <c r="P14" s="3467"/>
      <c r="Q14" s="1145">
        <f t="shared" si="6"/>
        <v>111</v>
      </c>
      <c r="R14" s="1551" t="s">
        <v>8</v>
      </c>
      <c r="S14" s="1552">
        <f t="shared" si="0"/>
        <v>100</v>
      </c>
      <c r="T14" s="1551" t="s">
        <v>8</v>
      </c>
      <c r="U14" s="1552">
        <f t="shared" si="1"/>
        <v>100</v>
      </c>
      <c r="V14" s="1551" t="s">
        <v>8</v>
      </c>
      <c r="W14" s="1552">
        <f t="shared" si="2"/>
        <v>100</v>
      </c>
      <c r="X14" s="1553"/>
      <c r="Y14" s="3413"/>
      <c r="Z14" s="1144">
        <f t="shared" si="7"/>
        <v>111</v>
      </c>
      <c r="AA14" s="1554">
        <f t="shared" si="3"/>
        <v>1</v>
      </c>
      <c r="AB14" s="1554">
        <f t="shared" si="4"/>
        <v>1</v>
      </c>
      <c r="AC14" s="1554">
        <f t="shared" si="5"/>
        <v>1</v>
      </c>
    </row>
    <row r="15" spans="1:29" ht="15">
      <c r="A15" s="2861" t="s">
        <v>2749</v>
      </c>
      <c r="B15" s="165" t="s">
        <v>541</v>
      </c>
      <c r="C15" s="866" t="str">
        <f>估价对象房地状况!C4</f>
        <v>一般</v>
      </c>
      <c r="D15" s="548">
        <v>100</v>
      </c>
      <c r="E15" s="549"/>
      <c r="F15" s="550">
        <f>SUMIF(76:76,E16,77:77)-SUMIF(76:76,C16,77:77)+100</f>
        <v>100</v>
      </c>
      <c r="G15" s="551"/>
      <c r="H15" s="548">
        <f>SUMIF(76:76,G16,77:77)-SUMIF(76:76,C16,77:77)+100</f>
        <v>100</v>
      </c>
      <c r="I15" s="549"/>
      <c r="J15" s="548">
        <f>SUMIF(76:76,I16,77:77)-SUMIF(76:76,C16,77:77)+100</f>
        <v>100</v>
      </c>
      <c r="K15" s="896"/>
      <c r="L15" s="2124"/>
      <c r="M15" s="2116"/>
      <c r="N15" s="2116"/>
      <c r="O15" s="2123"/>
      <c r="P15" s="3501" t="s">
        <v>540</v>
      </c>
      <c r="Q15" s="1555" t="str">
        <f t="shared" si="6"/>
        <v>商业繁华度</v>
      </c>
      <c r="R15" s="1556" t="s">
        <v>8</v>
      </c>
      <c r="S15" s="1557">
        <f t="shared" si="0"/>
        <v>100</v>
      </c>
      <c r="T15" s="1556" t="s">
        <v>8</v>
      </c>
      <c r="U15" s="1557">
        <f t="shared" si="1"/>
        <v>100</v>
      </c>
      <c r="V15" s="1556" t="s">
        <v>8</v>
      </c>
      <c r="W15" s="1557">
        <f t="shared" si="2"/>
        <v>100</v>
      </c>
      <c r="X15" s="1550"/>
      <c r="Y15" s="3501" t="s">
        <v>540</v>
      </c>
      <c r="Z15" s="1558" t="str">
        <f t="shared" si="7"/>
        <v>商业繁华度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502"/>
      <c r="Q16" s="1555"/>
      <c r="R16" s="1556"/>
      <c r="S16" s="1557"/>
      <c r="T16" s="1556"/>
      <c r="U16" s="1557"/>
      <c r="V16" s="1556"/>
      <c r="W16" s="1557"/>
      <c r="X16" s="1550"/>
      <c r="Y16" s="3502"/>
      <c r="Z16" s="1558"/>
      <c r="AA16" s="1559">
        <v>1</v>
      </c>
      <c r="AB16" s="1559">
        <v>1</v>
      </c>
      <c r="AC16" s="1559">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96"/>
      <c r="L17" s="2124"/>
      <c r="M17" s="2116"/>
      <c r="N17" s="2116"/>
      <c r="O17" s="2123"/>
      <c r="P17" s="3502"/>
      <c r="Q17" s="1555" t="str">
        <f>B17</f>
        <v>交通便捷度</v>
      </c>
      <c r="R17" s="1556" t="s">
        <v>8</v>
      </c>
      <c r="S17" s="1557">
        <f>F17</f>
        <v>100</v>
      </c>
      <c r="T17" s="1556" t="s">
        <v>8</v>
      </c>
      <c r="U17" s="1557">
        <f>H17</f>
        <v>100</v>
      </c>
      <c r="V17" s="1556" t="s">
        <v>8</v>
      </c>
      <c r="W17" s="1557">
        <f>J17</f>
        <v>100</v>
      </c>
      <c r="X17" s="1550"/>
      <c r="Y17" s="3502"/>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502"/>
      <c r="Q18" s="1555"/>
      <c r="R18" s="1556"/>
      <c r="S18" s="1557"/>
      <c r="T18" s="1556"/>
      <c r="U18" s="1557"/>
      <c r="V18" s="1556"/>
      <c r="W18" s="1557"/>
      <c r="X18" s="1550"/>
      <c r="Y18" s="3502"/>
      <c r="Z18" s="1558"/>
      <c r="AA18" s="1559">
        <v>1</v>
      </c>
      <c r="AB18" s="1559">
        <v>1</v>
      </c>
      <c r="AC18" s="1559">
        <v>1</v>
      </c>
    </row>
    <row r="19" spans="1:29" ht="15">
      <c r="A19" s="531"/>
      <c r="B19" s="2561" t="s">
        <v>2541</v>
      </c>
      <c r="C19" s="871" t="str">
        <f>估价对象房地状况!C7</f>
        <v>一般</v>
      </c>
      <c r="D19" s="564">
        <v>100</v>
      </c>
      <c r="E19" s="569"/>
      <c r="F19" s="570">
        <f>SUMIF(80:80,E20,81:81)-SUMIF(80:80,C20,81:81)+100</f>
        <v>100</v>
      </c>
      <c r="G19" s="571"/>
      <c r="H19" s="558">
        <f>SUMIF(80:80,G20,81:81)-SUMIF(80:80,C20,81:81)+100</f>
        <v>100</v>
      </c>
      <c r="I19" s="569"/>
      <c r="J19" s="558">
        <f>SUMIF(80:80,I20,81:81)-SUMIF(80:80,C20,81:81)+100</f>
        <v>100</v>
      </c>
      <c r="K19" s="896"/>
      <c r="L19" s="2124"/>
      <c r="M19" s="2116"/>
      <c r="N19" s="2116"/>
      <c r="O19" s="2123"/>
      <c r="P19" s="3502"/>
      <c r="Q19" s="1555" t="str">
        <f>B19</f>
        <v>公共配套设施</v>
      </c>
      <c r="R19" s="1556" t="s">
        <v>8</v>
      </c>
      <c r="S19" s="1557">
        <f>F19</f>
        <v>100</v>
      </c>
      <c r="T19" s="1556" t="s">
        <v>8</v>
      </c>
      <c r="U19" s="1557">
        <f>H19</f>
        <v>100</v>
      </c>
      <c r="V19" s="1556" t="s">
        <v>8</v>
      </c>
      <c r="W19" s="1557">
        <f>J19</f>
        <v>100</v>
      </c>
      <c r="X19" s="1550"/>
      <c r="Y19" s="3502"/>
      <c r="Z19" s="1558" t="str">
        <f>Q19</f>
        <v>公共配套设施</v>
      </c>
      <c r="AA19" s="1559">
        <f t="shared" si="3"/>
        <v>1</v>
      </c>
      <c r="AB19" s="1559">
        <f t="shared" si="4"/>
        <v>1</v>
      </c>
      <c r="AC19" s="1559">
        <f t="shared" si="5"/>
        <v>1</v>
      </c>
    </row>
    <row r="20" spans="1:29" ht="15">
      <c r="A20" s="531"/>
      <c r="B20" s="594"/>
      <c r="C20" s="575"/>
      <c r="D20" s="554"/>
      <c r="E20" s="555"/>
      <c r="F20" s="556"/>
      <c r="G20" s="557"/>
      <c r="H20" s="554"/>
      <c r="I20" s="555"/>
      <c r="J20" s="554"/>
      <c r="K20" s="897"/>
      <c r="L20" s="2124"/>
      <c r="M20" s="2116"/>
      <c r="N20" s="2116"/>
      <c r="O20" s="2123"/>
      <c r="P20" s="3502"/>
      <c r="Q20" s="1555"/>
      <c r="R20" s="1556"/>
      <c r="S20" s="1557"/>
      <c r="T20" s="1556"/>
      <c r="U20" s="1557"/>
      <c r="V20" s="1556"/>
      <c r="W20" s="1557"/>
      <c r="X20" s="1550"/>
      <c r="Y20" s="3502"/>
      <c r="Z20" s="1558"/>
      <c r="AA20" s="1559">
        <v>1</v>
      </c>
      <c r="AB20" s="1559">
        <v>1</v>
      </c>
      <c r="AC20" s="1559">
        <v>1</v>
      </c>
    </row>
    <row r="21" spans="1:29" ht="15">
      <c r="A21" s="531"/>
      <c r="B21" s="2554" t="s">
        <v>2553</v>
      </c>
      <c r="C21" s="871" t="str">
        <f>估价对象房地状况!C8</f>
        <v>六通</v>
      </c>
      <c r="D21" s="564">
        <v>100</v>
      </c>
      <c r="E21" s="571"/>
      <c r="F21" s="570">
        <f>SUMIF(82:82,E22,83:83)-SUMIF(82:82,C22,83:83)+100</f>
        <v>100</v>
      </c>
      <c r="G21" s="571"/>
      <c r="H21" s="564">
        <f>SUMIF(82:82,G22,83:83)-SUMIF(82:82,C22,83:83)+100</f>
        <v>100</v>
      </c>
      <c r="I21" s="569"/>
      <c r="J21" s="564">
        <f>SUMIF(82:82,I22,83:83)-SUMIF(82:82,C22,83:83)+100</f>
        <v>100</v>
      </c>
      <c r="K21" s="896"/>
      <c r="L21" s="2124"/>
      <c r="M21" s="2116"/>
      <c r="N21" s="2116"/>
      <c r="O21" s="2123"/>
      <c r="P21" s="3502"/>
      <c r="Q21" s="2540" t="str">
        <f>B21</f>
        <v>基础设施水平</v>
      </c>
      <c r="R21" s="1556" t="s">
        <v>8</v>
      </c>
      <c r="S21" s="1557">
        <f>F21</f>
        <v>100</v>
      </c>
      <c r="T21" s="1556" t="s">
        <v>8</v>
      </c>
      <c r="U21" s="1557">
        <f>H21</f>
        <v>100</v>
      </c>
      <c r="V21" s="1556" t="s">
        <v>8</v>
      </c>
      <c r="W21" s="1557">
        <f>J21</f>
        <v>100</v>
      </c>
      <c r="X21" s="2542"/>
      <c r="Y21" s="3502"/>
      <c r="Z21" s="2541" t="str">
        <f>Q21</f>
        <v>基础设施水平</v>
      </c>
      <c r="AA21" s="1559">
        <f t="shared" ref="AA21" si="8">D21/F21</f>
        <v>1</v>
      </c>
      <c r="AB21" s="1559">
        <f t="shared" ref="AB21" si="9">D21/H21</f>
        <v>1</v>
      </c>
      <c r="AC21" s="1559">
        <f t="shared" ref="AC21" si="10">D21/J21</f>
        <v>1</v>
      </c>
    </row>
    <row r="22" spans="1:29" ht="15">
      <c r="A22" s="531"/>
      <c r="B22" s="920"/>
      <c r="C22" s="872"/>
      <c r="D22" s="554"/>
      <c r="E22" s="575"/>
      <c r="F22" s="556"/>
      <c r="G22" s="575"/>
      <c r="H22" s="554"/>
      <c r="I22" s="575"/>
      <c r="J22" s="554"/>
      <c r="K22" s="2563"/>
      <c r="L22" s="2124"/>
      <c r="M22" s="2116"/>
      <c r="N22" s="2116"/>
      <c r="O22" s="2123"/>
      <c r="P22" s="3502"/>
      <c r="Q22" s="2540"/>
      <c r="R22" s="1556"/>
      <c r="S22" s="1557"/>
      <c r="T22" s="1556"/>
      <c r="U22" s="1557"/>
      <c r="V22" s="1556"/>
      <c r="W22" s="1557"/>
      <c r="X22" s="2542"/>
      <c r="Y22" s="3502"/>
      <c r="Z22" s="2541"/>
      <c r="AA22" s="1559">
        <v>1</v>
      </c>
      <c r="AB22" s="1559">
        <v>1</v>
      </c>
      <c r="AC22" s="1559">
        <v>1</v>
      </c>
    </row>
    <row r="23" spans="1:29" ht="15">
      <c r="A23" s="531"/>
      <c r="B23" s="870" t="s">
        <v>297</v>
      </c>
      <c r="C23" s="898"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96"/>
      <c r="L23" s="2124"/>
      <c r="M23" s="2116"/>
      <c r="N23" s="2116"/>
      <c r="O23" s="2123"/>
      <c r="P23" s="3502"/>
      <c r="Q23" s="1555" t="str">
        <f>B23</f>
        <v>自然及人文环境</v>
      </c>
      <c r="R23" s="1556" t="s">
        <v>8</v>
      </c>
      <c r="S23" s="1557">
        <f>F23</f>
        <v>100</v>
      </c>
      <c r="T23" s="1556" t="s">
        <v>8</v>
      </c>
      <c r="U23" s="1557">
        <f>H23</f>
        <v>100</v>
      </c>
      <c r="V23" s="1556" t="s">
        <v>8</v>
      </c>
      <c r="W23" s="1557">
        <f>J23</f>
        <v>100</v>
      </c>
      <c r="X23" s="1550"/>
      <c r="Y23" s="3502"/>
      <c r="Z23" s="1558" t="str">
        <f>Q23</f>
        <v>自然及人文环境</v>
      </c>
      <c r="AA23" s="1559">
        <f t="shared" si="3"/>
        <v>1</v>
      </c>
      <c r="AB23" s="1559">
        <f t="shared" si="4"/>
        <v>1</v>
      </c>
      <c r="AC23" s="1559">
        <f t="shared" si="5"/>
        <v>1</v>
      </c>
    </row>
    <row r="24" spans="1:29" ht="15">
      <c r="A24" s="531"/>
      <c r="B24" s="594"/>
      <c r="C24" s="575"/>
      <c r="D24" s="554"/>
      <c r="E24" s="555"/>
      <c r="F24" s="556"/>
      <c r="G24" s="557"/>
      <c r="H24" s="554"/>
      <c r="I24" s="555"/>
      <c r="J24" s="554"/>
      <c r="K24" s="897"/>
      <c r="L24" s="2124"/>
      <c r="M24" s="2116"/>
      <c r="N24" s="2116"/>
      <c r="O24" s="2123"/>
      <c r="P24" s="3502"/>
      <c r="Q24" s="1555"/>
      <c r="R24" s="1556"/>
      <c r="S24" s="1557"/>
      <c r="T24" s="1556"/>
      <c r="U24" s="1557"/>
      <c r="V24" s="1556"/>
      <c r="W24" s="1557"/>
      <c r="X24" s="1550"/>
      <c r="Y24" s="3502"/>
      <c r="Z24" s="1558"/>
      <c r="AA24" s="1559">
        <v>1</v>
      </c>
      <c r="AB24" s="1559">
        <v>1</v>
      </c>
      <c r="AC24" s="1559">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502"/>
      <c r="Q25" s="1555" t="str">
        <f t="shared" ref="Q25:Q46" si="11">B25</f>
        <v>临街状况</v>
      </c>
      <c r="R25" s="1556" t="s">
        <v>8</v>
      </c>
      <c r="S25" s="1557">
        <f>F25</f>
        <v>100</v>
      </c>
      <c r="T25" s="1556" t="s">
        <v>8</v>
      </c>
      <c r="U25" s="1557">
        <f>H25</f>
        <v>100</v>
      </c>
      <c r="V25" s="1556" t="s">
        <v>8</v>
      </c>
      <c r="W25" s="1557">
        <f>J25</f>
        <v>100</v>
      </c>
      <c r="X25" s="1550"/>
      <c r="Y25" s="3502"/>
      <c r="Z25" s="1558" t="str">
        <f>Q25</f>
        <v>临街状况</v>
      </c>
      <c r="AA25" s="1559">
        <f t="shared" si="3"/>
        <v>1</v>
      </c>
      <c r="AB25" s="1559">
        <f t="shared" si="4"/>
        <v>1</v>
      </c>
      <c r="AC25" s="1559">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502"/>
      <c r="Q26" s="1555" t="str">
        <f t="shared" si="11"/>
        <v>平面位置/可视性</v>
      </c>
      <c r="R26" s="1556" t="s">
        <v>8</v>
      </c>
      <c r="S26" s="1557">
        <f>F26</f>
        <v>100</v>
      </c>
      <c r="T26" s="1556" t="s">
        <v>8</v>
      </c>
      <c r="U26" s="1557">
        <f>H26</f>
        <v>100</v>
      </c>
      <c r="V26" s="1556" t="s">
        <v>8</v>
      </c>
      <c r="W26" s="1557">
        <f>J26</f>
        <v>100</v>
      </c>
      <c r="X26" s="1550"/>
      <c r="Y26" s="3502"/>
      <c r="Z26" s="1558" t="str">
        <f>Q26</f>
        <v>平面位置/可视性</v>
      </c>
      <c r="AA26" s="1559">
        <f t="shared" si="3"/>
        <v>1</v>
      </c>
      <c r="AB26" s="1559">
        <f t="shared" si="4"/>
        <v>1</v>
      </c>
      <c r="AC26" s="1559">
        <f t="shared" si="5"/>
        <v>1</v>
      </c>
    </row>
    <row r="27" spans="1:29" s="1214"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7"/>
      <c r="M27" s="2118"/>
      <c r="N27" s="2118"/>
      <c r="O27" s="2119"/>
      <c r="P27" s="3502"/>
      <c r="Q27" s="1145" t="str">
        <f t="shared" si="11"/>
        <v>人流量</v>
      </c>
      <c r="R27" s="1551" t="s">
        <v>8</v>
      </c>
      <c r="S27" s="1552">
        <f>F27</f>
        <v>100</v>
      </c>
      <c r="T27" s="1551" t="s">
        <v>8</v>
      </c>
      <c r="U27" s="1552">
        <f>H27</f>
        <v>100</v>
      </c>
      <c r="V27" s="1551" t="s">
        <v>8</v>
      </c>
      <c r="W27" s="1552">
        <f>J27</f>
        <v>100</v>
      </c>
      <c r="X27" s="1553"/>
      <c r="Y27" s="3502"/>
      <c r="Z27" s="1144" t="str">
        <f>Q27</f>
        <v>人流量</v>
      </c>
      <c r="AA27" s="1559">
        <f>D27/F27</f>
        <v>1</v>
      </c>
      <c r="AB27" s="1559">
        <f>D27/H27</f>
        <v>1</v>
      </c>
      <c r="AC27" s="1559">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502"/>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502"/>
      <c r="Z28" s="1558" t="str">
        <f t="shared" ref="Z28:Z46" si="15">Q28</f>
        <v>楼层</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502"/>
      <c r="Q29" s="1555">
        <f t="shared" si="11"/>
        <v>111</v>
      </c>
      <c r="R29" s="1556" t="s">
        <v>8</v>
      </c>
      <c r="S29" s="1557">
        <f t="shared" si="12"/>
        <v>100</v>
      </c>
      <c r="T29" s="1556" t="s">
        <v>8</v>
      </c>
      <c r="U29" s="1557">
        <f t="shared" si="13"/>
        <v>100</v>
      </c>
      <c r="V29" s="1556" t="s">
        <v>8</v>
      </c>
      <c r="W29" s="1557">
        <f t="shared" si="14"/>
        <v>100</v>
      </c>
      <c r="X29" s="1550"/>
      <c r="Y29" s="3502"/>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502"/>
      <c r="Q30" s="1555">
        <f t="shared" si="11"/>
        <v>111</v>
      </c>
      <c r="R30" s="1556" t="s">
        <v>8</v>
      </c>
      <c r="S30" s="1557">
        <f t="shared" si="12"/>
        <v>100</v>
      </c>
      <c r="T30" s="1556" t="s">
        <v>8</v>
      </c>
      <c r="U30" s="1557">
        <f t="shared" si="13"/>
        <v>100</v>
      </c>
      <c r="V30" s="1556" t="s">
        <v>8</v>
      </c>
      <c r="W30" s="1557">
        <f t="shared" si="14"/>
        <v>100</v>
      </c>
      <c r="X30" s="1550"/>
      <c r="Y30" s="3502"/>
      <c r="Z30" s="1558">
        <f t="shared" si="15"/>
        <v>111</v>
      </c>
      <c r="AA30" s="1559">
        <f t="shared" si="3"/>
        <v>1</v>
      </c>
      <c r="AB30" s="1559">
        <f t="shared" si="4"/>
        <v>1</v>
      </c>
      <c r="AC30" s="1559">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502"/>
      <c r="Q31" s="1555">
        <f t="shared" si="11"/>
        <v>111</v>
      </c>
      <c r="R31" s="1556" t="s">
        <v>8</v>
      </c>
      <c r="S31" s="1557">
        <f t="shared" si="12"/>
        <v>100</v>
      </c>
      <c r="T31" s="1556" t="s">
        <v>8</v>
      </c>
      <c r="U31" s="1557">
        <f t="shared" si="13"/>
        <v>100</v>
      </c>
      <c r="V31" s="1556" t="s">
        <v>8</v>
      </c>
      <c r="W31" s="1557">
        <f t="shared" si="14"/>
        <v>100</v>
      </c>
      <c r="X31" s="1550"/>
      <c r="Y31" s="3502"/>
      <c r="Z31" s="1558">
        <f t="shared" si="15"/>
        <v>111</v>
      </c>
      <c r="AA31" s="1559">
        <f t="shared" si="3"/>
        <v>1</v>
      </c>
      <c r="AB31" s="1559">
        <f t="shared" si="4"/>
        <v>1</v>
      </c>
      <c r="AC31" s="1559">
        <f t="shared" si="5"/>
        <v>1</v>
      </c>
    </row>
    <row r="32" spans="1:29" ht="15">
      <c r="A32" s="2859" t="s">
        <v>2750</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503" t="s">
        <v>550</v>
      </c>
      <c r="Q32" s="1555" t="str">
        <f t="shared" si="11"/>
        <v>商业类型</v>
      </c>
      <c r="R32" s="1556" t="s">
        <v>8</v>
      </c>
      <c r="S32" s="1557">
        <f t="shared" si="12"/>
        <v>100</v>
      </c>
      <c r="T32" s="1556" t="s">
        <v>8</v>
      </c>
      <c r="U32" s="1557">
        <f t="shared" si="13"/>
        <v>100</v>
      </c>
      <c r="V32" s="1556" t="s">
        <v>8</v>
      </c>
      <c r="W32" s="1557">
        <f t="shared" si="14"/>
        <v>100</v>
      </c>
      <c r="X32" s="1550"/>
      <c r="Y32" s="3504" t="s">
        <v>550</v>
      </c>
      <c r="Z32" s="1558" t="str">
        <f t="shared" si="15"/>
        <v>商业类型</v>
      </c>
      <c r="AA32" s="1559">
        <f t="shared" si="3"/>
        <v>1</v>
      </c>
      <c r="AB32" s="1559">
        <f t="shared" si="4"/>
        <v>1</v>
      </c>
      <c r="AC32" s="1559">
        <f t="shared" si="5"/>
        <v>1</v>
      </c>
    </row>
    <row r="33" spans="1:29" s="1333"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504"/>
      <c r="Q33" s="1587" t="str">
        <f t="shared" si="11"/>
        <v>项目建筑规模</v>
      </c>
      <c r="R33" s="1560" t="s">
        <v>8</v>
      </c>
      <c r="S33" s="1561" t="e">
        <f t="shared" si="12"/>
        <v>#N/A</v>
      </c>
      <c r="T33" s="1560" t="s">
        <v>8</v>
      </c>
      <c r="U33" s="1561" t="e">
        <f t="shared" si="13"/>
        <v>#N/A</v>
      </c>
      <c r="V33" s="1560" t="s">
        <v>8</v>
      </c>
      <c r="W33" s="1561" t="e">
        <f t="shared" si="14"/>
        <v>#N/A</v>
      </c>
      <c r="X33" s="1562"/>
      <c r="Y33" s="3504"/>
      <c r="Z33" s="1563" t="str">
        <f t="shared" si="15"/>
        <v>项目建筑规模</v>
      </c>
      <c r="AA33" s="1559" t="e">
        <f t="shared" si="3"/>
        <v>#N/A</v>
      </c>
      <c r="AB33" s="1559" t="e">
        <f t="shared" si="4"/>
        <v>#N/A</v>
      </c>
      <c r="AC33" s="1559"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4"/>
      <c r="M34" s="2116"/>
      <c r="N34" s="2116"/>
      <c r="O34" s="2123"/>
      <c r="P34" s="3504"/>
      <c r="Q34" s="1555" t="str">
        <f t="shared" si="11"/>
        <v>建筑结构</v>
      </c>
      <c r="R34" s="1556" t="s">
        <v>8</v>
      </c>
      <c r="S34" s="1557">
        <f t="shared" si="12"/>
        <v>100</v>
      </c>
      <c r="T34" s="1556" t="s">
        <v>8</v>
      </c>
      <c r="U34" s="1557">
        <f t="shared" si="13"/>
        <v>100</v>
      </c>
      <c r="V34" s="1556" t="s">
        <v>8</v>
      </c>
      <c r="W34" s="1557">
        <f t="shared" si="14"/>
        <v>100</v>
      </c>
      <c r="X34" s="1550"/>
      <c r="Y34" s="3504"/>
      <c r="Z34" s="1558" t="str">
        <f t="shared" si="15"/>
        <v>建筑结构</v>
      </c>
      <c r="AA34" s="1559">
        <f t="shared" si="3"/>
        <v>1</v>
      </c>
      <c r="AB34" s="1559">
        <f t="shared" si="4"/>
        <v>1</v>
      </c>
      <c r="AC34" s="1559">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504"/>
      <c r="Q35" s="1555" t="str">
        <f t="shared" si="11"/>
        <v>公共部分装修</v>
      </c>
      <c r="R35" s="1556" t="s">
        <v>8</v>
      </c>
      <c r="S35" s="1557">
        <f t="shared" si="12"/>
        <v>100</v>
      </c>
      <c r="T35" s="1556" t="s">
        <v>8</v>
      </c>
      <c r="U35" s="1557">
        <f t="shared" si="13"/>
        <v>100</v>
      </c>
      <c r="V35" s="1556" t="s">
        <v>8</v>
      </c>
      <c r="W35" s="1557">
        <f t="shared" si="14"/>
        <v>100</v>
      </c>
      <c r="X35" s="1550"/>
      <c r="Y35" s="3504"/>
      <c r="Z35" s="1558" t="str">
        <f t="shared" si="15"/>
        <v>公共部分装修</v>
      </c>
      <c r="AA35" s="1559">
        <f t="shared" si="3"/>
        <v>1</v>
      </c>
      <c r="AB35" s="1559">
        <f t="shared" si="4"/>
        <v>1</v>
      </c>
      <c r="AC35" s="1559">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4"/>
      <c r="M36" s="2116"/>
      <c r="N36" s="2116"/>
      <c r="O36" s="2123"/>
      <c r="P36" s="3504"/>
      <c r="Q36" s="1555" t="str">
        <f t="shared" si="11"/>
        <v>成新度</v>
      </c>
      <c r="R36" s="1556" t="s">
        <v>8</v>
      </c>
      <c r="S36" s="1557" t="e">
        <f t="shared" si="12"/>
        <v>#N/A</v>
      </c>
      <c r="T36" s="1556" t="s">
        <v>8</v>
      </c>
      <c r="U36" s="1557" t="e">
        <f t="shared" si="13"/>
        <v>#N/A</v>
      </c>
      <c r="V36" s="1556" t="s">
        <v>8</v>
      </c>
      <c r="W36" s="1557" t="e">
        <f t="shared" si="14"/>
        <v>#N/A</v>
      </c>
      <c r="X36" s="1550"/>
      <c r="Y36" s="3504"/>
      <c r="Z36" s="1558" t="str">
        <f t="shared" si="15"/>
        <v>成新度</v>
      </c>
      <c r="AA36" s="1559" t="e">
        <f t="shared" si="3"/>
        <v>#N/A</v>
      </c>
      <c r="AB36" s="1559" t="e">
        <f t="shared" si="4"/>
        <v>#N/A</v>
      </c>
      <c r="AC36" s="1559" t="e">
        <f t="shared" si="5"/>
        <v>#N/A</v>
      </c>
    </row>
    <row r="37" spans="1:29" s="1214" customFormat="1" ht="15">
      <c r="A37" s="599"/>
      <c r="B37" s="1877" t="s">
        <v>2560</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504"/>
      <c r="Q37" s="1145" t="str">
        <f t="shared" si="11"/>
        <v>市政基础设施</v>
      </c>
      <c r="R37" s="1551" t="s">
        <v>8</v>
      </c>
      <c r="S37" s="1552">
        <f t="shared" si="12"/>
        <v>100</v>
      </c>
      <c r="T37" s="1551" t="s">
        <v>8</v>
      </c>
      <c r="U37" s="1552">
        <f t="shared" si="13"/>
        <v>100</v>
      </c>
      <c r="V37" s="1551" t="s">
        <v>8</v>
      </c>
      <c r="W37" s="1552">
        <f t="shared" si="14"/>
        <v>100</v>
      </c>
      <c r="X37" s="1553"/>
      <c r="Y37" s="3504"/>
      <c r="Z37" s="1144" t="str">
        <f t="shared" si="15"/>
        <v>市政基础设施</v>
      </c>
      <c r="AA37" s="1554">
        <f t="shared" si="3"/>
        <v>1</v>
      </c>
      <c r="AB37" s="1554">
        <f t="shared" si="4"/>
        <v>1</v>
      </c>
      <c r="AC37" s="1554">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504" t="s">
        <v>766</v>
      </c>
      <c r="Q38" s="1555" t="str">
        <f t="shared" si="11"/>
        <v>业态</v>
      </c>
      <c r="R38" s="1556" t="s">
        <v>8</v>
      </c>
      <c r="S38" s="1557">
        <f t="shared" si="12"/>
        <v>100</v>
      </c>
      <c r="T38" s="1556" t="s">
        <v>8</v>
      </c>
      <c r="U38" s="1557">
        <f t="shared" si="13"/>
        <v>100</v>
      </c>
      <c r="V38" s="1556" t="s">
        <v>8</v>
      </c>
      <c r="W38" s="1557">
        <f t="shared" si="14"/>
        <v>100</v>
      </c>
      <c r="X38" s="1550"/>
      <c r="Y38" s="3504" t="s">
        <v>766</v>
      </c>
      <c r="Z38" s="1558" t="str">
        <f t="shared" si="15"/>
        <v>业态</v>
      </c>
      <c r="AA38" s="1559">
        <f t="shared" si="3"/>
        <v>1</v>
      </c>
      <c r="AB38" s="1559">
        <f t="shared" si="4"/>
        <v>1</v>
      </c>
      <c r="AC38" s="1559">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504"/>
      <c r="Q39" s="1555" t="str">
        <f t="shared" si="11"/>
        <v>层高</v>
      </c>
      <c r="R39" s="1556" t="s">
        <v>8</v>
      </c>
      <c r="S39" s="1557">
        <f t="shared" si="12"/>
        <v>100</v>
      </c>
      <c r="T39" s="1556" t="s">
        <v>8</v>
      </c>
      <c r="U39" s="1557">
        <f t="shared" si="13"/>
        <v>100</v>
      </c>
      <c r="V39" s="1556" t="s">
        <v>8</v>
      </c>
      <c r="W39" s="1557">
        <f t="shared" si="14"/>
        <v>100</v>
      </c>
      <c r="X39" s="1550"/>
      <c r="Y39" s="3504"/>
      <c r="Z39" s="1558" t="str">
        <f t="shared" si="15"/>
        <v>层高</v>
      </c>
      <c r="AA39" s="1559">
        <f t="shared" si="3"/>
        <v>1</v>
      </c>
      <c r="AB39" s="1559">
        <f t="shared" si="4"/>
        <v>1</v>
      </c>
      <c r="AC39" s="1559">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4"/>
      <c r="M40" s="2116"/>
      <c r="N40" s="2116"/>
      <c r="O40" s="2123"/>
      <c r="P40" s="3504"/>
      <c r="Q40" s="1555" t="str">
        <f t="shared" si="11"/>
        <v>单套建筑面积</v>
      </c>
      <c r="R40" s="1556" t="s">
        <v>8</v>
      </c>
      <c r="S40" s="1557">
        <f t="shared" si="12"/>
        <v>100</v>
      </c>
      <c r="T40" s="1556" t="s">
        <v>8</v>
      </c>
      <c r="U40" s="1557">
        <f t="shared" si="13"/>
        <v>100</v>
      </c>
      <c r="V40" s="1556" t="s">
        <v>8</v>
      </c>
      <c r="W40" s="1557">
        <f t="shared" si="14"/>
        <v>100</v>
      </c>
      <c r="X40" s="1550"/>
      <c r="Y40" s="3504"/>
      <c r="Z40" s="1558" t="str">
        <f t="shared" si="15"/>
        <v>单套建筑面积</v>
      </c>
      <c r="AA40" s="1559">
        <f t="shared" si="3"/>
        <v>1</v>
      </c>
      <c r="AB40" s="1559">
        <f t="shared" si="4"/>
        <v>1</v>
      </c>
      <c r="AC40" s="1559">
        <f t="shared" si="5"/>
        <v>1</v>
      </c>
    </row>
    <row r="41" spans="1:29" s="1333"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504"/>
      <c r="Q41" s="1587" t="str">
        <f t="shared" si="11"/>
        <v>进深比</v>
      </c>
      <c r="R41" s="1560" t="s">
        <v>8</v>
      </c>
      <c r="S41" s="1561">
        <f t="shared" si="12"/>
        <v>100</v>
      </c>
      <c r="T41" s="1560" t="s">
        <v>8</v>
      </c>
      <c r="U41" s="1561">
        <f t="shared" si="13"/>
        <v>100</v>
      </c>
      <c r="V41" s="1560" t="s">
        <v>8</v>
      </c>
      <c r="W41" s="1561">
        <f t="shared" si="14"/>
        <v>100</v>
      </c>
      <c r="X41" s="1562"/>
      <c r="Y41" s="3504"/>
      <c r="Z41" s="1563" t="str">
        <f t="shared" si="15"/>
        <v>进深比</v>
      </c>
      <c r="AA41" s="1559">
        <f t="shared" si="3"/>
        <v>1</v>
      </c>
      <c r="AB41" s="1559">
        <f t="shared" si="4"/>
        <v>1</v>
      </c>
      <c r="AC41" s="1559">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504"/>
      <c r="Q42" s="1555" t="str">
        <f t="shared" si="11"/>
        <v>内部装修</v>
      </c>
      <c r="R42" s="1556" t="s">
        <v>8</v>
      </c>
      <c r="S42" s="1557">
        <f t="shared" si="12"/>
        <v>100</v>
      </c>
      <c r="T42" s="1556" t="s">
        <v>8</v>
      </c>
      <c r="U42" s="1557">
        <f t="shared" si="13"/>
        <v>100</v>
      </c>
      <c r="V42" s="1556" t="s">
        <v>8</v>
      </c>
      <c r="W42" s="1557">
        <f t="shared" si="14"/>
        <v>100</v>
      </c>
      <c r="X42" s="1550"/>
      <c r="Y42" s="3504"/>
      <c r="Z42" s="1558" t="str">
        <f t="shared" si="15"/>
        <v>内部装修</v>
      </c>
      <c r="AA42" s="1559">
        <f t="shared" si="3"/>
        <v>1</v>
      </c>
      <c r="AB42" s="1559">
        <f t="shared" si="4"/>
        <v>1</v>
      </c>
      <c r="AC42" s="1559">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504"/>
      <c r="Q43" s="1555" t="str">
        <f t="shared" si="11"/>
        <v>内部装修维护情况</v>
      </c>
      <c r="R43" s="1556" t="s">
        <v>8</v>
      </c>
      <c r="S43" s="1557">
        <f t="shared" si="12"/>
        <v>100</v>
      </c>
      <c r="T43" s="1556" t="s">
        <v>8</v>
      </c>
      <c r="U43" s="1557">
        <f t="shared" si="13"/>
        <v>100</v>
      </c>
      <c r="V43" s="1556" t="s">
        <v>8</v>
      </c>
      <c r="W43" s="1557">
        <f t="shared" si="14"/>
        <v>100</v>
      </c>
      <c r="X43" s="1550"/>
      <c r="Y43" s="3504"/>
      <c r="Z43" s="1558" t="str">
        <f t="shared" si="15"/>
        <v>内部装修维护情况</v>
      </c>
      <c r="AA43" s="1559">
        <f t="shared" si="3"/>
        <v>1</v>
      </c>
      <c r="AB43" s="1559">
        <f t="shared" si="4"/>
        <v>1</v>
      </c>
      <c r="AC43" s="1559">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504"/>
      <c r="Q44" s="1145">
        <f t="shared" si="11"/>
        <v>111</v>
      </c>
      <c r="R44" s="1551" t="s">
        <v>8</v>
      </c>
      <c r="S44" s="1552">
        <f t="shared" si="12"/>
        <v>100</v>
      </c>
      <c r="T44" s="1551" t="s">
        <v>8</v>
      </c>
      <c r="U44" s="1552">
        <f t="shared" si="13"/>
        <v>100</v>
      </c>
      <c r="V44" s="1551" t="s">
        <v>8</v>
      </c>
      <c r="W44" s="1552">
        <f t="shared" si="14"/>
        <v>100</v>
      </c>
      <c r="X44" s="1553"/>
      <c r="Y44" s="3504"/>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504"/>
      <c r="Q45" s="1555">
        <f t="shared" si="11"/>
        <v>111</v>
      </c>
      <c r="R45" s="1556" t="s">
        <v>8</v>
      </c>
      <c r="S45" s="1557">
        <f t="shared" si="12"/>
        <v>100</v>
      </c>
      <c r="T45" s="1556" t="s">
        <v>8</v>
      </c>
      <c r="U45" s="1557">
        <f t="shared" si="13"/>
        <v>100</v>
      </c>
      <c r="V45" s="1556" t="s">
        <v>8</v>
      </c>
      <c r="W45" s="1557">
        <f t="shared" si="14"/>
        <v>100</v>
      </c>
      <c r="X45" s="1550"/>
      <c r="Y45" s="3504"/>
      <c r="Z45" s="1558">
        <f t="shared" si="15"/>
        <v>111</v>
      </c>
      <c r="AA45" s="1559">
        <f t="shared" si="3"/>
        <v>1</v>
      </c>
      <c r="AB45" s="1559">
        <f t="shared" si="4"/>
        <v>1</v>
      </c>
      <c r="AC45" s="1559">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583"/>
      <c r="Q46" s="1555">
        <f t="shared" si="11"/>
        <v>111</v>
      </c>
      <c r="R46" s="1556" t="s">
        <v>8</v>
      </c>
      <c r="S46" s="1557">
        <f t="shared" si="12"/>
        <v>100</v>
      </c>
      <c r="T46" s="1556" t="s">
        <v>8</v>
      </c>
      <c r="U46" s="1557">
        <f t="shared" si="13"/>
        <v>100</v>
      </c>
      <c r="V46" s="1556" t="s">
        <v>8</v>
      </c>
      <c r="W46" s="1557">
        <f t="shared" si="14"/>
        <v>100</v>
      </c>
      <c r="X46" s="1550"/>
      <c r="Y46" s="3583"/>
      <c r="Z46" s="1558">
        <f t="shared" si="15"/>
        <v>111</v>
      </c>
      <c r="AA46" s="1559">
        <f t="shared" si="3"/>
        <v>1</v>
      </c>
      <c r="AB46" s="1559">
        <f t="shared" si="4"/>
        <v>1</v>
      </c>
      <c r="AC46" s="1559">
        <f t="shared" si="5"/>
        <v>1</v>
      </c>
    </row>
    <row r="47" spans="1:29" ht="15">
      <c r="A47" s="606" t="s">
        <v>736</v>
      </c>
      <c r="B47" s="885"/>
      <c r="C47" s="2588" t="s">
        <v>1</v>
      </c>
      <c r="D47" s="2589"/>
      <c r="E47" s="2590"/>
      <c r="F47" s="2591"/>
      <c r="G47" s="2592"/>
      <c r="H47" s="2593"/>
      <c r="I47" s="2590"/>
      <c r="J47" s="2593"/>
      <c r="K47" s="1593"/>
      <c r="L47" s="2126"/>
      <c r="M47" s="2127"/>
      <c r="N47" s="2116"/>
      <c r="O47" s="2127"/>
      <c r="P47" s="3467" t="str">
        <f>A47</f>
        <v>成交单价（元/平方米）</v>
      </c>
      <c r="Q47" s="3467"/>
      <c r="R47" s="3582">
        <f>E47</f>
        <v>0</v>
      </c>
      <c r="S47" s="3582"/>
      <c r="T47" s="3582">
        <f>G47</f>
        <v>0</v>
      </c>
      <c r="U47" s="3582"/>
      <c r="V47" s="3582">
        <f>I47</f>
        <v>0</v>
      </c>
      <c r="W47" s="3582"/>
      <c r="X47" s="1542"/>
      <c r="Y47" s="1564"/>
      <c r="Z47" s="1542"/>
      <c r="AA47" s="1542"/>
      <c r="AB47" s="1542"/>
      <c r="AC47" s="1542"/>
    </row>
    <row r="48" spans="1:29" ht="15.75" thickBot="1">
      <c r="A48" s="614" t="s">
        <v>2755</v>
      </c>
      <c r="B48" s="886"/>
      <c r="C48" s="2594" t="e">
        <f>R49</f>
        <v>#DIV/0!</v>
      </c>
      <c r="D48" s="2595"/>
      <c r="E48" s="2596" t="e">
        <f>R48</f>
        <v>#DIV/0!</v>
      </c>
      <c r="F48" s="2596"/>
      <c r="G48" s="2594" t="e">
        <f>T48</f>
        <v>#DIV/0!</v>
      </c>
      <c r="H48" s="2595"/>
      <c r="I48" s="2596" t="e">
        <f>V48</f>
        <v>#DIV/0!</v>
      </c>
      <c r="J48" s="2595"/>
      <c r="K48" s="1594"/>
      <c r="L48" s="2126"/>
      <c r="M48" s="2127"/>
      <c r="N48" s="2116"/>
      <c r="O48" s="2127"/>
      <c r="P48" s="3467" t="str">
        <f>A48</f>
        <v>比较价格（元/平方米）</v>
      </c>
      <c r="Q48" s="3467"/>
      <c r="R48" s="3582" t="e">
        <f>IF(F1="售价",ROUND(PRODUCT(R47,AA7:AA46),0),ROUND(PRODUCT(R47,AA7:AA46),1))</f>
        <v>#DIV/0!</v>
      </c>
      <c r="S48" s="3582"/>
      <c r="T48" s="3582" t="e">
        <f>IF(F1="售价",ROUND(PRODUCT(T47,AB7:AB46),0),ROUND(PRODUCT(T47,AB7:AB46),1))</f>
        <v>#DIV/0!</v>
      </c>
      <c r="U48" s="3582"/>
      <c r="V48" s="3582" t="e">
        <f>IF(F1="售价",ROUND(PRODUCT(V47,AC7:AC46),0),ROUND(PRODUCT(V47,AC7:AC46),1))</f>
        <v>#DIV/0!</v>
      </c>
      <c r="W48" s="3582"/>
      <c r="X48" s="1542"/>
      <c r="Y48" s="1542"/>
      <c r="Z48" s="1542"/>
      <c r="AA48" s="1542"/>
      <c r="AB48" s="1542"/>
      <c r="AC48" s="1542"/>
    </row>
    <row r="49" spans="1:29" ht="15.75" thickBot="1">
      <c r="A49" s="620" t="s">
        <v>2928</v>
      </c>
      <c r="B49" s="621"/>
      <c r="C49" s="2597" t="e">
        <f>R49</f>
        <v>#DIV/0!</v>
      </c>
      <c r="D49" s="2597"/>
      <c r="E49" s="2597"/>
      <c r="F49" s="2597"/>
      <c r="G49" s="2597"/>
      <c r="H49" s="2597"/>
      <c r="I49" s="2597"/>
      <c r="J49" s="2597"/>
      <c r="K49" s="1595"/>
      <c r="L49" s="2126"/>
      <c r="M49" s="2127"/>
      <c r="N49" s="2116"/>
      <c r="O49" s="2127"/>
      <c r="P49" s="3464" t="str">
        <f>A49</f>
        <v>估价对象XX用房的比较价格（楼面单价，元/平方米）</v>
      </c>
      <c r="Q49" s="3465"/>
      <c r="R49" s="3581" t="e">
        <f>IF(F1="售价",ROUND(AVERAGE(R48:V48),0),ROUND(AVERAGE(R48:V48),1))</f>
        <v>#DIV/0!</v>
      </c>
      <c r="S49" s="3581"/>
      <c r="T49" s="3581"/>
      <c r="U49" s="3581"/>
      <c r="V49" s="3581"/>
      <c r="W49" s="3581"/>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4" t="s">
        <v>529</v>
      </c>
      <c r="B58" s="645"/>
      <c r="C58" s="2754" t="str">
        <f>YEAR(C7)&amp;"-"&amp;MONTH(C7)</f>
        <v>2019-8</v>
      </c>
      <c r="D58" s="2756">
        <f>EDATE(C58,-1)</f>
        <v>43647</v>
      </c>
      <c r="E58" s="2756">
        <f t="shared" ref="E58:O58" si="16">EDATE(D58,-1)</f>
        <v>43617</v>
      </c>
      <c r="F58" s="2756">
        <f t="shared" si="16"/>
        <v>43586</v>
      </c>
      <c r="G58" s="2756">
        <f t="shared" si="16"/>
        <v>43556</v>
      </c>
      <c r="H58" s="2756">
        <f t="shared" si="16"/>
        <v>43525</v>
      </c>
      <c r="I58" s="2756">
        <f t="shared" si="16"/>
        <v>43497</v>
      </c>
      <c r="J58" s="2756">
        <f t="shared" si="16"/>
        <v>43466</v>
      </c>
      <c r="K58" s="2756">
        <f t="shared" si="16"/>
        <v>43435</v>
      </c>
      <c r="L58" s="2756">
        <f t="shared" si="16"/>
        <v>43405</v>
      </c>
      <c r="M58" s="2756">
        <f t="shared" si="16"/>
        <v>43374</v>
      </c>
      <c r="N58" s="2756">
        <f t="shared" si="16"/>
        <v>43344</v>
      </c>
      <c r="O58" s="2756">
        <f t="shared" si="16"/>
        <v>43313</v>
      </c>
      <c r="P58" s="2142"/>
      <c r="Q58" s="2143"/>
      <c r="R58" s="2143"/>
      <c r="S58" s="2143"/>
      <c r="T58" s="2143"/>
      <c r="U58" s="2143"/>
      <c r="V58" s="2143"/>
      <c r="W58" s="2143"/>
      <c r="X58" s="2143"/>
      <c r="Y58" s="2143"/>
      <c r="Z58" s="2143"/>
      <c r="AA58" s="2143"/>
      <c r="AB58" s="2143"/>
      <c r="AC58" s="2143"/>
    </row>
    <row r="59" spans="1:29" s="1214" customFormat="1" ht="15">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4"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199"/>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2552</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2553</v>
      </c>
      <c r="C82" s="2559" t="s">
        <v>2554</v>
      </c>
      <c r="D82" s="2559" t="s">
        <v>2555</v>
      </c>
      <c r="E82" s="2559" t="s">
        <v>2556</v>
      </c>
      <c r="F82" s="2559" t="s">
        <v>2557</v>
      </c>
      <c r="G82" s="2559" t="s">
        <v>2558</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8"/>
      <c r="B86" s="672" t="s">
        <v>771</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8"/>
      <c r="B88" s="672" t="str">
        <f>B26</f>
        <v>平面位置/可视性</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8"/>
      <c r="B92" s="672" t="str">
        <f>B28</f>
        <v>楼层</v>
      </c>
      <c r="C92" s="687"/>
      <c r="D92" s="687"/>
      <c r="E92" s="687"/>
      <c r="F92" s="687"/>
      <c r="G92" s="687"/>
      <c r="H92" s="687"/>
      <c r="I92" s="687"/>
      <c r="J92" s="687"/>
      <c r="K92" s="687"/>
      <c r="L92" s="888"/>
      <c r="M92" s="889"/>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1"/>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772</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7"/>
      <c r="B112" s="1878" t="s">
        <v>2551</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7"/>
      <c r="D118" s="907"/>
      <c r="E118" s="907"/>
      <c r="F118" s="907"/>
      <c r="G118" s="907"/>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3"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777</v>
      </c>
      <c r="C1" s="503" t="s">
        <v>720</v>
      </c>
      <c r="D1" s="848"/>
      <c r="E1" s="505"/>
      <c r="F1" s="2759"/>
      <c r="G1" s="1583" t="s">
        <v>721</v>
      </c>
      <c r="H1" s="505"/>
      <c r="I1" s="505"/>
      <c r="J1" s="505"/>
      <c r="K1" s="506"/>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2" t="s">
        <v>467</v>
      </c>
      <c r="B2" s="849"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1" t="s">
        <v>521</v>
      </c>
      <c r="B4" s="512"/>
      <c r="C4" s="3473" t="s">
        <v>522</v>
      </c>
      <c r="D4" s="3474"/>
      <c r="E4" s="3507" t="s">
        <v>523</v>
      </c>
      <c r="F4" s="3508"/>
      <c r="G4" s="3473" t="s">
        <v>524</v>
      </c>
      <c r="H4" s="3474"/>
      <c r="I4" s="3473" t="s">
        <v>525</v>
      </c>
      <c r="J4" s="3474"/>
      <c r="K4" s="513" t="s">
        <v>526</v>
      </c>
      <c r="L4" s="2115"/>
      <c r="M4" s="2116"/>
      <c r="N4" s="2116"/>
      <c r="O4" s="2116"/>
      <c r="P4" s="3589" t="s">
        <v>527</v>
      </c>
      <c r="Q4" s="3476"/>
      <c r="R4" s="3481" t="s">
        <v>523</v>
      </c>
      <c r="S4" s="3482"/>
      <c r="T4" s="3481" t="s">
        <v>524</v>
      </c>
      <c r="U4" s="3482"/>
      <c r="V4" s="3468" t="s">
        <v>525</v>
      </c>
      <c r="W4" s="3468"/>
      <c r="X4" s="1550"/>
      <c r="Y4" s="3481" t="s">
        <v>527</v>
      </c>
      <c r="Z4" s="3482"/>
      <c r="AA4" s="3470" t="s">
        <v>523</v>
      </c>
      <c r="AB4" s="3470" t="s">
        <v>524</v>
      </c>
      <c r="AC4" s="3470" t="s">
        <v>525</v>
      </c>
    </row>
    <row r="5" spans="1:29" ht="15">
      <c r="A5" s="514"/>
      <c r="B5" s="515"/>
      <c r="C5" s="3489" t="s">
        <v>2922</v>
      </c>
      <c r="D5" s="3490"/>
      <c r="E5" s="3509" t="s">
        <v>2923</v>
      </c>
      <c r="F5" s="3510"/>
      <c r="G5" s="3489" t="s">
        <v>2924</v>
      </c>
      <c r="H5" s="3490"/>
      <c r="I5" s="3489" t="s">
        <v>2925</v>
      </c>
      <c r="J5" s="3490"/>
      <c r="K5" s="513"/>
      <c r="L5" s="2115"/>
      <c r="M5" s="2116"/>
      <c r="N5" s="2116"/>
      <c r="O5" s="2116"/>
      <c r="P5" s="3590"/>
      <c r="Q5" s="3478"/>
      <c r="R5" s="3483"/>
      <c r="S5" s="3484"/>
      <c r="T5" s="3483"/>
      <c r="U5" s="3484"/>
      <c r="V5" s="3468"/>
      <c r="W5" s="3468"/>
      <c r="X5" s="1550"/>
      <c r="Y5" s="3483"/>
      <c r="Z5" s="3484"/>
      <c r="AA5" s="3471"/>
      <c r="AB5" s="3471"/>
      <c r="AC5" s="3471"/>
    </row>
    <row r="6" spans="1:29" ht="15.75" thickBot="1">
      <c r="A6" s="516"/>
      <c r="B6" s="517"/>
      <c r="C6" s="3487" t="s">
        <v>2926</v>
      </c>
      <c r="D6" s="3488"/>
      <c r="E6" s="3505" t="s">
        <v>2926</v>
      </c>
      <c r="F6" s="3506"/>
      <c r="G6" s="3487" t="s">
        <v>2926</v>
      </c>
      <c r="H6" s="3488"/>
      <c r="I6" s="3487" t="s">
        <v>2926</v>
      </c>
      <c r="J6" s="3488"/>
      <c r="K6" s="513" t="s">
        <v>528</v>
      </c>
      <c r="L6" s="2115"/>
      <c r="M6" s="2116"/>
      <c r="N6" s="2116"/>
      <c r="O6" s="2116"/>
      <c r="P6" s="3591"/>
      <c r="Q6" s="3480"/>
      <c r="R6" s="3483"/>
      <c r="S6" s="3484"/>
      <c r="T6" s="3485"/>
      <c r="U6" s="3486"/>
      <c r="V6" s="3468"/>
      <c r="W6" s="3468"/>
      <c r="X6" s="1550"/>
      <c r="Y6" s="3485"/>
      <c r="Z6" s="3486"/>
      <c r="AA6" s="3472"/>
      <c r="AB6" s="3472"/>
      <c r="AC6" s="3472"/>
    </row>
    <row r="7" spans="1:29" s="1214" customFormat="1" ht="15.75" thickBot="1">
      <c r="A7" s="2863"/>
      <c r="B7" s="2870" t="s">
        <v>529</v>
      </c>
      <c r="C7" s="518">
        <f>'数据-取费表'!B2</f>
        <v>43692</v>
      </c>
      <c r="D7" s="519">
        <v>100</v>
      </c>
      <c r="E7" s="520"/>
      <c r="F7" s="521">
        <f>SUMIF(59:59,YEAR(E7)&amp;"-"&amp;MONTH(E7),60:60)</f>
        <v>0</v>
      </c>
      <c r="G7" s="520"/>
      <c r="H7" s="519">
        <f>SUMIF(59:59,YEAR(G7)&amp;"-"&amp;MONTH(G7),60:60)</f>
        <v>0</v>
      </c>
      <c r="I7" s="520"/>
      <c r="J7" s="519">
        <f>SUMIF(59:59,YEAR(I7)&amp;"-"&amp;MONTH(I7),60:60)</f>
        <v>0</v>
      </c>
      <c r="K7" s="523"/>
      <c r="L7" s="2117"/>
      <c r="M7" s="2118"/>
      <c r="N7" s="2118"/>
      <c r="O7" s="2118"/>
      <c r="P7" s="3500" t="s">
        <v>530</v>
      </c>
      <c r="Q7" s="3500"/>
      <c r="R7" s="1551" t="s">
        <v>8</v>
      </c>
      <c r="S7" s="1552">
        <f t="shared" ref="S7:S15" si="0">F7</f>
        <v>0</v>
      </c>
      <c r="T7" s="1551" t="s">
        <v>8</v>
      </c>
      <c r="U7" s="1552">
        <f t="shared" ref="U7:U15" si="1">H7</f>
        <v>0</v>
      </c>
      <c r="V7" s="1551" t="s">
        <v>8</v>
      </c>
      <c r="W7" s="1552">
        <f t="shared" ref="W7:W15" si="2">J7</f>
        <v>0</v>
      </c>
      <c r="X7" s="1553"/>
      <c r="Y7" s="3498" t="s">
        <v>530</v>
      </c>
      <c r="Z7" s="3499"/>
      <c r="AA7" s="1554" t="e">
        <f>D7/F7</f>
        <v>#DIV/0!</v>
      </c>
      <c r="AB7" s="1554" t="e">
        <f>D7/H7</f>
        <v>#DIV/0!</v>
      </c>
      <c r="AC7" s="1554" t="e">
        <f>D7/J7</f>
        <v>#DIV/0!</v>
      </c>
    </row>
    <row r="8" spans="1:29" s="1214" customFormat="1" ht="15.75" thickBot="1">
      <c r="A8" s="2864"/>
      <c r="B8" s="2871"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500" t="s">
        <v>533</v>
      </c>
      <c r="Q8" s="3499"/>
      <c r="R8" s="1551" t="s">
        <v>8</v>
      </c>
      <c r="S8" s="1552">
        <f t="shared" si="0"/>
        <v>0</v>
      </c>
      <c r="T8" s="1551" t="s">
        <v>8</v>
      </c>
      <c r="U8" s="1552">
        <f t="shared" si="1"/>
        <v>0</v>
      </c>
      <c r="V8" s="1551" t="s">
        <v>8</v>
      </c>
      <c r="W8" s="1552">
        <f t="shared" si="2"/>
        <v>0</v>
      </c>
      <c r="X8" s="1553"/>
      <c r="Y8" s="3498" t="s">
        <v>533</v>
      </c>
      <c r="Z8" s="3499"/>
      <c r="AA8" s="1554" t="e">
        <f t="shared" ref="AA8:AA47" si="3">D8/F8</f>
        <v>#DIV/0!</v>
      </c>
      <c r="AB8" s="1554" t="e">
        <f t="shared" ref="AB8:AB47" si="4">D8/H8</f>
        <v>#DIV/0!</v>
      </c>
      <c r="AC8" s="1554" t="e">
        <f t="shared" ref="AC8:AC47" si="5">D8/J8</f>
        <v>#DIV/0!</v>
      </c>
    </row>
    <row r="9" spans="1:29" s="1214" customFormat="1" ht="15">
      <c r="A9" s="2865"/>
      <c r="B9" s="2872" t="s">
        <v>2751</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467" t="s">
        <v>535</v>
      </c>
      <c r="Q9" s="1145" t="str">
        <f t="shared" ref="Q9:Q15" si="6">B9</f>
        <v>用途</v>
      </c>
      <c r="R9" s="1551" t="s">
        <v>8</v>
      </c>
      <c r="S9" s="1552">
        <f t="shared" si="0"/>
        <v>100</v>
      </c>
      <c r="T9" s="1551" t="s">
        <v>8</v>
      </c>
      <c r="U9" s="1552">
        <f t="shared" si="1"/>
        <v>100</v>
      </c>
      <c r="V9" s="1551" t="s">
        <v>8</v>
      </c>
      <c r="W9" s="1552">
        <f t="shared" si="2"/>
        <v>100</v>
      </c>
      <c r="X9" s="1553"/>
      <c r="Y9" s="3413" t="s">
        <v>536</v>
      </c>
      <c r="Z9" s="1144" t="str">
        <f t="shared" ref="Z9:Z15" si="7">Q9</f>
        <v>用途</v>
      </c>
      <c r="AA9" s="1554">
        <f t="shared" si="3"/>
        <v>1</v>
      </c>
      <c r="AB9" s="1554">
        <f t="shared" si="4"/>
        <v>1</v>
      </c>
      <c r="AC9" s="1554">
        <f t="shared" si="5"/>
        <v>1</v>
      </c>
    </row>
    <row r="10" spans="1:29" s="1332" customFormat="1" ht="27">
      <c r="A10" s="2866"/>
      <c r="B10" s="2871" t="s">
        <v>2752</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467"/>
      <c r="Q10" s="1145" t="str">
        <f t="shared" si="6"/>
        <v>土地使用年限（年）</v>
      </c>
      <c r="R10" s="1551" t="s">
        <v>8</v>
      </c>
      <c r="S10" s="1552">
        <f t="shared" si="0"/>
        <v>100</v>
      </c>
      <c r="T10" s="1551" t="s">
        <v>8</v>
      </c>
      <c r="U10" s="1552">
        <f t="shared" si="1"/>
        <v>100</v>
      </c>
      <c r="V10" s="1551" t="s">
        <v>8</v>
      </c>
      <c r="W10" s="1552">
        <f t="shared" si="2"/>
        <v>100</v>
      </c>
      <c r="X10" s="1553"/>
      <c r="Y10" s="3413"/>
      <c r="Z10" s="1144" t="str">
        <f t="shared" si="7"/>
        <v>土地使用年限（年）</v>
      </c>
      <c r="AA10" s="1554">
        <f t="shared" si="3"/>
        <v>1</v>
      </c>
      <c r="AB10" s="1554">
        <f t="shared" si="4"/>
        <v>1</v>
      </c>
      <c r="AC10" s="1554">
        <f t="shared" si="5"/>
        <v>1</v>
      </c>
    </row>
    <row r="11" spans="1:29" ht="15">
      <c r="A11" s="2867"/>
      <c r="B11" s="2871" t="s">
        <v>2753</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467"/>
      <c r="Q11" s="1145" t="str">
        <f t="shared" si="6"/>
        <v>容积率</v>
      </c>
      <c r="R11" s="1551" t="s">
        <v>8</v>
      </c>
      <c r="S11" s="1552" t="e">
        <f t="shared" si="0"/>
        <v>#N/A</v>
      </c>
      <c r="T11" s="1551" t="s">
        <v>8</v>
      </c>
      <c r="U11" s="1552" t="e">
        <f t="shared" si="1"/>
        <v>#N/A</v>
      </c>
      <c r="V11" s="1551" t="s">
        <v>8</v>
      </c>
      <c r="W11" s="1552" t="e">
        <f t="shared" si="2"/>
        <v>#N/A</v>
      </c>
      <c r="X11" s="1553"/>
      <c r="Y11" s="3413"/>
      <c r="Z11" s="1144" t="str">
        <f t="shared" si="7"/>
        <v>容积率</v>
      </c>
      <c r="AA11" s="1554" t="e">
        <f t="shared" si="3"/>
        <v>#N/A</v>
      </c>
      <c r="AB11" s="1554" t="e">
        <f t="shared" si="4"/>
        <v>#N/A</v>
      </c>
      <c r="AC11" s="1554" t="e">
        <f t="shared" si="5"/>
        <v>#N/A</v>
      </c>
    </row>
    <row r="12" spans="1:29" s="1214" customFormat="1" ht="15">
      <c r="A12" s="2868"/>
      <c r="B12" s="2874">
        <v>111</v>
      </c>
      <c r="C12" s="527"/>
      <c r="D12" s="537">
        <v>100</v>
      </c>
      <c r="E12" s="527"/>
      <c r="F12" s="254">
        <f>SUMIF(71:71,E12,72:72)-SUMIF(71:71,C12,72:72)+100</f>
        <v>100</v>
      </c>
      <c r="G12" s="908"/>
      <c r="H12" s="254">
        <f>SUMIF(71:71,G12,72:72)-SUMIF(71:71,C12,72:72)+100</f>
        <v>100</v>
      </c>
      <c r="I12" s="527"/>
      <c r="J12" s="254">
        <f>SUMIF(71:71,I12,72:72)-SUMIF(71:71,C12,72:72)+100</f>
        <v>100</v>
      </c>
      <c r="K12" s="580"/>
      <c r="L12" s="2117"/>
      <c r="M12" s="2118"/>
      <c r="N12" s="2118"/>
      <c r="O12" s="2118"/>
      <c r="P12" s="3467"/>
      <c r="Q12" s="1145">
        <f t="shared" si="6"/>
        <v>111</v>
      </c>
      <c r="R12" s="1551" t="s">
        <v>8</v>
      </c>
      <c r="S12" s="1552">
        <f t="shared" si="0"/>
        <v>100</v>
      </c>
      <c r="T12" s="1551" t="s">
        <v>8</v>
      </c>
      <c r="U12" s="1552">
        <f t="shared" si="1"/>
        <v>100</v>
      </c>
      <c r="V12" s="1551" t="s">
        <v>8</v>
      </c>
      <c r="W12" s="1552">
        <f t="shared" si="2"/>
        <v>100</v>
      </c>
      <c r="X12" s="1553"/>
      <c r="Y12" s="3413"/>
      <c r="Z12" s="1144">
        <f t="shared" si="7"/>
        <v>111</v>
      </c>
      <c r="AA12" s="1554">
        <f>D12/F12</f>
        <v>1</v>
      </c>
      <c r="AB12" s="1554">
        <f>D12/H12</f>
        <v>1</v>
      </c>
      <c r="AC12" s="1554">
        <f>D12/J12</f>
        <v>1</v>
      </c>
    </row>
    <row r="13" spans="1:29" ht="15">
      <c r="A13" s="2868"/>
      <c r="B13" s="2874">
        <v>111</v>
      </c>
      <c r="C13" s="538"/>
      <c r="D13" s="539">
        <v>100</v>
      </c>
      <c r="E13" s="527"/>
      <c r="F13" s="254">
        <f>SUMIF(73:73,E13,74:74)-SUMIF(73:73,C13,74:74)+100</f>
        <v>100</v>
      </c>
      <c r="G13" s="908"/>
      <c r="H13" s="539">
        <f>SUMIF(73:73,G13,74:74)-SUMIF(73:73,C13,74:74)+100</f>
        <v>100</v>
      </c>
      <c r="I13" s="527"/>
      <c r="J13" s="539">
        <f>SUMIF(73:73,I13,74:74)-SUMIF(73:73,C13,74:74)+100</f>
        <v>100</v>
      </c>
      <c r="K13" s="580"/>
      <c r="L13" s="2124"/>
      <c r="M13" s="2116"/>
      <c r="N13" s="2116"/>
      <c r="O13" s="2116"/>
      <c r="P13" s="3467"/>
      <c r="Q13" s="1145">
        <f t="shared" si="6"/>
        <v>111</v>
      </c>
      <c r="R13" s="1551" t="s">
        <v>8</v>
      </c>
      <c r="S13" s="1552">
        <f t="shared" si="0"/>
        <v>100</v>
      </c>
      <c r="T13" s="1551" t="s">
        <v>8</v>
      </c>
      <c r="U13" s="1552">
        <f t="shared" si="1"/>
        <v>100</v>
      </c>
      <c r="V13" s="1551" t="s">
        <v>8</v>
      </c>
      <c r="W13" s="1552">
        <f t="shared" si="2"/>
        <v>100</v>
      </c>
      <c r="X13" s="1553"/>
      <c r="Y13" s="3413"/>
      <c r="Z13" s="1144">
        <f t="shared" si="7"/>
        <v>111</v>
      </c>
      <c r="AA13" s="1554">
        <f t="shared" si="3"/>
        <v>1</v>
      </c>
      <c r="AB13" s="1554">
        <f t="shared" si="4"/>
        <v>1</v>
      </c>
      <c r="AC13" s="1554">
        <f t="shared" si="5"/>
        <v>1</v>
      </c>
    </row>
    <row r="14" spans="1:29" ht="15.75" thickBot="1">
      <c r="A14" s="2869"/>
      <c r="B14" s="2875">
        <v>111</v>
      </c>
      <c r="C14" s="544"/>
      <c r="D14" s="545">
        <v>100</v>
      </c>
      <c r="E14" s="909"/>
      <c r="F14" s="545">
        <f>SUMIF(75:75,E14,76:76)-SUMIF(75:75,C14,76:76)+100</f>
        <v>100</v>
      </c>
      <c r="G14" s="908"/>
      <c r="H14" s="545">
        <f>SUMIF(75:75,G14,76:76)-SUMIF(75:75,C14,76:76)+100</f>
        <v>100</v>
      </c>
      <c r="I14" s="527"/>
      <c r="J14" s="545">
        <f>SUMIF(75:75,I14,76:76)-SUMIF(75:75,C14,76:76)+100</f>
        <v>100</v>
      </c>
      <c r="K14" s="580"/>
      <c r="L14" s="2124"/>
      <c r="M14" s="2116"/>
      <c r="N14" s="2116"/>
      <c r="O14" s="2116"/>
      <c r="P14" s="3467"/>
      <c r="Q14" s="1145">
        <f t="shared" si="6"/>
        <v>111</v>
      </c>
      <c r="R14" s="1551" t="s">
        <v>8</v>
      </c>
      <c r="S14" s="1552">
        <f t="shared" si="0"/>
        <v>100</v>
      </c>
      <c r="T14" s="1551" t="s">
        <v>8</v>
      </c>
      <c r="U14" s="1552">
        <f t="shared" si="1"/>
        <v>100</v>
      </c>
      <c r="V14" s="1551" t="s">
        <v>8</v>
      </c>
      <c r="W14" s="1552">
        <f t="shared" si="2"/>
        <v>100</v>
      </c>
      <c r="X14" s="1553"/>
      <c r="Y14" s="3413"/>
      <c r="Z14" s="1144">
        <f t="shared" si="7"/>
        <v>111</v>
      </c>
      <c r="AA14" s="1554">
        <f t="shared" si="3"/>
        <v>1</v>
      </c>
      <c r="AB14" s="1554">
        <f t="shared" si="4"/>
        <v>1</v>
      </c>
      <c r="AC14" s="1554">
        <f t="shared" si="5"/>
        <v>1</v>
      </c>
    </row>
    <row r="15" spans="1:29" ht="15">
      <c r="A15" s="2861" t="s">
        <v>2749</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24"/>
      <c r="M15" s="2116"/>
      <c r="N15" s="2116"/>
      <c r="O15" s="2116"/>
      <c r="P15" s="3501" t="s">
        <v>540</v>
      </c>
      <c r="Q15" s="1555" t="str">
        <f t="shared" si="6"/>
        <v>办公集聚程度</v>
      </c>
      <c r="R15" s="1556" t="s">
        <v>8</v>
      </c>
      <c r="S15" s="1557">
        <f t="shared" si="0"/>
        <v>100</v>
      </c>
      <c r="T15" s="1556" t="s">
        <v>8</v>
      </c>
      <c r="U15" s="1557">
        <f t="shared" si="1"/>
        <v>100</v>
      </c>
      <c r="V15" s="1556" t="s">
        <v>8</v>
      </c>
      <c r="W15" s="1557">
        <f t="shared" si="2"/>
        <v>100</v>
      </c>
      <c r="X15" s="1550"/>
      <c r="Y15" s="3501" t="s">
        <v>540</v>
      </c>
      <c r="Z15" s="1558" t="str">
        <f t="shared" si="7"/>
        <v>办公集聚程度</v>
      </c>
      <c r="AA15" s="1559">
        <f t="shared" si="3"/>
        <v>1</v>
      </c>
      <c r="AB15" s="1559">
        <f t="shared" si="4"/>
        <v>1</v>
      </c>
      <c r="AC15" s="1559">
        <f t="shared" si="5"/>
        <v>1</v>
      </c>
    </row>
    <row r="16" spans="1:29" ht="15">
      <c r="A16" s="531"/>
      <c r="B16" s="552"/>
      <c r="C16" s="553"/>
      <c r="D16" s="554"/>
      <c r="E16" s="575"/>
      <c r="F16" s="554"/>
      <c r="G16" s="553"/>
      <c r="H16" s="558"/>
      <c r="I16" s="575"/>
      <c r="J16" s="554"/>
      <c r="K16" s="897"/>
      <c r="L16" s="2124"/>
      <c r="M16" s="2116"/>
      <c r="N16" s="2116"/>
      <c r="O16" s="2116"/>
      <c r="P16" s="3502"/>
      <c r="Q16" s="1555"/>
      <c r="R16" s="1556"/>
      <c r="S16" s="1557"/>
      <c r="T16" s="1556"/>
      <c r="U16" s="1557"/>
      <c r="V16" s="1556"/>
      <c r="W16" s="1557"/>
      <c r="X16" s="1550"/>
      <c r="Y16" s="3502"/>
      <c r="Z16" s="1558"/>
      <c r="AA16" s="1559">
        <v>1</v>
      </c>
      <c r="AB16" s="1559">
        <v>1</v>
      </c>
      <c r="AC16" s="1559">
        <v>1</v>
      </c>
    </row>
    <row r="17" spans="1:29" ht="15">
      <c r="A17" s="531"/>
      <c r="B17" s="559" t="s">
        <v>296</v>
      </c>
      <c r="C17" s="572" t="str">
        <f>估价对象房地状况!C6</f>
        <v>一般</v>
      </c>
      <c r="D17" s="558">
        <v>100</v>
      </c>
      <c r="E17" s="563"/>
      <c r="F17" s="558">
        <f>SUMIF(79:79,E18,80:80)-SUMIF(79:79,C18,80:80)+100</f>
        <v>100</v>
      </c>
      <c r="G17" s="561"/>
      <c r="H17" s="564">
        <f>SUMIF(79:79,G18,80:80)-SUMIF(79:79,C18,80:80)+100</f>
        <v>100</v>
      </c>
      <c r="I17" s="561"/>
      <c r="J17" s="564">
        <f>SUMIF(79:79,I18,80:80)-SUMIF(79:79,C18,80:80)+100</f>
        <v>100</v>
      </c>
      <c r="K17" s="896"/>
      <c r="L17" s="2124"/>
      <c r="M17" s="2116"/>
      <c r="N17" s="2116"/>
      <c r="O17" s="2116"/>
      <c r="P17" s="3502"/>
      <c r="Q17" s="1555" t="str">
        <f>B17</f>
        <v>交通便捷度</v>
      </c>
      <c r="R17" s="1556" t="s">
        <v>8</v>
      </c>
      <c r="S17" s="1557">
        <f>F17</f>
        <v>100</v>
      </c>
      <c r="T17" s="1556" t="s">
        <v>8</v>
      </c>
      <c r="U17" s="1557">
        <f>H17</f>
        <v>100</v>
      </c>
      <c r="V17" s="1556" t="s">
        <v>8</v>
      </c>
      <c r="W17" s="1557">
        <f>J17</f>
        <v>100</v>
      </c>
      <c r="X17" s="1550"/>
      <c r="Y17" s="3502"/>
      <c r="Z17" s="1558" t="str">
        <f>Q17</f>
        <v>交通便捷度</v>
      </c>
      <c r="AA17" s="1559">
        <f t="shared" si="3"/>
        <v>1</v>
      </c>
      <c r="AB17" s="1559">
        <f t="shared" si="4"/>
        <v>1</v>
      </c>
      <c r="AC17" s="1559">
        <f t="shared" si="5"/>
        <v>1</v>
      </c>
    </row>
    <row r="18" spans="1:29" ht="15">
      <c r="A18" s="531"/>
      <c r="B18" s="565"/>
      <c r="C18" s="566"/>
      <c r="D18" s="558"/>
      <c r="E18" s="568"/>
      <c r="F18" s="558"/>
      <c r="G18" s="567"/>
      <c r="H18" s="554"/>
      <c r="I18" s="567"/>
      <c r="J18" s="554"/>
      <c r="K18" s="897"/>
      <c r="L18" s="2124"/>
      <c r="M18" s="2116"/>
      <c r="N18" s="2116"/>
      <c r="O18" s="2116"/>
      <c r="P18" s="3502"/>
      <c r="Q18" s="1555"/>
      <c r="R18" s="1556"/>
      <c r="S18" s="1557"/>
      <c r="T18" s="1556"/>
      <c r="U18" s="1557"/>
      <c r="V18" s="1556"/>
      <c r="W18" s="1557"/>
      <c r="X18" s="1550"/>
      <c r="Y18" s="3502"/>
      <c r="Z18" s="1558"/>
      <c r="AA18" s="1559">
        <v>1</v>
      </c>
      <c r="AB18" s="1559">
        <v>1</v>
      </c>
      <c r="AC18" s="1559">
        <v>1</v>
      </c>
    </row>
    <row r="19" spans="1:29" ht="15">
      <c r="A19" s="531"/>
      <c r="B19" s="2564" t="s">
        <v>2541</v>
      </c>
      <c r="C19" s="572" t="str">
        <f>估价对象房地状况!C7</f>
        <v>一般</v>
      </c>
      <c r="D19" s="564">
        <v>100</v>
      </c>
      <c r="E19" s="571"/>
      <c r="F19" s="564">
        <f>SUMIF(81:81,E20,82:82)-SUMIF(81:81,C20,82:82)+100</f>
        <v>100</v>
      </c>
      <c r="G19" s="569"/>
      <c r="H19" s="558">
        <f>SUMIF(81:81,G20,82:82)-SUMIF(81:81,C20,82:82)+100</f>
        <v>100</v>
      </c>
      <c r="I19" s="569"/>
      <c r="J19" s="558">
        <f>SUMIF(81:81,I20,82:82)-SUMIF(81:81,C20,82:82)+100</f>
        <v>100</v>
      </c>
      <c r="K19" s="896"/>
      <c r="L19" s="2124"/>
      <c r="M19" s="2116"/>
      <c r="N19" s="2116"/>
      <c r="O19" s="2116"/>
      <c r="P19" s="3502"/>
      <c r="Q19" s="1555" t="str">
        <f>B19</f>
        <v>公共配套设施</v>
      </c>
      <c r="R19" s="1556" t="s">
        <v>8</v>
      </c>
      <c r="S19" s="1557">
        <f>F19</f>
        <v>100</v>
      </c>
      <c r="T19" s="1556" t="s">
        <v>8</v>
      </c>
      <c r="U19" s="1557">
        <f>H19</f>
        <v>100</v>
      </c>
      <c r="V19" s="1556" t="s">
        <v>8</v>
      </c>
      <c r="W19" s="1557">
        <f>J19</f>
        <v>100</v>
      </c>
      <c r="X19" s="1550"/>
      <c r="Y19" s="3502"/>
      <c r="Z19" s="1558" t="str">
        <f>Q19</f>
        <v>公共配套设施</v>
      </c>
      <c r="AA19" s="1559">
        <f t="shared" si="3"/>
        <v>1</v>
      </c>
      <c r="AB19" s="1559">
        <f t="shared" si="4"/>
        <v>1</v>
      </c>
      <c r="AC19" s="1559">
        <f t="shared" si="5"/>
        <v>1</v>
      </c>
    </row>
    <row r="20" spans="1:29" ht="15">
      <c r="A20" s="531"/>
      <c r="B20" s="565"/>
      <c r="C20" s="553"/>
      <c r="D20" s="554"/>
      <c r="E20" s="557"/>
      <c r="F20" s="554"/>
      <c r="G20" s="555"/>
      <c r="H20" s="554"/>
      <c r="I20" s="555"/>
      <c r="J20" s="554"/>
      <c r="K20" s="897"/>
      <c r="L20" s="2124"/>
      <c r="M20" s="2116"/>
      <c r="N20" s="2116"/>
      <c r="O20" s="2116"/>
      <c r="P20" s="3502"/>
      <c r="Q20" s="1555"/>
      <c r="R20" s="1556"/>
      <c r="S20" s="1557"/>
      <c r="T20" s="1556"/>
      <c r="U20" s="1557"/>
      <c r="V20" s="1556"/>
      <c r="W20" s="1557"/>
      <c r="X20" s="1550"/>
      <c r="Y20" s="3502"/>
      <c r="Z20" s="1558"/>
      <c r="AA20" s="1559">
        <v>1</v>
      </c>
      <c r="AB20" s="1559">
        <v>1</v>
      </c>
      <c r="AC20" s="1559">
        <v>1</v>
      </c>
    </row>
    <row r="21" spans="1:29" ht="15">
      <c r="A21" s="531"/>
      <c r="B21" s="2552" t="s">
        <v>2553</v>
      </c>
      <c r="C21" s="572" t="str">
        <f>估价对象房地状况!C8</f>
        <v>六通</v>
      </c>
      <c r="D21" s="564">
        <v>100</v>
      </c>
      <c r="E21" s="571"/>
      <c r="F21" s="564">
        <f>SUMIF(83:83,E22,84:84)-SUMIF(83:83,C22,84:84)+100</f>
        <v>100</v>
      </c>
      <c r="G21" s="569"/>
      <c r="H21" s="564">
        <f>SUMIF(83:83,G22,84:84)-SUMIF(83:83,C22,84:84)+100</f>
        <v>100</v>
      </c>
      <c r="I21" s="569"/>
      <c r="J21" s="564">
        <f>SUMIF(83:83,I22,84:84)-SUMIF(83:83,C22,84:84)+100</f>
        <v>100</v>
      </c>
      <c r="K21" s="896"/>
      <c r="L21" s="2124"/>
      <c r="M21" s="2116"/>
      <c r="N21" s="2116"/>
      <c r="O21" s="2116"/>
      <c r="P21" s="3502"/>
      <c r="Q21" s="2540" t="str">
        <f>B21</f>
        <v>基础设施水平</v>
      </c>
      <c r="R21" s="1556" t="s">
        <v>8</v>
      </c>
      <c r="S21" s="1557">
        <f>F21</f>
        <v>100</v>
      </c>
      <c r="T21" s="1556" t="s">
        <v>8</v>
      </c>
      <c r="U21" s="1557">
        <f>H21</f>
        <v>100</v>
      </c>
      <c r="V21" s="1556" t="s">
        <v>8</v>
      </c>
      <c r="W21" s="1557">
        <f>J21</f>
        <v>100</v>
      </c>
      <c r="X21" s="2542"/>
      <c r="Y21" s="3502"/>
      <c r="Z21" s="2541" t="str">
        <f>Q21</f>
        <v>基础设施水平</v>
      </c>
      <c r="AA21" s="1559">
        <f t="shared" ref="AA21" si="8">D21/F21</f>
        <v>1</v>
      </c>
      <c r="AB21" s="1559">
        <f t="shared" ref="AB21" si="9">D21/H21</f>
        <v>1</v>
      </c>
      <c r="AC21" s="1559">
        <f t="shared" ref="AC21" si="10">D21/J21</f>
        <v>1</v>
      </c>
    </row>
    <row r="22" spans="1:29" ht="15">
      <c r="A22" s="531"/>
      <c r="B22" s="577"/>
      <c r="C22" s="566"/>
      <c r="D22" s="554"/>
      <c r="E22" s="575"/>
      <c r="F22" s="554"/>
      <c r="G22" s="553"/>
      <c r="H22" s="554"/>
      <c r="I22" s="553"/>
      <c r="J22" s="554"/>
      <c r="K22" s="2563"/>
      <c r="L22" s="2124"/>
      <c r="M22" s="2116"/>
      <c r="N22" s="2116"/>
      <c r="O22" s="2116"/>
      <c r="P22" s="3502"/>
      <c r="Q22" s="2540"/>
      <c r="R22" s="1556"/>
      <c r="S22" s="1557"/>
      <c r="T22" s="1556"/>
      <c r="U22" s="1557"/>
      <c r="V22" s="1556"/>
      <c r="W22" s="1557"/>
      <c r="X22" s="2542"/>
      <c r="Y22" s="3502"/>
      <c r="Z22" s="2541"/>
      <c r="AA22" s="1559">
        <v>1</v>
      </c>
      <c r="AB22" s="1559">
        <v>1</v>
      </c>
      <c r="AC22" s="1559">
        <v>1</v>
      </c>
    </row>
    <row r="23" spans="1:29" ht="15">
      <c r="A23" s="531"/>
      <c r="B23" s="559" t="s">
        <v>778</v>
      </c>
      <c r="C23" s="572" t="str">
        <f>估价对象房地状况!C9</f>
        <v>一般</v>
      </c>
      <c r="D23" s="558">
        <v>100</v>
      </c>
      <c r="E23" s="563"/>
      <c r="F23" s="558">
        <f>SUMIF(85:85,E24,86:86)-SUMIF(85:85,C24,86:86)+100</f>
        <v>100</v>
      </c>
      <c r="G23" s="561"/>
      <c r="H23" s="558">
        <f>SUMIF(85:85,G24,86:86)-SUMIF(85:85,C24,86:86)+100</f>
        <v>100</v>
      </c>
      <c r="I23" s="561"/>
      <c r="J23" s="558">
        <f>SUMIF(85:85,I24,86:86)-SUMIF(85:85,C24,86:86)+100</f>
        <v>100</v>
      </c>
      <c r="K23" s="896"/>
      <c r="L23" s="2124"/>
      <c r="M23" s="2116"/>
      <c r="N23" s="2116"/>
      <c r="O23" s="2116"/>
      <c r="P23" s="3502"/>
      <c r="Q23" s="1555" t="str">
        <f>B23</f>
        <v>环境质量</v>
      </c>
      <c r="R23" s="1556" t="s">
        <v>8</v>
      </c>
      <c r="S23" s="1557">
        <f>F23</f>
        <v>100</v>
      </c>
      <c r="T23" s="1556" t="s">
        <v>8</v>
      </c>
      <c r="U23" s="1557">
        <f>H23</f>
        <v>100</v>
      </c>
      <c r="V23" s="1556" t="s">
        <v>8</v>
      </c>
      <c r="W23" s="1557">
        <f>J23</f>
        <v>100</v>
      </c>
      <c r="X23" s="1550"/>
      <c r="Y23" s="3502"/>
      <c r="Z23" s="1558" t="str">
        <f>Q23</f>
        <v>环境质量</v>
      </c>
      <c r="AA23" s="1559">
        <f t="shared" si="3"/>
        <v>1</v>
      </c>
      <c r="AB23" s="1559">
        <f t="shared" si="4"/>
        <v>1</v>
      </c>
      <c r="AC23" s="1559">
        <f t="shared" si="5"/>
        <v>1</v>
      </c>
    </row>
    <row r="24" spans="1:29" ht="15">
      <c r="A24" s="531"/>
      <c r="B24" s="577"/>
      <c r="C24" s="553"/>
      <c r="D24" s="554"/>
      <c r="E24" s="557"/>
      <c r="F24" s="554"/>
      <c r="G24" s="555"/>
      <c r="H24" s="554"/>
      <c r="I24" s="555"/>
      <c r="J24" s="554"/>
      <c r="K24" s="897"/>
      <c r="L24" s="2124"/>
      <c r="M24" s="2116"/>
      <c r="N24" s="2116"/>
      <c r="O24" s="2116"/>
      <c r="P24" s="3502"/>
      <c r="Q24" s="1555"/>
      <c r="R24" s="1556"/>
      <c r="S24" s="1557"/>
      <c r="T24" s="1556"/>
      <c r="U24" s="1557"/>
      <c r="V24" s="1556"/>
      <c r="W24" s="1557"/>
      <c r="X24" s="1550"/>
      <c r="Y24" s="3502"/>
      <c r="Z24" s="1558"/>
      <c r="AA24" s="1559">
        <v>1</v>
      </c>
      <c r="AB24" s="1559">
        <v>1</v>
      </c>
      <c r="AC24" s="1559">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4"/>
      <c r="M25" s="2116"/>
      <c r="N25" s="2116"/>
      <c r="O25" s="2116"/>
      <c r="P25" s="3502"/>
      <c r="Q25" s="1555" t="str">
        <f>B25</f>
        <v>毗邻道路的类型与等级</v>
      </c>
      <c r="R25" s="1556" t="s">
        <v>8</v>
      </c>
      <c r="S25" s="1557">
        <f>F25</f>
        <v>100</v>
      </c>
      <c r="T25" s="1556" t="s">
        <v>8</v>
      </c>
      <c r="U25" s="1557">
        <f>H25</f>
        <v>100</v>
      </c>
      <c r="V25" s="1556" t="s">
        <v>8</v>
      </c>
      <c r="W25" s="1557">
        <f>J25</f>
        <v>100</v>
      </c>
      <c r="X25" s="1550"/>
      <c r="Y25" s="3502"/>
      <c r="Z25" s="1558" t="str">
        <f>Q25</f>
        <v>毗邻道路的类型与等级</v>
      </c>
      <c r="AA25" s="1559">
        <f t="shared" si="3"/>
        <v>1</v>
      </c>
      <c r="AB25" s="1559">
        <f t="shared" si="4"/>
        <v>1</v>
      </c>
      <c r="AC25" s="1559">
        <f t="shared" si="5"/>
        <v>1</v>
      </c>
    </row>
    <row r="26" spans="1:29" ht="15">
      <c r="A26" s="514"/>
      <c r="B26" s="565"/>
      <c r="C26" s="579"/>
      <c r="D26" s="539"/>
      <c r="E26" s="582"/>
      <c r="F26" s="539"/>
      <c r="G26" s="579"/>
      <c r="H26" s="539"/>
      <c r="I26" s="582"/>
      <c r="J26" s="539"/>
      <c r="K26" s="897"/>
      <c r="L26" s="2124"/>
      <c r="M26" s="2116"/>
      <c r="N26" s="2116"/>
      <c r="O26" s="2116"/>
      <c r="P26" s="3502"/>
      <c r="Q26" s="1555"/>
      <c r="R26" s="1556"/>
      <c r="S26" s="1557"/>
      <c r="T26" s="1556"/>
      <c r="U26" s="1557"/>
      <c r="V26" s="1556"/>
      <c r="W26" s="1557"/>
      <c r="X26" s="1550"/>
      <c r="Y26" s="3502"/>
      <c r="Z26" s="1558"/>
      <c r="AA26" s="1559">
        <v>1</v>
      </c>
      <c r="AB26" s="1559">
        <v>1</v>
      </c>
      <c r="AC26" s="1559">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502"/>
      <c r="Q27" s="1555" t="str">
        <f t="shared" ref="Q27:Q47" si="11">B27</f>
        <v>楼层</v>
      </c>
      <c r="R27" s="1556" t="s">
        <v>8</v>
      </c>
      <c r="S27" s="1557">
        <f>F27</f>
        <v>100</v>
      </c>
      <c r="T27" s="1556" t="s">
        <v>8</v>
      </c>
      <c r="U27" s="1557">
        <f>H27</f>
        <v>100</v>
      </c>
      <c r="V27" s="1556" t="s">
        <v>8</v>
      </c>
      <c r="W27" s="1557">
        <f>J27</f>
        <v>100</v>
      </c>
      <c r="X27" s="1550"/>
      <c r="Y27" s="3502"/>
      <c r="Z27" s="1558" t="str">
        <f>Q27</f>
        <v>楼层</v>
      </c>
      <c r="AA27" s="1559">
        <f t="shared" si="3"/>
        <v>1</v>
      </c>
      <c r="AB27" s="1559">
        <f t="shared" si="4"/>
        <v>1</v>
      </c>
      <c r="AC27" s="1559">
        <f t="shared" si="5"/>
        <v>1</v>
      </c>
    </row>
    <row r="28" spans="1:29" s="1214"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7"/>
      <c r="M28" s="2118"/>
      <c r="N28" s="2118"/>
      <c r="O28" s="2118"/>
      <c r="P28" s="3502"/>
      <c r="Q28" s="1145" t="str">
        <f t="shared" si="11"/>
        <v>朝向</v>
      </c>
      <c r="R28" s="1551" t="s">
        <v>8</v>
      </c>
      <c r="S28" s="1552">
        <f>F28</f>
        <v>100</v>
      </c>
      <c r="T28" s="1551" t="s">
        <v>8</v>
      </c>
      <c r="U28" s="1552">
        <f>H28</f>
        <v>100</v>
      </c>
      <c r="V28" s="1551" t="s">
        <v>8</v>
      </c>
      <c r="W28" s="1552">
        <f>J28</f>
        <v>100</v>
      </c>
      <c r="X28" s="1553"/>
      <c r="Y28" s="3502"/>
      <c r="Z28" s="1144" t="str">
        <f>Q28</f>
        <v>朝向</v>
      </c>
      <c r="AA28" s="1559">
        <f>D28/F28</f>
        <v>1</v>
      </c>
      <c r="AB28" s="1559">
        <f>D28/H28</f>
        <v>1</v>
      </c>
      <c r="AC28" s="1559">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4"/>
      <c r="M29" s="2116"/>
      <c r="N29" s="2116"/>
      <c r="O29" s="2116"/>
      <c r="P29" s="3502"/>
      <c r="Q29" s="1555">
        <f t="shared" si="11"/>
        <v>111</v>
      </c>
      <c r="R29" s="1556" t="s">
        <v>8</v>
      </c>
      <c r="S29" s="1557">
        <f t="shared" ref="S29:S47" si="12">F29</f>
        <v>100</v>
      </c>
      <c r="T29" s="1556" t="s">
        <v>8</v>
      </c>
      <c r="U29" s="1557">
        <f t="shared" ref="U29:U47" si="13">H29</f>
        <v>100</v>
      </c>
      <c r="V29" s="1556" t="s">
        <v>8</v>
      </c>
      <c r="W29" s="1557">
        <f t="shared" ref="W29:W47" si="14">J29</f>
        <v>100</v>
      </c>
      <c r="X29" s="1550"/>
      <c r="Y29" s="3502"/>
      <c r="Z29" s="1558">
        <f t="shared" ref="Z29:Z47" si="15">Q29</f>
        <v>111</v>
      </c>
      <c r="AA29" s="1559">
        <f t="shared" si="3"/>
        <v>1</v>
      </c>
      <c r="AB29" s="1559">
        <f t="shared" si="4"/>
        <v>1</v>
      </c>
      <c r="AC29" s="1559">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4"/>
      <c r="M30" s="2116"/>
      <c r="N30" s="2116"/>
      <c r="O30" s="2116"/>
      <c r="P30" s="3502"/>
      <c r="Q30" s="1555">
        <f t="shared" si="11"/>
        <v>111</v>
      </c>
      <c r="R30" s="1556" t="s">
        <v>8</v>
      </c>
      <c r="S30" s="1557">
        <f t="shared" si="12"/>
        <v>100</v>
      </c>
      <c r="T30" s="1556" t="s">
        <v>8</v>
      </c>
      <c r="U30" s="1557">
        <f t="shared" si="13"/>
        <v>100</v>
      </c>
      <c r="V30" s="1556" t="s">
        <v>8</v>
      </c>
      <c r="W30" s="1557">
        <f t="shared" si="14"/>
        <v>100</v>
      </c>
      <c r="X30" s="1550"/>
      <c r="Y30" s="3502"/>
      <c r="Z30" s="1558">
        <f t="shared" si="15"/>
        <v>111</v>
      </c>
      <c r="AA30" s="1559">
        <f t="shared" si="3"/>
        <v>1</v>
      </c>
      <c r="AB30" s="1559">
        <f t="shared" si="4"/>
        <v>1</v>
      </c>
      <c r="AC30" s="1559">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4"/>
      <c r="M31" s="2116"/>
      <c r="N31" s="2116"/>
      <c r="O31" s="2116"/>
      <c r="P31" s="3502"/>
      <c r="Q31" s="1555">
        <f t="shared" si="11"/>
        <v>111</v>
      </c>
      <c r="R31" s="1556" t="s">
        <v>8</v>
      </c>
      <c r="S31" s="1557">
        <f t="shared" si="12"/>
        <v>100</v>
      </c>
      <c r="T31" s="1556" t="s">
        <v>8</v>
      </c>
      <c r="U31" s="1557">
        <f t="shared" si="13"/>
        <v>100</v>
      </c>
      <c r="V31" s="1556" t="s">
        <v>8</v>
      </c>
      <c r="W31" s="1557">
        <f t="shared" si="14"/>
        <v>100</v>
      </c>
      <c r="X31" s="1550"/>
      <c r="Y31" s="3502"/>
      <c r="Z31" s="1558">
        <f t="shared" si="15"/>
        <v>111</v>
      </c>
      <c r="AA31" s="1559">
        <f t="shared" si="3"/>
        <v>1</v>
      </c>
      <c r="AB31" s="1559">
        <f t="shared" si="4"/>
        <v>1</v>
      </c>
      <c r="AC31" s="1559">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4"/>
      <c r="M32" s="2116"/>
      <c r="N32" s="2116"/>
      <c r="O32" s="2116"/>
      <c r="P32" s="3502"/>
      <c r="Q32" s="1555">
        <f t="shared" si="11"/>
        <v>111</v>
      </c>
      <c r="R32" s="1556" t="s">
        <v>8</v>
      </c>
      <c r="S32" s="1557">
        <f t="shared" si="12"/>
        <v>100</v>
      </c>
      <c r="T32" s="1556" t="s">
        <v>8</v>
      </c>
      <c r="U32" s="1557">
        <f t="shared" si="13"/>
        <v>100</v>
      </c>
      <c r="V32" s="1556" t="s">
        <v>8</v>
      </c>
      <c r="W32" s="1557">
        <f t="shared" si="14"/>
        <v>100</v>
      </c>
      <c r="X32" s="1550"/>
      <c r="Y32" s="3502"/>
      <c r="Z32" s="1558">
        <f t="shared" si="15"/>
        <v>111</v>
      </c>
      <c r="AA32" s="1559">
        <f t="shared" si="3"/>
        <v>1</v>
      </c>
      <c r="AB32" s="1559">
        <f t="shared" si="4"/>
        <v>1</v>
      </c>
      <c r="AC32" s="1559">
        <f t="shared" si="5"/>
        <v>1</v>
      </c>
    </row>
    <row r="33" spans="1:29" ht="15">
      <c r="A33" s="2859" t="s">
        <v>2750</v>
      </c>
      <c r="B33" s="171"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4"/>
      <c r="M33" s="2116"/>
      <c r="N33" s="2116"/>
      <c r="O33" s="2116"/>
      <c r="P33" s="3503" t="s">
        <v>550</v>
      </c>
      <c r="Q33" s="1555" t="str">
        <f t="shared" si="11"/>
        <v>建筑类型</v>
      </c>
      <c r="R33" s="1556" t="s">
        <v>8</v>
      </c>
      <c r="S33" s="1557">
        <f t="shared" si="12"/>
        <v>100</v>
      </c>
      <c r="T33" s="1556" t="s">
        <v>8</v>
      </c>
      <c r="U33" s="1557">
        <f t="shared" si="13"/>
        <v>100</v>
      </c>
      <c r="V33" s="1556" t="s">
        <v>8</v>
      </c>
      <c r="W33" s="1557">
        <f t="shared" si="14"/>
        <v>100</v>
      </c>
      <c r="X33" s="1550"/>
      <c r="Y33" s="3504" t="s">
        <v>550</v>
      </c>
      <c r="Z33" s="1558" t="str">
        <f t="shared" si="15"/>
        <v>建筑类型</v>
      </c>
      <c r="AA33" s="1559">
        <f t="shared" si="3"/>
        <v>1</v>
      </c>
      <c r="AB33" s="1559">
        <f t="shared" si="4"/>
        <v>1</v>
      </c>
      <c r="AC33" s="1559">
        <f t="shared" si="5"/>
        <v>1</v>
      </c>
    </row>
    <row r="34" spans="1:29" s="1333"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504"/>
      <c r="Q34" s="1587" t="str">
        <f t="shared" si="11"/>
        <v>项目建筑规模</v>
      </c>
      <c r="R34" s="1560" t="s">
        <v>8</v>
      </c>
      <c r="S34" s="1561" t="e">
        <f t="shared" si="12"/>
        <v>#N/A</v>
      </c>
      <c r="T34" s="1560" t="s">
        <v>8</v>
      </c>
      <c r="U34" s="1561" t="e">
        <f t="shared" si="13"/>
        <v>#N/A</v>
      </c>
      <c r="V34" s="1560" t="s">
        <v>8</v>
      </c>
      <c r="W34" s="1561" t="e">
        <f t="shared" si="14"/>
        <v>#N/A</v>
      </c>
      <c r="X34" s="1562"/>
      <c r="Y34" s="3504"/>
      <c r="Z34" s="1563" t="str">
        <f t="shared" si="15"/>
        <v>项目建筑规模</v>
      </c>
      <c r="AA34" s="1559" t="e">
        <f t="shared" si="3"/>
        <v>#N/A</v>
      </c>
      <c r="AB34" s="1559" t="e">
        <f t="shared" si="4"/>
        <v>#N/A</v>
      </c>
      <c r="AC34" s="1559"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504"/>
      <c r="Q35" s="1555" t="str">
        <f t="shared" si="11"/>
        <v>建筑结构</v>
      </c>
      <c r="R35" s="1556" t="s">
        <v>8</v>
      </c>
      <c r="S35" s="1557">
        <f t="shared" si="12"/>
        <v>100</v>
      </c>
      <c r="T35" s="1556" t="s">
        <v>8</v>
      </c>
      <c r="U35" s="1557">
        <f t="shared" si="13"/>
        <v>100</v>
      </c>
      <c r="V35" s="1556" t="s">
        <v>8</v>
      </c>
      <c r="W35" s="1557">
        <f t="shared" si="14"/>
        <v>100</v>
      </c>
      <c r="X35" s="1550"/>
      <c r="Y35" s="3504"/>
      <c r="Z35" s="1558" t="str">
        <f t="shared" si="15"/>
        <v>建筑结构</v>
      </c>
      <c r="AA35" s="1559">
        <f t="shared" si="3"/>
        <v>1</v>
      </c>
      <c r="AB35" s="1559">
        <f t="shared" si="4"/>
        <v>1</v>
      </c>
      <c r="AC35" s="1559">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504"/>
      <c r="Q36" s="1555" t="str">
        <f t="shared" si="11"/>
        <v>公共部分装修</v>
      </c>
      <c r="R36" s="1556" t="s">
        <v>8</v>
      </c>
      <c r="S36" s="1557">
        <f t="shared" si="12"/>
        <v>100</v>
      </c>
      <c r="T36" s="1556" t="s">
        <v>8</v>
      </c>
      <c r="U36" s="1557">
        <f t="shared" si="13"/>
        <v>100</v>
      </c>
      <c r="V36" s="1556" t="s">
        <v>8</v>
      </c>
      <c r="W36" s="1557">
        <f t="shared" si="14"/>
        <v>100</v>
      </c>
      <c r="X36" s="1550"/>
      <c r="Y36" s="3504"/>
      <c r="Z36" s="1558" t="str">
        <f t="shared" si="15"/>
        <v>公共部分装修</v>
      </c>
      <c r="AA36" s="1559">
        <f t="shared" si="3"/>
        <v>1</v>
      </c>
      <c r="AB36" s="1559">
        <f t="shared" si="4"/>
        <v>1</v>
      </c>
      <c r="AC36" s="1559">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4"/>
      <c r="M37" s="2116"/>
      <c r="N37" s="2116"/>
      <c r="O37" s="2116"/>
      <c r="P37" s="3504"/>
      <c r="Q37" s="1555" t="str">
        <f t="shared" si="11"/>
        <v>成新度</v>
      </c>
      <c r="R37" s="1556" t="s">
        <v>8</v>
      </c>
      <c r="S37" s="1557" t="e">
        <f t="shared" si="12"/>
        <v>#N/A</v>
      </c>
      <c r="T37" s="1556" t="s">
        <v>8</v>
      </c>
      <c r="U37" s="1557" t="e">
        <f t="shared" si="13"/>
        <v>#N/A</v>
      </c>
      <c r="V37" s="1556" t="s">
        <v>8</v>
      </c>
      <c r="W37" s="1557" t="e">
        <f t="shared" si="14"/>
        <v>#N/A</v>
      </c>
      <c r="X37" s="1550"/>
      <c r="Y37" s="3504"/>
      <c r="Z37" s="1558" t="str">
        <f t="shared" si="15"/>
        <v>成新度</v>
      </c>
      <c r="AA37" s="1559" t="e">
        <f t="shared" si="3"/>
        <v>#N/A</v>
      </c>
      <c r="AB37" s="1559" t="e">
        <f t="shared" si="4"/>
        <v>#N/A</v>
      </c>
      <c r="AC37" s="1559"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504"/>
      <c r="Q38" s="1145" t="str">
        <f t="shared" si="11"/>
        <v>写字楼等级</v>
      </c>
      <c r="R38" s="1551" t="s">
        <v>8</v>
      </c>
      <c r="S38" s="1552">
        <f t="shared" si="12"/>
        <v>100</v>
      </c>
      <c r="T38" s="1551" t="s">
        <v>8</v>
      </c>
      <c r="U38" s="1552">
        <f t="shared" si="13"/>
        <v>100</v>
      </c>
      <c r="V38" s="1551" t="s">
        <v>8</v>
      </c>
      <c r="W38" s="1552">
        <f t="shared" si="14"/>
        <v>100</v>
      </c>
      <c r="X38" s="1553"/>
      <c r="Y38" s="3504"/>
      <c r="Z38" s="1144" t="str">
        <f t="shared" si="15"/>
        <v>写字楼等级</v>
      </c>
      <c r="AA38" s="1554">
        <f t="shared" si="3"/>
        <v>1</v>
      </c>
      <c r="AB38" s="1554">
        <f t="shared" si="4"/>
        <v>1</v>
      </c>
      <c r="AC38" s="1554">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504" t="s">
        <v>550</v>
      </c>
      <c r="Q39" s="1555" t="str">
        <f t="shared" si="11"/>
        <v>物业管理</v>
      </c>
      <c r="R39" s="1556" t="s">
        <v>8</v>
      </c>
      <c r="S39" s="1557">
        <f t="shared" si="12"/>
        <v>100</v>
      </c>
      <c r="T39" s="1556" t="s">
        <v>8</v>
      </c>
      <c r="U39" s="1557">
        <f t="shared" si="13"/>
        <v>100</v>
      </c>
      <c r="V39" s="1556" t="s">
        <v>8</v>
      </c>
      <c r="W39" s="1557">
        <f t="shared" si="14"/>
        <v>100</v>
      </c>
      <c r="X39" s="1550"/>
      <c r="Y39" s="3504" t="s">
        <v>550</v>
      </c>
      <c r="Z39" s="1558" t="str">
        <f t="shared" si="15"/>
        <v>物业管理</v>
      </c>
      <c r="AA39" s="1559">
        <f t="shared" si="3"/>
        <v>1</v>
      </c>
      <c r="AB39" s="1559">
        <f t="shared" si="4"/>
        <v>1</v>
      </c>
      <c r="AC39" s="1559">
        <f t="shared" si="5"/>
        <v>1</v>
      </c>
    </row>
    <row r="40" spans="1:29" ht="15">
      <c r="A40" s="593"/>
      <c r="B40" s="1877" t="s">
        <v>2560</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504"/>
      <c r="Q40" s="1555" t="str">
        <f t="shared" si="11"/>
        <v>市政基础设施</v>
      </c>
      <c r="R40" s="1556" t="s">
        <v>8</v>
      </c>
      <c r="S40" s="1557">
        <f t="shared" si="12"/>
        <v>100</v>
      </c>
      <c r="T40" s="1556" t="s">
        <v>8</v>
      </c>
      <c r="U40" s="1557">
        <f t="shared" si="13"/>
        <v>100</v>
      </c>
      <c r="V40" s="1556" t="s">
        <v>8</v>
      </c>
      <c r="W40" s="1557">
        <f t="shared" si="14"/>
        <v>100</v>
      </c>
      <c r="X40" s="1550"/>
      <c r="Y40" s="3504"/>
      <c r="Z40" s="1558" t="str">
        <f t="shared" si="15"/>
        <v>市政基础设施</v>
      </c>
      <c r="AA40" s="1559">
        <f t="shared" si="3"/>
        <v>1</v>
      </c>
      <c r="AB40" s="1559">
        <f t="shared" si="4"/>
        <v>1</v>
      </c>
      <c r="AC40" s="1559">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504"/>
      <c r="Q41" s="1555" t="str">
        <f t="shared" si="11"/>
        <v>层高</v>
      </c>
      <c r="R41" s="1556" t="s">
        <v>8</v>
      </c>
      <c r="S41" s="1557">
        <f t="shared" si="12"/>
        <v>100</v>
      </c>
      <c r="T41" s="1556" t="s">
        <v>8</v>
      </c>
      <c r="U41" s="1557">
        <f t="shared" si="13"/>
        <v>100</v>
      </c>
      <c r="V41" s="1556" t="s">
        <v>8</v>
      </c>
      <c r="W41" s="1557">
        <f t="shared" si="14"/>
        <v>100</v>
      </c>
      <c r="X41" s="1550"/>
      <c r="Y41" s="3504"/>
      <c r="Z41" s="1558" t="str">
        <f t="shared" si="15"/>
        <v>层高</v>
      </c>
      <c r="AA41" s="1559">
        <f t="shared" si="3"/>
        <v>1</v>
      </c>
      <c r="AB41" s="1559">
        <f t="shared" si="4"/>
        <v>1</v>
      </c>
      <c r="AC41" s="1559">
        <f t="shared" si="5"/>
        <v>1</v>
      </c>
    </row>
    <row r="42" spans="1:29" s="1333"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504"/>
      <c r="Q42" s="1587" t="str">
        <f t="shared" si="11"/>
        <v>单套建筑面积</v>
      </c>
      <c r="R42" s="1560" t="s">
        <v>8</v>
      </c>
      <c r="S42" s="1561">
        <f t="shared" si="12"/>
        <v>100</v>
      </c>
      <c r="T42" s="1560" t="s">
        <v>8</v>
      </c>
      <c r="U42" s="1561">
        <f t="shared" si="13"/>
        <v>100</v>
      </c>
      <c r="V42" s="1560" t="s">
        <v>8</v>
      </c>
      <c r="W42" s="1561">
        <f t="shared" si="14"/>
        <v>100</v>
      </c>
      <c r="X42" s="1562"/>
      <c r="Y42" s="3504"/>
      <c r="Z42" s="1563" t="str">
        <f t="shared" si="15"/>
        <v>单套建筑面积</v>
      </c>
      <c r="AA42" s="1559">
        <f t="shared" si="3"/>
        <v>1</v>
      </c>
      <c r="AB42" s="1559">
        <f t="shared" si="4"/>
        <v>1</v>
      </c>
      <c r="AC42" s="1559">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504"/>
      <c r="Q43" s="1555" t="str">
        <f t="shared" si="11"/>
        <v>内部装修</v>
      </c>
      <c r="R43" s="1556" t="s">
        <v>8</v>
      </c>
      <c r="S43" s="1557">
        <f t="shared" si="12"/>
        <v>100</v>
      </c>
      <c r="T43" s="1556" t="s">
        <v>8</v>
      </c>
      <c r="U43" s="1557">
        <f t="shared" si="13"/>
        <v>100</v>
      </c>
      <c r="V43" s="1556" t="s">
        <v>8</v>
      </c>
      <c r="W43" s="1557">
        <f t="shared" si="14"/>
        <v>100</v>
      </c>
      <c r="X43" s="1550"/>
      <c r="Y43" s="3504"/>
      <c r="Z43" s="1558" t="str">
        <f t="shared" si="15"/>
        <v>内部装修</v>
      </c>
      <c r="AA43" s="1559">
        <f t="shared" si="3"/>
        <v>1</v>
      </c>
      <c r="AB43" s="1559">
        <f t="shared" si="4"/>
        <v>1</v>
      </c>
      <c r="AC43" s="1559">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504"/>
      <c r="Q44" s="1555" t="str">
        <f t="shared" si="11"/>
        <v>内部装修维护情况</v>
      </c>
      <c r="R44" s="1556" t="s">
        <v>8</v>
      </c>
      <c r="S44" s="1557">
        <f t="shared" si="12"/>
        <v>100</v>
      </c>
      <c r="T44" s="1556" t="s">
        <v>8</v>
      </c>
      <c r="U44" s="1557">
        <f t="shared" si="13"/>
        <v>100</v>
      </c>
      <c r="V44" s="1556" t="s">
        <v>8</v>
      </c>
      <c r="W44" s="1557">
        <f t="shared" si="14"/>
        <v>100</v>
      </c>
      <c r="X44" s="1550"/>
      <c r="Y44" s="3504"/>
      <c r="Z44" s="1558" t="str">
        <f t="shared" si="15"/>
        <v>内部装修维护情况</v>
      </c>
      <c r="AA44" s="1559">
        <f t="shared" si="3"/>
        <v>1</v>
      </c>
      <c r="AB44" s="1559">
        <f t="shared" si="4"/>
        <v>1</v>
      </c>
      <c r="AC44" s="1559">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504"/>
      <c r="Q45" s="1145">
        <f t="shared" si="11"/>
        <v>111</v>
      </c>
      <c r="R45" s="1551" t="s">
        <v>8</v>
      </c>
      <c r="S45" s="1552">
        <f t="shared" si="12"/>
        <v>100</v>
      </c>
      <c r="T45" s="1551" t="s">
        <v>8</v>
      </c>
      <c r="U45" s="1552">
        <f t="shared" si="13"/>
        <v>100</v>
      </c>
      <c r="V45" s="1551" t="s">
        <v>8</v>
      </c>
      <c r="W45" s="1552">
        <f t="shared" si="14"/>
        <v>100</v>
      </c>
      <c r="X45" s="1553"/>
      <c r="Y45" s="3504"/>
      <c r="Z45" s="1144">
        <f t="shared" si="15"/>
        <v>111</v>
      </c>
      <c r="AA45" s="1554">
        <f t="shared" si="3"/>
        <v>1</v>
      </c>
      <c r="AB45" s="1554">
        <f t="shared" si="4"/>
        <v>1</v>
      </c>
      <c r="AC45" s="1554">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504"/>
      <c r="Q46" s="1555">
        <f t="shared" si="11"/>
        <v>111</v>
      </c>
      <c r="R46" s="1556" t="s">
        <v>8</v>
      </c>
      <c r="S46" s="1557">
        <f t="shared" si="12"/>
        <v>100</v>
      </c>
      <c r="T46" s="1556" t="s">
        <v>8</v>
      </c>
      <c r="U46" s="1557">
        <f t="shared" si="13"/>
        <v>100</v>
      </c>
      <c r="V46" s="1556" t="s">
        <v>8</v>
      </c>
      <c r="W46" s="1557">
        <f t="shared" si="14"/>
        <v>100</v>
      </c>
      <c r="X46" s="1550"/>
      <c r="Y46" s="3504"/>
      <c r="Z46" s="1558">
        <f t="shared" si="15"/>
        <v>111</v>
      </c>
      <c r="AA46" s="1559">
        <f t="shared" si="3"/>
        <v>1</v>
      </c>
      <c r="AB46" s="1559">
        <f t="shared" si="4"/>
        <v>1</v>
      </c>
      <c r="AC46" s="1559">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583"/>
      <c r="Q47" s="1555">
        <f t="shared" si="11"/>
        <v>111</v>
      </c>
      <c r="R47" s="1556" t="s">
        <v>8</v>
      </c>
      <c r="S47" s="1557">
        <f t="shared" si="12"/>
        <v>100</v>
      </c>
      <c r="T47" s="1556" t="s">
        <v>8</v>
      </c>
      <c r="U47" s="1557">
        <f t="shared" si="13"/>
        <v>100</v>
      </c>
      <c r="V47" s="1556" t="s">
        <v>8</v>
      </c>
      <c r="W47" s="1557">
        <f t="shared" si="14"/>
        <v>100</v>
      </c>
      <c r="X47" s="1550"/>
      <c r="Y47" s="3583"/>
      <c r="Z47" s="1558">
        <f t="shared" si="15"/>
        <v>111</v>
      </c>
      <c r="AA47" s="1559">
        <f t="shared" si="3"/>
        <v>1</v>
      </c>
      <c r="AB47" s="1559">
        <f t="shared" si="4"/>
        <v>1</v>
      </c>
      <c r="AC47" s="1559">
        <f t="shared" si="5"/>
        <v>1</v>
      </c>
    </row>
    <row r="48" spans="1:29" ht="15">
      <c r="A48" s="606" t="s">
        <v>736</v>
      </c>
      <c r="B48" s="885"/>
      <c r="C48" s="2588" t="s">
        <v>1</v>
      </c>
      <c r="D48" s="2589"/>
      <c r="E48" s="2590"/>
      <c r="F48" s="2591"/>
      <c r="G48" s="2592"/>
      <c r="H48" s="2593"/>
      <c r="I48" s="2590"/>
      <c r="J48" s="2593"/>
      <c r="K48" s="1593"/>
      <c r="L48" s="2126"/>
      <c r="M48" s="2116"/>
      <c r="N48" s="2116"/>
      <c r="O48" s="2116"/>
      <c r="P48" s="3465" t="str">
        <f>A48</f>
        <v>成交单价（元/平方米）</v>
      </c>
      <c r="Q48" s="3467"/>
      <c r="R48" s="3582">
        <f>E48</f>
        <v>0</v>
      </c>
      <c r="S48" s="3582"/>
      <c r="T48" s="3582">
        <f>G48</f>
        <v>0</v>
      </c>
      <c r="U48" s="3582"/>
      <c r="V48" s="3582">
        <f>I48</f>
        <v>0</v>
      </c>
      <c r="W48" s="3582"/>
      <c r="X48" s="1542"/>
      <c r="Y48" s="1564"/>
      <c r="Z48" s="1542"/>
      <c r="AA48" s="1542"/>
      <c r="AB48" s="1542"/>
      <c r="AC48" s="1542"/>
    </row>
    <row r="49" spans="1:29" ht="15.75" thickBot="1">
      <c r="A49" s="614" t="s">
        <v>2755</v>
      </c>
      <c r="B49" s="886"/>
      <c r="C49" s="2594" t="e">
        <f>R50</f>
        <v>#DIV/0!</v>
      </c>
      <c r="D49" s="2595"/>
      <c r="E49" s="2596" t="e">
        <f>R49</f>
        <v>#DIV/0!</v>
      </c>
      <c r="F49" s="2596"/>
      <c r="G49" s="2594" t="e">
        <f>T49</f>
        <v>#DIV/0!</v>
      </c>
      <c r="H49" s="2595"/>
      <c r="I49" s="2596" t="e">
        <f>V49</f>
        <v>#DIV/0!</v>
      </c>
      <c r="J49" s="2595"/>
      <c r="K49" s="1594"/>
      <c r="L49" s="2126"/>
      <c r="M49" s="2116"/>
      <c r="N49" s="2116"/>
      <c r="O49" s="2116"/>
      <c r="P49" s="3465" t="str">
        <f>A49</f>
        <v>比较价格（元/平方米）</v>
      </c>
      <c r="Q49" s="3467"/>
      <c r="R49" s="3582" t="e">
        <f>IF(F1="售价",ROUND(PRODUCT(R48,AA7:AA47),0),ROUND(PRODUCT(R48,AA7:AA47),1))</f>
        <v>#DIV/0!</v>
      </c>
      <c r="S49" s="3582"/>
      <c r="T49" s="3582" t="e">
        <f>IF(F1="售价",ROUND(PRODUCT(T48,AB7:AB47),0),ROUND(PRODUCT(T48,AB7:AB47),1))</f>
        <v>#DIV/0!</v>
      </c>
      <c r="U49" s="3582"/>
      <c r="V49" s="3582" t="e">
        <f>IF(F1="售价",ROUND(PRODUCT(V48,AC7:AC47),0),ROUND(PRODUCT(V48,AC7:AC47),1))</f>
        <v>#DIV/0!</v>
      </c>
      <c r="W49" s="3582"/>
      <c r="X49" s="1542"/>
      <c r="Y49" s="1542"/>
      <c r="Z49" s="1542"/>
      <c r="AA49" s="1542"/>
      <c r="AB49" s="1542"/>
      <c r="AC49" s="1542"/>
    </row>
    <row r="50" spans="1:29" ht="15.75" thickBot="1">
      <c r="A50" s="620" t="s">
        <v>2928</v>
      </c>
      <c r="B50" s="621"/>
      <c r="C50" s="2597" t="e">
        <f>R50</f>
        <v>#DIV/0!</v>
      </c>
      <c r="D50" s="2597"/>
      <c r="E50" s="2597"/>
      <c r="F50" s="2597"/>
      <c r="G50" s="2597"/>
      <c r="H50" s="2597"/>
      <c r="I50" s="2597"/>
      <c r="J50" s="2597"/>
      <c r="K50" s="1595"/>
      <c r="L50" s="2126"/>
      <c r="M50" s="2116"/>
      <c r="N50" s="2116"/>
      <c r="O50" s="2116"/>
      <c r="P50" s="3588" t="str">
        <f>A50</f>
        <v>估价对象XX用房的比较价格（楼面单价，元/平方米）</v>
      </c>
      <c r="Q50" s="3465"/>
      <c r="R50" s="3581" t="e">
        <f>IF(F1="售价",ROUND(AVERAGE(R49:V49),0),ROUND(AVERAGE(R49:V49),1))</f>
        <v>#DIV/0!</v>
      </c>
      <c r="S50" s="3581"/>
      <c r="T50" s="3581"/>
      <c r="U50" s="3581"/>
      <c r="V50" s="3581"/>
      <c r="W50" s="3581"/>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5">
      <c r="A59" s="644" t="s">
        <v>529</v>
      </c>
      <c r="B59" s="645"/>
      <c r="C59" s="2754" t="str">
        <f>YEAR(C7)&amp;"-"&amp;MONTH(C7)</f>
        <v>2019-8</v>
      </c>
      <c r="D59" s="2756">
        <f>EDATE(C59,-1)</f>
        <v>43647</v>
      </c>
      <c r="E59" s="2756">
        <f t="shared" ref="E59:O59" si="16">EDATE(D59,-1)</f>
        <v>43617</v>
      </c>
      <c r="F59" s="2756">
        <f t="shared" si="16"/>
        <v>43586</v>
      </c>
      <c r="G59" s="2756">
        <f t="shared" si="16"/>
        <v>43556</v>
      </c>
      <c r="H59" s="2756">
        <f t="shared" si="16"/>
        <v>43525</v>
      </c>
      <c r="I59" s="2756">
        <f t="shared" si="16"/>
        <v>43497</v>
      </c>
      <c r="J59" s="2756">
        <f t="shared" si="16"/>
        <v>43466</v>
      </c>
      <c r="K59" s="2756">
        <f t="shared" si="16"/>
        <v>43435</v>
      </c>
      <c r="L59" s="2756">
        <f t="shared" si="16"/>
        <v>43405</v>
      </c>
      <c r="M59" s="2756">
        <f t="shared" si="16"/>
        <v>43374</v>
      </c>
      <c r="N59" s="2756">
        <f t="shared" si="16"/>
        <v>43344</v>
      </c>
      <c r="O59" s="2756">
        <f t="shared" si="16"/>
        <v>43313</v>
      </c>
      <c r="P59" s="2193"/>
      <c r="Q59" s="2143"/>
      <c r="R59" s="2143"/>
      <c r="S59" s="2143"/>
      <c r="T59" s="2143"/>
      <c r="U59" s="2143"/>
      <c r="V59" s="2143"/>
      <c r="W59" s="2143"/>
      <c r="X59" s="2143"/>
      <c r="Y59" s="2143"/>
      <c r="Z59" s="2143"/>
      <c r="AA59" s="2143"/>
      <c r="AB59" s="2143"/>
      <c r="AC59" s="2143"/>
    </row>
    <row r="60" spans="1:29" s="1214" customFormat="1" ht="15">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4" customFormat="1" ht="15.7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4" customFormat="1" ht="15">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4" customFormat="1" ht="15.75" thickBot="1">
      <c r="A63" s="658"/>
      <c r="B63" s="647"/>
      <c r="C63" s="887">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5.75"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3" customFormat="1" ht="15.75"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3" customFormat="1" ht="15.75"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3" customFormat="1" ht="15.75"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3" customFormat="1" ht="15.75"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3" customFormat="1" ht="15.75"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3" customFormat="1" ht="15.75"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7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75" thickTop="1">
      <c r="A81" s="668"/>
      <c r="B81" s="1878" t="s">
        <v>2552</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75" thickTop="1">
      <c r="A83" s="668"/>
      <c r="B83" s="2558" t="s">
        <v>2553</v>
      </c>
      <c r="C83" s="2559" t="s">
        <v>2554</v>
      </c>
      <c r="D83" s="2559" t="s">
        <v>2555</v>
      </c>
      <c r="E83" s="2559" t="s">
        <v>2556</v>
      </c>
      <c r="F83" s="2559" t="s">
        <v>2557</v>
      </c>
      <c r="G83" s="2559" t="s">
        <v>2558</v>
      </c>
      <c r="H83" s="673"/>
      <c r="I83" s="673"/>
      <c r="J83" s="673"/>
      <c r="K83" s="673"/>
      <c r="L83" s="673"/>
      <c r="M83" s="2562"/>
      <c r="N83" s="2148"/>
      <c r="O83" s="2148"/>
      <c r="P83" s="2196"/>
      <c r="Q83" s="2140"/>
      <c r="R83" s="2127"/>
      <c r="S83" s="2127"/>
      <c r="T83" s="2127"/>
      <c r="U83" s="2127"/>
      <c r="V83" s="2127"/>
      <c r="W83" s="2127"/>
      <c r="X83" s="2127"/>
      <c r="Y83" s="2127"/>
      <c r="Z83" s="2127"/>
      <c r="AA83" s="2127"/>
      <c r="AB83" s="2127"/>
      <c r="AC83" s="2127"/>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8"/>
      <c r="O84" s="2148"/>
      <c r="P84" s="2196"/>
      <c r="Q84" s="2140"/>
      <c r="R84" s="2127"/>
      <c r="S84" s="2127"/>
      <c r="T84" s="2127"/>
      <c r="U84" s="2127"/>
      <c r="V84" s="2127"/>
      <c r="W84" s="2127"/>
      <c r="X84" s="2127"/>
      <c r="Y84" s="2127"/>
      <c r="Z84" s="2127"/>
      <c r="AA84" s="2127"/>
      <c r="AB84" s="2127"/>
      <c r="AC84" s="2127"/>
    </row>
    <row r="85" spans="1:29" ht="15.7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4" customFormat="1" ht="27.75" thickTop="1">
      <c r="A87" s="708"/>
      <c r="B87" s="672" t="s">
        <v>785</v>
      </c>
      <c r="C87" s="687"/>
      <c r="D87" s="687"/>
      <c r="E87" s="687"/>
      <c r="F87" s="687"/>
      <c r="G87" s="687"/>
      <c r="H87" s="687"/>
      <c r="I87" s="687"/>
      <c r="J87" s="687"/>
      <c r="K87" s="687"/>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4" customFormat="1" ht="15.75" thickTop="1">
      <c r="A89" s="708"/>
      <c r="B89" s="672" t="str">
        <f>B27</f>
        <v>楼层</v>
      </c>
      <c r="C89" s="687"/>
      <c r="D89" s="687"/>
      <c r="E89" s="687"/>
      <c r="F89" s="890"/>
      <c r="G89" s="687"/>
      <c r="H89" s="687"/>
      <c r="I89" s="687"/>
      <c r="J89" s="687"/>
      <c r="K89" s="687"/>
      <c r="L89" s="687"/>
      <c r="M89" s="889"/>
      <c r="N89" s="2144"/>
      <c r="O89" s="2144"/>
      <c r="P89" s="2196"/>
      <c r="Q89" s="2140"/>
      <c r="R89" s="1975"/>
      <c r="S89" s="1975"/>
      <c r="T89" s="1975"/>
      <c r="U89" s="1975"/>
      <c r="V89" s="1975"/>
      <c r="W89" s="1975"/>
      <c r="X89" s="1975"/>
      <c r="Y89" s="1975"/>
      <c r="Z89" s="1975"/>
      <c r="AA89" s="1975"/>
      <c r="AB89" s="1975"/>
      <c r="AC89" s="1975"/>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3" customFormat="1" ht="15.75"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8"/>
      <c r="B93" s="672">
        <f>B29</f>
        <v>111</v>
      </c>
      <c r="C93" s="687"/>
      <c r="D93" s="687"/>
      <c r="E93" s="687"/>
      <c r="F93" s="687"/>
      <c r="G93" s="687"/>
      <c r="H93" s="687"/>
      <c r="I93" s="687"/>
      <c r="J93" s="687"/>
      <c r="K93" s="687"/>
      <c r="L93" s="888"/>
      <c r="M93" s="889"/>
      <c r="N93" s="2146"/>
      <c r="O93" s="2146"/>
      <c r="P93" s="2196"/>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5.75"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5.75"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5.75"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5.75"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5.75"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5.75" thickBot="1">
      <c r="A100" s="891"/>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3" customFormat="1" ht="15.75"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2551</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5" t="s">
        <v>787</v>
      </c>
      <c r="C119" s="717"/>
      <c r="D119" s="717"/>
      <c r="E119" s="717"/>
      <c r="F119" s="717"/>
      <c r="G119" s="717"/>
      <c r="H119" s="717"/>
      <c r="I119" s="717"/>
      <c r="J119" s="717"/>
      <c r="K119" s="717"/>
      <c r="L119" s="916"/>
      <c r="M119" s="917"/>
      <c r="N119" s="2148"/>
      <c r="O119" s="2148"/>
      <c r="P119" s="2201"/>
      <c r="Q119" s="2188"/>
      <c r="R119" s="2127"/>
      <c r="S119" s="2127"/>
      <c r="T119" s="2127"/>
      <c r="U119" s="2127"/>
      <c r="V119" s="2127"/>
      <c r="W119" s="2127"/>
      <c r="X119" s="2127"/>
      <c r="Y119" s="2127"/>
      <c r="Z119" s="2127"/>
      <c r="AA119" s="2127"/>
      <c r="AB119" s="2127"/>
      <c r="AC119" s="2127"/>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3" customFormat="1" ht="15.75"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3" customFormat="1" ht="15"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3" customFormat="1" ht="15.75"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5"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5"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5.75" thickBot="1">
      <c r="A132" s="891"/>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788</v>
      </c>
      <c r="C1" s="503" t="s">
        <v>720</v>
      </c>
      <c r="D1" s="848"/>
      <c r="E1" s="505"/>
      <c r="F1" s="2759"/>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427"/>
    </row>
    <row r="2" spans="1:29" s="1330" customFormat="1" ht="28.5" customHeight="1">
      <c r="A2" s="422" t="s">
        <v>467</v>
      </c>
      <c r="B2" s="849"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7"/>
    </row>
    <row r="3" spans="1:29" s="1330"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521</v>
      </c>
      <c r="B4" s="512"/>
      <c r="C4" s="3473" t="s">
        <v>522</v>
      </c>
      <c r="D4" s="3474"/>
      <c r="E4" s="3507" t="s">
        <v>523</v>
      </c>
      <c r="F4" s="3508"/>
      <c r="G4" s="3473" t="s">
        <v>524</v>
      </c>
      <c r="H4" s="3474"/>
      <c r="I4" s="3473" t="s">
        <v>525</v>
      </c>
      <c r="J4" s="3474"/>
      <c r="K4" s="513" t="s">
        <v>526</v>
      </c>
      <c r="L4" s="2115"/>
      <c r="M4" s="2116"/>
      <c r="N4" s="2116"/>
      <c r="O4" s="2116"/>
      <c r="P4" s="3475" t="s">
        <v>527</v>
      </c>
      <c r="Q4" s="3476"/>
      <c r="R4" s="3481" t="s">
        <v>523</v>
      </c>
      <c r="S4" s="3482"/>
      <c r="T4" s="3481" t="s">
        <v>524</v>
      </c>
      <c r="U4" s="3482"/>
      <c r="V4" s="3468" t="s">
        <v>525</v>
      </c>
      <c r="W4" s="3468"/>
      <c r="X4" s="1550"/>
      <c r="Y4" s="3481" t="s">
        <v>527</v>
      </c>
      <c r="Z4" s="3482"/>
      <c r="AA4" s="3470" t="s">
        <v>523</v>
      </c>
      <c r="AB4" s="3471" t="s">
        <v>524</v>
      </c>
      <c r="AC4" s="3470" t="s">
        <v>525</v>
      </c>
    </row>
    <row r="5" spans="1:29" ht="15">
      <c r="A5" s="514"/>
      <c r="B5" s="515"/>
      <c r="C5" s="3489" t="s">
        <v>2922</v>
      </c>
      <c r="D5" s="3490"/>
      <c r="E5" s="3509" t="s">
        <v>2923</v>
      </c>
      <c r="F5" s="3510"/>
      <c r="G5" s="3489" t="s">
        <v>2924</v>
      </c>
      <c r="H5" s="3490"/>
      <c r="I5" s="3489" t="s">
        <v>2925</v>
      </c>
      <c r="J5" s="3490"/>
      <c r="K5" s="513"/>
      <c r="L5" s="2115"/>
      <c r="M5" s="2116"/>
      <c r="N5" s="2116"/>
      <c r="O5" s="2116"/>
      <c r="P5" s="3477"/>
      <c r="Q5" s="3478"/>
      <c r="R5" s="3483"/>
      <c r="S5" s="3484"/>
      <c r="T5" s="3483"/>
      <c r="U5" s="3484"/>
      <c r="V5" s="3468"/>
      <c r="W5" s="3468"/>
      <c r="X5" s="1550"/>
      <c r="Y5" s="3483"/>
      <c r="Z5" s="3484"/>
      <c r="AA5" s="3471"/>
      <c r="AB5" s="3471"/>
      <c r="AC5" s="3471"/>
    </row>
    <row r="6" spans="1:29" ht="15.75" thickBot="1">
      <c r="A6" s="516"/>
      <c r="B6" s="517"/>
      <c r="C6" s="3487" t="s">
        <v>2926</v>
      </c>
      <c r="D6" s="3488"/>
      <c r="E6" s="3505" t="s">
        <v>2926</v>
      </c>
      <c r="F6" s="3506"/>
      <c r="G6" s="3487" t="s">
        <v>2926</v>
      </c>
      <c r="H6" s="3488"/>
      <c r="I6" s="3487" t="s">
        <v>2926</v>
      </c>
      <c r="J6" s="3488"/>
      <c r="K6" s="513" t="s">
        <v>528</v>
      </c>
      <c r="L6" s="2115"/>
      <c r="M6" s="2116"/>
      <c r="N6" s="2116"/>
      <c r="O6" s="2116"/>
      <c r="P6" s="3479"/>
      <c r="Q6" s="3480"/>
      <c r="R6" s="3483"/>
      <c r="S6" s="3484"/>
      <c r="T6" s="3485"/>
      <c r="U6" s="3486"/>
      <c r="V6" s="3468"/>
      <c r="W6" s="3468"/>
      <c r="X6" s="1550"/>
      <c r="Y6" s="3485"/>
      <c r="Z6" s="3486"/>
      <c r="AA6" s="3472"/>
      <c r="AB6" s="3472"/>
      <c r="AC6" s="3472"/>
    </row>
    <row r="7" spans="1:29" s="1214" customFormat="1" ht="15.75" thickBot="1">
      <c r="A7" s="2863"/>
      <c r="B7" s="2870" t="s">
        <v>529</v>
      </c>
      <c r="C7" s="518">
        <f>'数据-取费表'!B2</f>
        <v>43692</v>
      </c>
      <c r="D7" s="519">
        <v>100</v>
      </c>
      <c r="E7" s="520"/>
      <c r="F7" s="521">
        <f>SUMIF(52:52,YEAR(E7)&amp;"-"&amp;MONTH(E7),53:53)</f>
        <v>0</v>
      </c>
      <c r="G7" s="520"/>
      <c r="H7" s="519">
        <f>SUMIF(52:52,YEAR(G7)&amp;"-"&amp;MONTH(G7),53:53)</f>
        <v>0</v>
      </c>
      <c r="I7" s="520"/>
      <c r="J7" s="519">
        <f>SUMIF(52:52,YEAR(I7)&amp;"-"&amp;MONTH(I7),53:53)</f>
        <v>0</v>
      </c>
      <c r="K7" s="523"/>
      <c r="L7" s="2117"/>
      <c r="M7" s="2118"/>
      <c r="N7" s="2118"/>
      <c r="O7" s="2118"/>
      <c r="P7" s="3498" t="s">
        <v>530</v>
      </c>
      <c r="Q7" s="3500"/>
      <c r="R7" s="1551" t="s">
        <v>8</v>
      </c>
      <c r="S7" s="1552">
        <f t="shared" ref="S7:S15" si="0">F7</f>
        <v>0</v>
      </c>
      <c r="T7" s="1551" t="s">
        <v>8</v>
      </c>
      <c r="U7" s="1552">
        <f t="shared" ref="U7:U15" si="1">H7</f>
        <v>0</v>
      </c>
      <c r="V7" s="1551" t="s">
        <v>8</v>
      </c>
      <c r="W7" s="1552">
        <f t="shared" ref="W7:W15" si="2">J7</f>
        <v>0</v>
      </c>
      <c r="X7" s="1553"/>
      <c r="Y7" s="3498" t="s">
        <v>530</v>
      </c>
      <c r="Z7" s="3499"/>
      <c r="AA7" s="1554" t="e">
        <f>D7/F7</f>
        <v>#DIV/0!</v>
      </c>
      <c r="AB7" s="1554" t="e">
        <f>D7/H7</f>
        <v>#DIV/0!</v>
      </c>
      <c r="AC7" s="1554" t="e">
        <f>D7/J7</f>
        <v>#DIV/0!</v>
      </c>
    </row>
    <row r="8" spans="1:29" s="1214" customFormat="1" ht="15.75" thickBot="1">
      <c r="A8" s="2864"/>
      <c r="B8" s="2871"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498" t="s">
        <v>533</v>
      </c>
      <c r="Q8" s="3499"/>
      <c r="R8" s="1551" t="s">
        <v>8</v>
      </c>
      <c r="S8" s="1552">
        <f t="shared" si="0"/>
        <v>0</v>
      </c>
      <c r="T8" s="1551" t="s">
        <v>8</v>
      </c>
      <c r="U8" s="1552">
        <f t="shared" si="1"/>
        <v>0</v>
      </c>
      <c r="V8" s="1551" t="s">
        <v>8</v>
      </c>
      <c r="W8" s="1552">
        <f t="shared" si="2"/>
        <v>0</v>
      </c>
      <c r="X8" s="1553"/>
      <c r="Y8" s="3498" t="s">
        <v>533</v>
      </c>
      <c r="Z8" s="3499"/>
      <c r="AA8" s="1554" t="e">
        <f t="shared" ref="AA8:AA40" si="3">D8/F8</f>
        <v>#DIV/0!</v>
      </c>
      <c r="AB8" s="1554" t="e">
        <f t="shared" ref="AB8:AB40" si="4">D8/H8</f>
        <v>#DIV/0!</v>
      </c>
      <c r="AC8" s="1554" t="e">
        <f t="shared" ref="AC8:AC40" si="5">D8/J8</f>
        <v>#DIV/0!</v>
      </c>
    </row>
    <row r="9" spans="1:29" s="1214" customFormat="1" ht="15">
      <c r="A9" s="2865"/>
      <c r="B9" s="2872" t="s">
        <v>2751</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467" t="s">
        <v>535</v>
      </c>
      <c r="Q9" s="1145" t="str">
        <f t="shared" ref="Q9:Q15" si="6">B9</f>
        <v>用途</v>
      </c>
      <c r="R9" s="1551" t="s">
        <v>8</v>
      </c>
      <c r="S9" s="1552">
        <f t="shared" si="0"/>
        <v>100</v>
      </c>
      <c r="T9" s="1551" t="s">
        <v>8</v>
      </c>
      <c r="U9" s="1552">
        <f t="shared" si="1"/>
        <v>100</v>
      </c>
      <c r="V9" s="1551" t="s">
        <v>8</v>
      </c>
      <c r="W9" s="1552">
        <f t="shared" si="2"/>
        <v>100</v>
      </c>
      <c r="X9" s="1553"/>
      <c r="Y9" s="3413" t="s">
        <v>536</v>
      </c>
      <c r="Z9" s="1144" t="str">
        <f t="shared" ref="Z9:Z15" si="7">Q9</f>
        <v>用途</v>
      </c>
      <c r="AA9" s="1554">
        <f t="shared" si="3"/>
        <v>1</v>
      </c>
      <c r="AB9" s="1554">
        <f t="shared" si="4"/>
        <v>1</v>
      </c>
      <c r="AC9" s="1554">
        <f t="shared" si="5"/>
        <v>1</v>
      </c>
    </row>
    <row r="10" spans="1:29" s="1332" customFormat="1" ht="27">
      <c r="A10" s="2866"/>
      <c r="B10" s="2871" t="s">
        <v>2752</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467"/>
      <c r="Q10" s="1145" t="str">
        <f t="shared" si="6"/>
        <v>土地使用年限（年）</v>
      </c>
      <c r="R10" s="1551" t="s">
        <v>8</v>
      </c>
      <c r="S10" s="1552">
        <f t="shared" si="0"/>
        <v>100</v>
      </c>
      <c r="T10" s="1551" t="s">
        <v>8</v>
      </c>
      <c r="U10" s="1552">
        <f t="shared" si="1"/>
        <v>100</v>
      </c>
      <c r="V10" s="1551" t="s">
        <v>8</v>
      </c>
      <c r="W10" s="1552">
        <f t="shared" si="2"/>
        <v>100</v>
      </c>
      <c r="X10" s="1553"/>
      <c r="Y10" s="3413"/>
      <c r="Z10" s="1144" t="str">
        <f t="shared" si="7"/>
        <v>土地使用年限（年）</v>
      </c>
      <c r="AA10" s="1554">
        <f t="shared" si="3"/>
        <v>1</v>
      </c>
      <c r="AB10" s="1554">
        <f t="shared" si="4"/>
        <v>1</v>
      </c>
      <c r="AC10" s="1554">
        <f t="shared" si="5"/>
        <v>1</v>
      </c>
    </row>
    <row r="11" spans="1:29" ht="15">
      <c r="A11" s="2867"/>
      <c r="B11" s="2871" t="s">
        <v>2753</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467"/>
      <c r="Q11" s="1145" t="str">
        <f t="shared" si="6"/>
        <v>容积率</v>
      </c>
      <c r="R11" s="1551" t="s">
        <v>8</v>
      </c>
      <c r="S11" s="1552" t="e">
        <f t="shared" si="0"/>
        <v>#N/A</v>
      </c>
      <c r="T11" s="1551" t="s">
        <v>8</v>
      </c>
      <c r="U11" s="1552" t="e">
        <f t="shared" si="1"/>
        <v>#N/A</v>
      </c>
      <c r="V11" s="1551" t="s">
        <v>8</v>
      </c>
      <c r="W11" s="1552" t="e">
        <f t="shared" si="2"/>
        <v>#N/A</v>
      </c>
      <c r="X11" s="1553"/>
      <c r="Y11" s="3413"/>
      <c r="Z11" s="1144" t="str">
        <f t="shared" si="7"/>
        <v>容积率</v>
      </c>
      <c r="AA11" s="1554" t="e">
        <f t="shared" si="3"/>
        <v>#N/A</v>
      </c>
      <c r="AB11" s="1554" t="e">
        <f t="shared" si="4"/>
        <v>#N/A</v>
      </c>
      <c r="AC11" s="1554" t="e">
        <f t="shared" si="5"/>
        <v>#N/A</v>
      </c>
    </row>
    <row r="12" spans="1:29" s="1214" customFormat="1" ht="15">
      <c r="A12" s="2868"/>
      <c r="B12" s="2874">
        <v>111</v>
      </c>
      <c r="C12" s="527"/>
      <c r="D12" s="537">
        <v>100</v>
      </c>
      <c r="E12" s="538"/>
      <c r="F12" s="254">
        <f>SUMIF(64:64,E12,65:65)-SUMIF(64:64,C12,65:65)+100</f>
        <v>100</v>
      </c>
      <c r="G12" s="918"/>
      <c r="H12" s="254">
        <f>SUMIF(64:64,G12,65:65)-SUMIF(64:64,C12,65:65)+100</f>
        <v>100</v>
      </c>
      <c r="I12" s="878"/>
      <c r="J12" s="254">
        <f>SUMIF(64:64,I12,65:65)-SUMIF(64:64,C12,65:65)+100</f>
        <v>100</v>
      </c>
      <c r="K12" s="580"/>
      <c r="L12" s="2117"/>
      <c r="M12" s="2118"/>
      <c r="N12" s="2118"/>
      <c r="O12" s="2119"/>
      <c r="P12" s="3467"/>
      <c r="Q12" s="1145">
        <f t="shared" si="6"/>
        <v>111</v>
      </c>
      <c r="R12" s="1551" t="s">
        <v>8</v>
      </c>
      <c r="S12" s="1552">
        <f t="shared" si="0"/>
        <v>100</v>
      </c>
      <c r="T12" s="1551" t="s">
        <v>8</v>
      </c>
      <c r="U12" s="1552">
        <f t="shared" si="1"/>
        <v>100</v>
      </c>
      <c r="V12" s="1551" t="s">
        <v>8</v>
      </c>
      <c r="W12" s="1552">
        <f t="shared" si="2"/>
        <v>100</v>
      </c>
      <c r="X12" s="1553"/>
      <c r="Y12" s="3413"/>
      <c r="Z12" s="1144">
        <f t="shared" si="7"/>
        <v>111</v>
      </c>
      <c r="AA12" s="1554">
        <f>D12/F12</f>
        <v>1</v>
      </c>
      <c r="AB12" s="1554">
        <f>D12/H12</f>
        <v>1</v>
      </c>
      <c r="AC12" s="1554">
        <f>D12/J12</f>
        <v>1</v>
      </c>
    </row>
    <row r="13" spans="1:29" ht="15">
      <c r="A13" s="2868"/>
      <c r="B13" s="2874">
        <v>111</v>
      </c>
      <c r="C13" s="538"/>
      <c r="D13" s="539">
        <v>100</v>
      </c>
      <c r="E13" s="538"/>
      <c r="F13" s="254">
        <f>SUMIF(66:66,E13,67:67)-SUMIF(66:66,C13,67:67)+100</f>
        <v>100</v>
      </c>
      <c r="G13" s="918"/>
      <c r="H13" s="539">
        <f>SUMIF(66:66,G13,67:67)-SUMIF(66:66,C13,67:67)+100</f>
        <v>100</v>
      </c>
      <c r="I13" s="878"/>
      <c r="J13" s="539">
        <f>SUMIF(66:66,I13,67:67)-SUMIF(66:66,C13,67:67)+100</f>
        <v>100</v>
      </c>
      <c r="K13" s="580"/>
      <c r="L13" s="2124"/>
      <c r="M13" s="2116"/>
      <c r="N13" s="2116"/>
      <c r="O13" s="2123"/>
      <c r="P13" s="3467"/>
      <c r="Q13" s="1145">
        <f t="shared" si="6"/>
        <v>111</v>
      </c>
      <c r="R13" s="1551" t="s">
        <v>8</v>
      </c>
      <c r="S13" s="1552">
        <f t="shared" si="0"/>
        <v>100</v>
      </c>
      <c r="T13" s="1551" t="s">
        <v>8</v>
      </c>
      <c r="U13" s="1552">
        <f t="shared" si="1"/>
        <v>100</v>
      </c>
      <c r="V13" s="1551" t="s">
        <v>8</v>
      </c>
      <c r="W13" s="1552">
        <f t="shared" si="2"/>
        <v>100</v>
      </c>
      <c r="X13" s="1553"/>
      <c r="Y13" s="3413"/>
      <c r="Z13" s="1144">
        <f t="shared" si="7"/>
        <v>111</v>
      </c>
      <c r="AA13" s="1554">
        <f t="shared" si="3"/>
        <v>1</v>
      </c>
      <c r="AB13" s="1554">
        <f t="shared" si="4"/>
        <v>1</v>
      </c>
      <c r="AC13" s="1554">
        <f t="shared" si="5"/>
        <v>1</v>
      </c>
    </row>
    <row r="14" spans="1:29" ht="15.75" thickBot="1">
      <c r="A14" s="2869"/>
      <c r="B14" s="2875">
        <v>111</v>
      </c>
      <c r="C14" s="544"/>
      <c r="D14" s="545">
        <v>100</v>
      </c>
      <c r="E14" s="544"/>
      <c r="F14" s="545">
        <f>SUMIF(68:68,E14,69:69)-SUMIF(68:68,C14,69:69)+100</f>
        <v>100</v>
      </c>
      <c r="G14" s="918"/>
      <c r="H14" s="545">
        <f>SUMIF(68:68,G14,69:69)-SUMIF(68:68,C14,69:69)+100</f>
        <v>100</v>
      </c>
      <c r="I14" s="878"/>
      <c r="J14" s="545">
        <f>SUMIF(68:68,I14,69:69)-SUMIF(68:68,C14,69:69)+100</f>
        <v>100</v>
      </c>
      <c r="K14" s="580"/>
      <c r="L14" s="2124"/>
      <c r="M14" s="2116"/>
      <c r="N14" s="2116"/>
      <c r="O14" s="2123"/>
      <c r="P14" s="3467"/>
      <c r="Q14" s="1145">
        <f t="shared" si="6"/>
        <v>111</v>
      </c>
      <c r="R14" s="1551" t="s">
        <v>8</v>
      </c>
      <c r="S14" s="1552">
        <f t="shared" si="0"/>
        <v>100</v>
      </c>
      <c r="T14" s="1551" t="s">
        <v>8</v>
      </c>
      <c r="U14" s="1552">
        <f t="shared" si="1"/>
        <v>100</v>
      </c>
      <c r="V14" s="1551" t="s">
        <v>8</v>
      </c>
      <c r="W14" s="1552">
        <f t="shared" si="2"/>
        <v>100</v>
      </c>
      <c r="X14" s="1553"/>
      <c r="Y14" s="3413"/>
      <c r="Z14" s="1144">
        <f t="shared" si="7"/>
        <v>111</v>
      </c>
      <c r="AA14" s="1554">
        <f t="shared" si="3"/>
        <v>1</v>
      </c>
      <c r="AB14" s="1554">
        <f t="shared" si="4"/>
        <v>1</v>
      </c>
      <c r="AC14" s="1554">
        <f t="shared" si="5"/>
        <v>1</v>
      </c>
    </row>
    <row r="15" spans="1:29" ht="57">
      <c r="A15" s="2861" t="s">
        <v>2749</v>
      </c>
      <c r="B15" s="165"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4"/>
      <c r="M15" s="2116"/>
      <c r="N15" s="2116"/>
      <c r="O15" s="2123"/>
      <c r="P15" s="3501" t="s">
        <v>540</v>
      </c>
      <c r="Q15" s="1555" t="str">
        <f t="shared" si="6"/>
        <v>产业集聚程度</v>
      </c>
      <c r="R15" s="1556" t="s">
        <v>8</v>
      </c>
      <c r="S15" s="1557">
        <f t="shared" si="0"/>
        <v>100</v>
      </c>
      <c r="T15" s="1556" t="s">
        <v>8</v>
      </c>
      <c r="U15" s="1557">
        <f t="shared" si="1"/>
        <v>100</v>
      </c>
      <c r="V15" s="1556" t="s">
        <v>8</v>
      </c>
      <c r="W15" s="1557">
        <f t="shared" si="2"/>
        <v>100</v>
      </c>
      <c r="X15" s="1550"/>
      <c r="Y15" s="3501" t="s">
        <v>540</v>
      </c>
      <c r="Z15" s="1558" t="str">
        <f t="shared" si="7"/>
        <v>产业集聚程度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502"/>
      <c r="Q16" s="1555"/>
      <c r="R16" s="1556"/>
      <c r="S16" s="1557"/>
      <c r="T16" s="1556"/>
      <c r="U16" s="1557"/>
      <c r="V16" s="1556"/>
      <c r="W16" s="1557"/>
      <c r="X16" s="1550"/>
      <c r="Y16" s="3502"/>
      <c r="Z16" s="1558"/>
      <c r="AA16" s="1559">
        <v>1</v>
      </c>
      <c r="AB16" s="1559">
        <v>1</v>
      </c>
      <c r="AC16" s="1559">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4"/>
      <c r="M17" s="2116"/>
      <c r="N17" s="2116"/>
      <c r="O17" s="2123"/>
      <c r="P17" s="3502"/>
      <c r="Q17" s="1555" t="str">
        <f>B17</f>
        <v>交通便捷度</v>
      </c>
      <c r="R17" s="1556" t="s">
        <v>8</v>
      </c>
      <c r="S17" s="1557">
        <f>F17</f>
        <v>100</v>
      </c>
      <c r="T17" s="1556" t="s">
        <v>8</v>
      </c>
      <c r="U17" s="1557">
        <f>H17</f>
        <v>100</v>
      </c>
      <c r="V17" s="1556" t="s">
        <v>8</v>
      </c>
      <c r="W17" s="1557">
        <f>J17</f>
        <v>100</v>
      </c>
      <c r="X17" s="1550"/>
      <c r="Y17" s="3502"/>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502"/>
      <c r="Q18" s="1555"/>
      <c r="R18" s="1556"/>
      <c r="S18" s="1557"/>
      <c r="T18" s="1556"/>
      <c r="U18" s="1557"/>
      <c r="V18" s="1556"/>
      <c r="W18" s="1557"/>
      <c r="X18" s="1550"/>
      <c r="Y18" s="3502"/>
      <c r="Z18" s="1558"/>
      <c r="AA18" s="1559">
        <v>1</v>
      </c>
      <c r="AB18" s="1559">
        <v>1</v>
      </c>
      <c r="AC18" s="1559">
        <v>1</v>
      </c>
    </row>
    <row r="19" spans="1:29" ht="42.75">
      <c r="A19" s="531"/>
      <c r="B19" s="2564" t="s">
        <v>2541</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4"/>
      <c r="M19" s="2116"/>
      <c r="N19" s="2116"/>
      <c r="O19" s="2123"/>
      <c r="P19" s="3502"/>
      <c r="Q19" s="1555" t="str">
        <f>B19</f>
        <v>公共配套设施</v>
      </c>
      <c r="R19" s="1556" t="s">
        <v>8</v>
      </c>
      <c r="S19" s="1557">
        <f>F19</f>
        <v>100</v>
      </c>
      <c r="T19" s="1556" t="s">
        <v>8</v>
      </c>
      <c r="U19" s="1557">
        <f>H19</f>
        <v>100</v>
      </c>
      <c r="V19" s="1556" t="s">
        <v>8</v>
      </c>
      <c r="W19" s="1557">
        <f>J19</f>
        <v>100</v>
      </c>
      <c r="X19" s="1550"/>
      <c r="Y19" s="3502"/>
      <c r="Z19" s="1558" t="str">
        <f>Q19</f>
        <v>公共配套设施</v>
      </c>
      <c r="AA19" s="1559">
        <f t="shared" si="3"/>
        <v>1</v>
      </c>
      <c r="AB19" s="1559">
        <f t="shared" si="4"/>
        <v>1</v>
      </c>
      <c r="AC19" s="1559">
        <f t="shared" si="5"/>
        <v>1</v>
      </c>
    </row>
    <row r="20" spans="1:29" ht="15">
      <c r="A20" s="531"/>
      <c r="B20" s="565"/>
      <c r="C20" s="575"/>
      <c r="D20" s="554"/>
      <c r="E20" s="555"/>
      <c r="F20" s="556"/>
      <c r="G20" s="557"/>
      <c r="H20" s="554"/>
      <c r="I20" s="555"/>
      <c r="J20" s="554"/>
      <c r="K20" s="897"/>
      <c r="L20" s="2124"/>
      <c r="M20" s="2116"/>
      <c r="N20" s="2116"/>
      <c r="O20" s="2123"/>
      <c r="P20" s="3502"/>
      <c r="Q20" s="1555"/>
      <c r="R20" s="1556"/>
      <c r="S20" s="1557"/>
      <c r="T20" s="1556"/>
      <c r="U20" s="1557"/>
      <c r="V20" s="1556"/>
      <c r="W20" s="1557"/>
      <c r="X20" s="1550"/>
      <c r="Y20" s="3502"/>
      <c r="Z20" s="1558"/>
      <c r="AA20" s="1559">
        <v>1</v>
      </c>
      <c r="AB20" s="1559">
        <v>1</v>
      </c>
      <c r="AC20" s="1559">
        <v>1</v>
      </c>
    </row>
    <row r="21" spans="1:29" ht="28.5">
      <c r="A21" s="531"/>
      <c r="B21" s="2552" t="s">
        <v>2553</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4"/>
      <c r="M21" s="2116"/>
      <c r="N21" s="2116"/>
      <c r="O21" s="2123"/>
      <c r="P21" s="3502"/>
      <c r="Q21" s="2540" t="str">
        <f>B21</f>
        <v>基础设施水平</v>
      </c>
      <c r="R21" s="1556" t="s">
        <v>8</v>
      </c>
      <c r="S21" s="1557">
        <f>F21</f>
        <v>100</v>
      </c>
      <c r="T21" s="1556" t="s">
        <v>8</v>
      </c>
      <c r="U21" s="1557">
        <f>H21</f>
        <v>100</v>
      </c>
      <c r="V21" s="1556" t="s">
        <v>8</v>
      </c>
      <c r="W21" s="1557">
        <f>J21</f>
        <v>100</v>
      </c>
      <c r="X21" s="2542"/>
      <c r="Y21" s="3502"/>
      <c r="Z21" s="2541" t="str">
        <f>Q21</f>
        <v>基础设施水平</v>
      </c>
      <c r="AA21" s="1559">
        <f t="shared" ref="AA21" si="8">D21/F21</f>
        <v>1</v>
      </c>
      <c r="AB21" s="1559">
        <f t="shared" ref="AB21" si="9">D21/H21</f>
        <v>1</v>
      </c>
      <c r="AC21" s="1559">
        <f t="shared" ref="AC21" si="10">D21/J21</f>
        <v>1</v>
      </c>
    </row>
    <row r="22" spans="1:29" ht="15">
      <c r="A22" s="531"/>
      <c r="B22" s="577"/>
      <c r="C22" s="872"/>
      <c r="D22" s="554"/>
      <c r="E22" s="575"/>
      <c r="F22" s="556"/>
      <c r="G22" s="575"/>
      <c r="H22" s="554"/>
      <c r="I22" s="575"/>
      <c r="J22" s="554"/>
      <c r="K22" s="2563"/>
      <c r="L22" s="2124"/>
      <c r="M22" s="2116"/>
      <c r="N22" s="2116"/>
      <c r="O22" s="2123"/>
      <c r="P22" s="3502"/>
      <c r="Q22" s="2540"/>
      <c r="R22" s="1556"/>
      <c r="S22" s="1557"/>
      <c r="T22" s="1556"/>
      <c r="U22" s="1557"/>
      <c r="V22" s="1556"/>
      <c r="W22" s="1557"/>
      <c r="X22" s="2542"/>
      <c r="Y22" s="3502"/>
      <c r="Z22" s="2541"/>
      <c r="AA22" s="1559">
        <v>1</v>
      </c>
      <c r="AB22" s="1559">
        <v>1</v>
      </c>
      <c r="AC22" s="1559">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4"/>
      <c r="M23" s="2116"/>
      <c r="N23" s="2116"/>
      <c r="O23" s="2123"/>
      <c r="P23" s="3502"/>
      <c r="Q23" s="1555" t="str">
        <f>B23</f>
        <v>环境质量</v>
      </c>
      <c r="R23" s="1556" t="s">
        <v>8</v>
      </c>
      <c r="S23" s="1557">
        <f>F23</f>
        <v>100</v>
      </c>
      <c r="T23" s="1556" t="s">
        <v>8</v>
      </c>
      <c r="U23" s="1557">
        <f>H23</f>
        <v>100</v>
      </c>
      <c r="V23" s="1556" t="s">
        <v>8</v>
      </c>
      <c r="W23" s="1557">
        <f>J23</f>
        <v>100</v>
      </c>
      <c r="X23" s="1550"/>
      <c r="Y23" s="3502"/>
      <c r="Z23" s="1558" t="str">
        <f>Q23</f>
        <v>环境质量</v>
      </c>
      <c r="AA23" s="1559">
        <f t="shared" si="3"/>
        <v>1</v>
      </c>
      <c r="AB23" s="1559">
        <f t="shared" si="4"/>
        <v>1</v>
      </c>
      <c r="AC23" s="1559">
        <f t="shared" si="5"/>
        <v>1</v>
      </c>
    </row>
    <row r="24" spans="1:29" ht="15">
      <c r="A24" s="531"/>
      <c r="B24" s="920"/>
      <c r="C24" s="575"/>
      <c r="D24" s="554"/>
      <c r="E24" s="555"/>
      <c r="F24" s="556"/>
      <c r="G24" s="557"/>
      <c r="H24" s="554"/>
      <c r="I24" s="555"/>
      <c r="J24" s="554"/>
      <c r="K24" s="897"/>
      <c r="L24" s="2124"/>
      <c r="M24" s="2116"/>
      <c r="N24" s="2116"/>
      <c r="O24" s="2123"/>
      <c r="P24" s="3502"/>
      <c r="Q24" s="1555"/>
      <c r="R24" s="1556"/>
      <c r="S24" s="1557"/>
      <c r="T24" s="1556"/>
      <c r="U24" s="1557"/>
      <c r="V24" s="1556"/>
      <c r="W24" s="1557"/>
      <c r="X24" s="1550"/>
      <c r="Y24" s="3502"/>
      <c r="Z24" s="1558"/>
      <c r="AA24" s="1559">
        <v>1</v>
      </c>
      <c r="AB24" s="1559">
        <v>1</v>
      </c>
      <c r="AC24" s="1559">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502"/>
      <c r="Q25" s="1555">
        <f>B25</f>
        <v>111</v>
      </c>
      <c r="R25" s="1556" t="s">
        <v>8</v>
      </c>
      <c r="S25" s="1557">
        <f>F25</f>
        <v>100</v>
      </c>
      <c r="T25" s="1556" t="s">
        <v>8</v>
      </c>
      <c r="U25" s="1557">
        <f>H25</f>
        <v>100</v>
      </c>
      <c r="V25" s="1556" t="s">
        <v>8</v>
      </c>
      <c r="W25" s="1557">
        <f>J25</f>
        <v>100</v>
      </c>
      <c r="X25" s="1550"/>
      <c r="Y25" s="3502"/>
      <c r="Z25" s="1558">
        <f>Q25</f>
        <v>111</v>
      </c>
      <c r="AA25" s="1559">
        <f t="shared" si="3"/>
        <v>1</v>
      </c>
      <c r="AB25" s="1559">
        <f t="shared" si="4"/>
        <v>1</v>
      </c>
      <c r="AC25" s="1559">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502"/>
      <c r="Q26" s="1555">
        <f t="shared" ref="Q26:Q40" si="11">B26</f>
        <v>111</v>
      </c>
      <c r="R26" s="1556" t="s">
        <v>8</v>
      </c>
      <c r="S26" s="1557">
        <f>F26</f>
        <v>100</v>
      </c>
      <c r="T26" s="1556" t="s">
        <v>8</v>
      </c>
      <c r="U26" s="1557">
        <f>H26</f>
        <v>100</v>
      </c>
      <c r="V26" s="1556" t="s">
        <v>8</v>
      </c>
      <c r="W26" s="1557">
        <f>J26</f>
        <v>100</v>
      </c>
      <c r="X26" s="1550"/>
      <c r="Y26" s="3502"/>
      <c r="Z26" s="1558">
        <f>Q26</f>
        <v>111</v>
      </c>
      <c r="AA26" s="1559">
        <f t="shared" si="3"/>
        <v>1</v>
      </c>
      <c r="AB26" s="1559">
        <f t="shared" si="4"/>
        <v>1</v>
      </c>
      <c r="AC26" s="1559">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502"/>
      <c r="Q27" s="1145">
        <f t="shared" si="11"/>
        <v>111</v>
      </c>
      <c r="R27" s="1551" t="s">
        <v>8</v>
      </c>
      <c r="S27" s="1552">
        <f>F27</f>
        <v>100</v>
      </c>
      <c r="T27" s="1551" t="s">
        <v>8</v>
      </c>
      <c r="U27" s="1552">
        <f>H27</f>
        <v>100</v>
      </c>
      <c r="V27" s="1551" t="s">
        <v>8</v>
      </c>
      <c r="W27" s="1552">
        <f>J27</f>
        <v>100</v>
      </c>
      <c r="X27" s="1553"/>
      <c r="Y27" s="3502"/>
      <c r="Z27" s="1144">
        <f>Q27</f>
        <v>111</v>
      </c>
      <c r="AA27" s="1559">
        <f>D27/F27</f>
        <v>1</v>
      </c>
      <c r="AB27" s="1559">
        <f>D27/H27</f>
        <v>1</v>
      </c>
      <c r="AC27" s="1559">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4"/>
      <c r="M28" s="2116"/>
      <c r="N28" s="2116"/>
      <c r="O28" s="2123"/>
      <c r="P28" s="3502"/>
      <c r="Q28" s="1555">
        <f t="shared" si="11"/>
        <v>111</v>
      </c>
      <c r="R28" s="1556" t="s">
        <v>8</v>
      </c>
      <c r="S28" s="1557">
        <f t="shared" ref="S28:S40" si="12">F28</f>
        <v>100</v>
      </c>
      <c r="T28" s="1556" t="s">
        <v>8</v>
      </c>
      <c r="U28" s="1557">
        <f t="shared" ref="U28:U40" si="13">H28</f>
        <v>100</v>
      </c>
      <c r="V28" s="1556" t="s">
        <v>8</v>
      </c>
      <c r="W28" s="1557">
        <f t="shared" ref="W28:W40" si="14">J28</f>
        <v>100</v>
      </c>
      <c r="X28" s="1550"/>
      <c r="Y28" s="3502"/>
      <c r="Z28" s="1558">
        <f t="shared" ref="Z28:Z40" si="15">Q28</f>
        <v>111</v>
      </c>
      <c r="AA28" s="1559">
        <f t="shared" si="3"/>
        <v>1</v>
      </c>
      <c r="AB28" s="1559">
        <f t="shared" si="4"/>
        <v>1</v>
      </c>
      <c r="AC28" s="1559">
        <f t="shared" si="5"/>
        <v>1</v>
      </c>
    </row>
    <row r="29" spans="1:29" ht="15">
      <c r="A29" s="2859" t="s">
        <v>2750</v>
      </c>
      <c r="B29" s="171" t="s">
        <v>780</v>
      </c>
      <c r="C29" s="914"/>
      <c r="D29" s="596">
        <v>100</v>
      </c>
      <c r="E29" s="914"/>
      <c r="F29" s="574">
        <f>SUMIF(88:88,E29,89:89)-SUMIF(88:88,C29,89:89)+100</f>
        <v>100</v>
      </c>
      <c r="G29" s="914"/>
      <c r="H29" s="539">
        <f>SUMIF(88:88,G29,89:89)-SUMIF(88:88,C29,89:89)+100</f>
        <v>100</v>
      </c>
      <c r="I29" s="914"/>
      <c r="J29" s="596">
        <f>SUMIF(88:88,I29,89:89)-SUMIF(88:88,C29,89:89)+100</f>
        <v>100</v>
      </c>
      <c r="K29" s="583"/>
      <c r="L29" s="2124"/>
      <c r="M29" s="2116"/>
      <c r="N29" s="2116"/>
      <c r="O29" s="2123"/>
      <c r="P29" s="3503" t="s">
        <v>550</v>
      </c>
      <c r="Q29" s="1555" t="str">
        <f t="shared" si="11"/>
        <v>建筑类型</v>
      </c>
      <c r="R29" s="1556" t="s">
        <v>8</v>
      </c>
      <c r="S29" s="1557">
        <f t="shared" si="12"/>
        <v>100</v>
      </c>
      <c r="T29" s="1556" t="s">
        <v>8</v>
      </c>
      <c r="U29" s="1557">
        <f t="shared" si="13"/>
        <v>100</v>
      </c>
      <c r="V29" s="1556" t="s">
        <v>8</v>
      </c>
      <c r="W29" s="1557">
        <f t="shared" si="14"/>
        <v>100</v>
      </c>
      <c r="X29" s="1550"/>
      <c r="Y29" s="3504" t="s">
        <v>550</v>
      </c>
      <c r="Z29" s="1558" t="str">
        <f t="shared" si="15"/>
        <v>建筑类型</v>
      </c>
      <c r="AA29" s="1559">
        <f t="shared" si="3"/>
        <v>1</v>
      </c>
      <c r="AB29" s="1559">
        <f t="shared" si="4"/>
        <v>1</v>
      </c>
      <c r="AC29" s="1559">
        <f t="shared" si="5"/>
        <v>1</v>
      </c>
    </row>
    <row r="30" spans="1:29" s="1333"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504"/>
      <c r="Q30" s="1587" t="str">
        <f t="shared" si="11"/>
        <v>项目建筑规模</v>
      </c>
      <c r="R30" s="1560" t="s">
        <v>8</v>
      </c>
      <c r="S30" s="1561" t="e">
        <f t="shared" si="12"/>
        <v>#N/A</v>
      </c>
      <c r="T30" s="1560" t="s">
        <v>8</v>
      </c>
      <c r="U30" s="1561" t="e">
        <f t="shared" si="13"/>
        <v>#N/A</v>
      </c>
      <c r="V30" s="1560" t="s">
        <v>8</v>
      </c>
      <c r="W30" s="1561" t="e">
        <f t="shared" si="14"/>
        <v>#N/A</v>
      </c>
      <c r="X30" s="1562"/>
      <c r="Y30" s="3504"/>
      <c r="Z30" s="1563" t="str">
        <f t="shared" si="15"/>
        <v>项目建筑规模</v>
      </c>
      <c r="AA30" s="1559" t="e">
        <f t="shared" si="3"/>
        <v>#N/A</v>
      </c>
      <c r="AB30" s="1559" t="e">
        <f t="shared" si="4"/>
        <v>#N/A</v>
      </c>
      <c r="AC30" s="1559"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504"/>
      <c r="Q31" s="1555" t="str">
        <f t="shared" si="11"/>
        <v>建筑结构</v>
      </c>
      <c r="R31" s="1556" t="s">
        <v>8</v>
      </c>
      <c r="S31" s="1557">
        <f t="shared" si="12"/>
        <v>100</v>
      </c>
      <c r="T31" s="1556" t="s">
        <v>8</v>
      </c>
      <c r="U31" s="1557">
        <f t="shared" si="13"/>
        <v>100</v>
      </c>
      <c r="V31" s="1556" t="s">
        <v>8</v>
      </c>
      <c r="W31" s="1557">
        <f t="shared" si="14"/>
        <v>100</v>
      </c>
      <c r="X31" s="1550"/>
      <c r="Y31" s="3504"/>
      <c r="Z31" s="1558" t="str">
        <f t="shared" si="15"/>
        <v>建筑结构</v>
      </c>
      <c r="AA31" s="1559">
        <f t="shared" si="3"/>
        <v>1</v>
      </c>
      <c r="AB31" s="1559">
        <f t="shared" si="4"/>
        <v>1</v>
      </c>
      <c r="AC31" s="1559">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504"/>
      <c r="Q32" s="1555" t="str">
        <f t="shared" si="11"/>
        <v>公共部分装修</v>
      </c>
      <c r="R32" s="1556" t="s">
        <v>8</v>
      </c>
      <c r="S32" s="1557">
        <f t="shared" si="12"/>
        <v>100</v>
      </c>
      <c r="T32" s="1556" t="s">
        <v>8</v>
      </c>
      <c r="U32" s="1557">
        <f t="shared" si="13"/>
        <v>100</v>
      </c>
      <c r="V32" s="1556" t="s">
        <v>8</v>
      </c>
      <c r="W32" s="1557">
        <f t="shared" si="14"/>
        <v>100</v>
      </c>
      <c r="X32" s="1550"/>
      <c r="Y32" s="3504"/>
      <c r="Z32" s="1558" t="str">
        <f t="shared" si="15"/>
        <v>公共部分装修</v>
      </c>
      <c r="AA32" s="1559">
        <f t="shared" si="3"/>
        <v>1</v>
      </c>
      <c r="AB32" s="1559">
        <f t="shared" si="4"/>
        <v>1</v>
      </c>
      <c r="AC32" s="1559">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4"/>
      <c r="M33" s="2116"/>
      <c r="N33" s="2116"/>
      <c r="O33" s="2123"/>
      <c r="P33" s="3504"/>
      <c r="Q33" s="1555" t="str">
        <f t="shared" si="11"/>
        <v>成新度</v>
      </c>
      <c r="R33" s="1556" t="s">
        <v>8</v>
      </c>
      <c r="S33" s="1557" t="e">
        <f t="shared" si="12"/>
        <v>#N/A</v>
      </c>
      <c r="T33" s="1556" t="s">
        <v>8</v>
      </c>
      <c r="U33" s="1557" t="e">
        <f t="shared" si="13"/>
        <v>#N/A</v>
      </c>
      <c r="V33" s="1556" t="s">
        <v>8</v>
      </c>
      <c r="W33" s="1557" t="e">
        <f t="shared" si="14"/>
        <v>#N/A</v>
      </c>
      <c r="X33" s="1550"/>
      <c r="Y33" s="3504"/>
      <c r="Z33" s="1558" t="str">
        <f t="shared" si="15"/>
        <v>成新度</v>
      </c>
      <c r="AA33" s="1559" t="e">
        <f t="shared" si="3"/>
        <v>#N/A</v>
      </c>
      <c r="AB33" s="1559" t="e">
        <f t="shared" si="4"/>
        <v>#N/A</v>
      </c>
      <c r="AC33" s="1559"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504"/>
      <c r="Q34" s="1145" t="str">
        <f t="shared" si="11"/>
        <v>物业管理</v>
      </c>
      <c r="R34" s="1551" t="s">
        <v>8</v>
      </c>
      <c r="S34" s="1552">
        <f t="shared" si="12"/>
        <v>100</v>
      </c>
      <c r="T34" s="1551" t="s">
        <v>8</v>
      </c>
      <c r="U34" s="1552">
        <f t="shared" si="13"/>
        <v>100</v>
      </c>
      <c r="V34" s="1551" t="s">
        <v>8</v>
      </c>
      <c r="W34" s="1552">
        <f t="shared" si="14"/>
        <v>100</v>
      </c>
      <c r="X34" s="1553"/>
      <c r="Y34" s="3504"/>
      <c r="Z34" s="1144" t="str">
        <f t="shared" si="15"/>
        <v>物业管理</v>
      </c>
      <c r="AA34" s="1554">
        <f t="shared" si="3"/>
        <v>1</v>
      </c>
      <c r="AB34" s="1554">
        <f t="shared" si="4"/>
        <v>1</v>
      </c>
      <c r="AC34" s="1554">
        <f t="shared" si="5"/>
        <v>1</v>
      </c>
    </row>
    <row r="35" spans="1:29" ht="15">
      <c r="A35" s="593"/>
      <c r="B35" s="1877" t="s">
        <v>2560</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504" t="s">
        <v>550</v>
      </c>
      <c r="Q35" s="1555" t="str">
        <f t="shared" si="11"/>
        <v>市政基础设施</v>
      </c>
      <c r="R35" s="1556" t="s">
        <v>8</v>
      </c>
      <c r="S35" s="1557">
        <f t="shared" si="12"/>
        <v>100</v>
      </c>
      <c r="T35" s="1556" t="s">
        <v>8</v>
      </c>
      <c r="U35" s="1557">
        <f t="shared" si="13"/>
        <v>100</v>
      </c>
      <c r="V35" s="1556" t="s">
        <v>8</v>
      </c>
      <c r="W35" s="1557">
        <f t="shared" si="14"/>
        <v>100</v>
      </c>
      <c r="X35" s="1550"/>
      <c r="Y35" s="3504" t="s">
        <v>550</v>
      </c>
      <c r="Z35" s="1558" t="str">
        <f t="shared" si="15"/>
        <v>市政基础设施</v>
      </c>
      <c r="AA35" s="1559">
        <f t="shared" si="3"/>
        <v>1</v>
      </c>
      <c r="AB35" s="1559">
        <f t="shared" si="4"/>
        <v>1</v>
      </c>
      <c r="AC35" s="1559">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504"/>
      <c r="Q36" s="1555" t="str">
        <f t="shared" si="11"/>
        <v>内部装修</v>
      </c>
      <c r="R36" s="1556" t="s">
        <v>8</v>
      </c>
      <c r="S36" s="1557">
        <f t="shared" si="12"/>
        <v>100</v>
      </c>
      <c r="T36" s="1556" t="s">
        <v>8</v>
      </c>
      <c r="U36" s="1557">
        <f t="shared" si="13"/>
        <v>100</v>
      </c>
      <c r="V36" s="1556" t="s">
        <v>8</v>
      </c>
      <c r="W36" s="1557">
        <f t="shared" si="14"/>
        <v>100</v>
      </c>
      <c r="X36" s="1550"/>
      <c r="Y36" s="3504"/>
      <c r="Z36" s="1558" t="str">
        <f t="shared" si="15"/>
        <v>内部装修</v>
      </c>
      <c r="AA36" s="1559">
        <f t="shared" si="3"/>
        <v>1</v>
      </c>
      <c r="AB36" s="1559">
        <f t="shared" si="4"/>
        <v>1</v>
      </c>
      <c r="AC36" s="1559">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504"/>
      <c r="Q37" s="1555" t="str">
        <f t="shared" si="11"/>
        <v>内部装修状况</v>
      </c>
      <c r="R37" s="1556" t="s">
        <v>8</v>
      </c>
      <c r="S37" s="1557">
        <f t="shared" si="12"/>
        <v>100</v>
      </c>
      <c r="T37" s="1556" t="s">
        <v>8</v>
      </c>
      <c r="U37" s="1557">
        <f t="shared" si="13"/>
        <v>100</v>
      </c>
      <c r="V37" s="1556" t="s">
        <v>8</v>
      </c>
      <c r="W37" s="1557">
        <f t="shared" si="14"/>
        <v>100</v>
      </c>
      <c r="X37" s="1550"/>
      <c r="Y37" s="3504"/>
      <c r="Z37" s="1558" t="str">
        <f t="shared" si="15"/>
        <v>内部装修状况</v>
      </c>
      <c r="AA37" s="1559">
        <f t="shared" si="3"/>
        <v>1</v>
      </c>
      <c r="AB37" s="1559">
        <f t="shared" si="4"/>
        <v>1</v>
      </c>
      <c r="AC37" s="1559">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2"/>
      <c r="M38" s="2153"/>
      <c r="N38" s="2153"/>
      <c r="O38" s="2125"/>
      <c r="P38" s="3504"/>
      <c r="Q38" s="1587">
        <f t="shared" si="11"/>
        <v>111</v>
      </c>
      <c r="R38" s="1560" t="s">
        <v>8</v>
      </c>
      <c r="S38" s="1561">
        <f t="shared" si="12"/>
        <v>100</v>
      </c>
      <c r="T38" s="1560" t="s">
        <v>8</v>
      </c>
      <c r="U38" s="1561">
        <f t="shared" si="13"/>
        <v>100</v>
      </c>
      <c r="V38" s="1560" t="s">
        <v>8</v>
      </c>
      <c r="W38" s="1561">
        <f t="shared" si="14"/>
        <v>100</v>
      </c>
      <c r="X38" s="1562"/>
      <c r="Y38" s="3504"/>
      <c r="Z38" s="1563">
        <f t="shared" si="15"/>
        <v>111</v>
      </c>
      <c r="AA38" s="1559">
        <f t="shared" si="3"/>
        <v>1</v>
      </c>
      <c r="AB38" s="1559">
        <f t="shared" si="4"/>
        <v>1</v>
      </c>
      <c r="AC38" s="1559">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4"/>
      <c r="M39" s="2116"/>
      <c r="N39" s="2116"/>
      <c r="O39" s="2123"/>
      <c r="P39" s="3504"/>
      <c r="Q39" s="1555">
        <f t="shared" si="11"/>
        <v>111</v>
      </c>
      <c r="R39" s="1556" t="s">
        <v>8</v>
      </c>
      <c r="S39" s="1557">
        <f t="shared" si="12"/>
        <v>100</v>
      </c>
      <c r="T39" s="1556" t="s">
        <v>8</v>
      </c>
      <c r="U39" s="1557">
        <f t="shared" si="13"/>
        <v>100</v>
      </c>
      <c r="V39" s="1556" t="s">
        <v>8</v>
      </c>
      <c r="W39" s="1557">
        <f t="shared" si="14"/>
        <v>100</v>
      </c>
      <c r="X39" s="1550"/>
      <c r="Y39" s="3504"/>
      <c r="Z39" s="1558">
        <f t="shared" si="15"/>
        <v>111</v>
      </c>
      <c r="AA39" s="1559">
        <f t="shared" si="3"/>
        <v>1</v>
      </c>
      <c r="AB39" s="1559">
        <f t="shared" si="4"/>
        <v>1</v>
      </c>
      <c r="AC39" s="1559">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4"/>
      <c r="M40" s="2116"/>
      <c r="N40" s="2116"/>
      <c r="O40" s="2123"/>
      <c r="P40" s="3583"/>
      <c r="Q40" s="1555">
        <f t="shared" si="11"/>
        <v>111</v>
      </c>
      <c r="R40" s="1556" t="s">
        <v>8</v>
      </c>
      <c r="S40" s="1557">
        <f t="shared" si="12"/>
        <v>100</v>
      </c>
      <c r="T40" s="1556" t="s">
        <v>8</v>
      </c>
      <c r="U40" s="1557">
        <f t="shared" si="13"/>
        <v>100</v>
      </c>
      <c r="V40" s="1556" t="s">
        <v>8</v>
      </c>
      <c r="W40" s="1557">
        <f t="shared" si="14"/>
        <v>100</v>
      </c>
      <c r="X40" s="1550"/>
      <c r="Y40" s="3583"/>
      <c r="Z40" s="1558">
        <f t="shared" si="15"/>
        <v>111</v>
      </c>
      <c r="AA40" s="1559">
        <f t="shared" si="3"/>
        <v>1</v>
      </c>
      <c r="AB40" s="1559">
        <f t="shared" si="4"/>
        <v>1</v>
      </c>
      <c r="AC40" s="1559">
        <f t="shared" si="5"/>
        <v>1</v>
      </c>
    </row>
    <row r="41" spans="1:29" ht="15">
      <c r="A41" s="606" t="s">
        <v>736</v>
      </c>
      <c r="B41" s="885"/>
      <c r="C41" s="2588" t="s">
        <v>1</v>
      </c>
      <c r="D41" s="2589"/>
      <c r="E41" s="2590"/>
      <c r="F41" s="2591"/>
      <c r="G41" s="2592"/>
      <c r="H41" s="2593"/>
      <c r="I41" s="2590"/>
      <c r="J41" s="2593"/>
      <c r="K41" s="1593"/>
      <c r="L41" s="2126"/>
      <c r="M41" s="2127"/>
      <c r="N41" s="2116"/>
      <c r="O41" s="2127"/>
      <c r="P41" s="3467" t="str">
        <f>A41</f>
        <v>成交单价（元/平方米）</v>
      </c>
      <c r="Q41" s="3467"/>
      <c r="R41" s="3582">
        <f>E41</f>
        <v>0</v>
      </c>
      <c r="S41" s="3582"/>
      <c r="T41" s="3582">
        <f>G41</f>
        <v>0</v>
      </c>
      <c r="U41" s="3582"/>
      <c r="V41" s="3582">
        <f>I41</f>
        <v>0</v>
      </c>
      <c r="W41" s="3582"/>
      <c r="X41" s="1542"/>
      <c r="Y41" s="1564"/>
      <c r="Z41" s="1542"/>
      <c r="AA41" s="1542"/>
      <c r="AB41" s="1542"/>
      <c r="AC41" s="1542"/>
    </row>
    <row r="42" spans="1:29" ht="15.75" thickBot="1">
      <c r="A42" s="614" t="s">
        <v>2755</v>
      </c>
      <c r="B42" s="886"/>
      <c r="C42" s="2594" t="e">
        <f>R43</f>
        <v>#DIV/0!</v>
      </c>
      <c r="D42" s="2595"/>
      <c r="E42" s="2596" t="e">
        <f>R42</f>
        <v>#DIV/0!</v>
      </c>
      <c r="F42" s="2596"/>
      <c r="G42" s="2594" t="e">
        <f>T42</f>
        <v>#DIV/0!</v>
      </c>
      <c r="H42" s="2595"/>
      <c r="I42" s="2596" t="e">
        <f>V42</f>
        <v>#DIV/0!</v>
      </c>
      <c r="J42" s="2595"/>
      <c r="K42" s="1594"/>
      <c r="L42" s="2126"/>
      <c r="M42" s="2127"/>
      <c r="N42" s="2116"/>
      <c r="O42" s="2127"/>
      <c r="P42" s="3467" t="str">
        <f>A42</f>
        <v>比较价格（元/平方米）</v>
      </c>
      <c r="Q42" s="3467"/>
      <c r="R42" s="3582" t="e">
        <f>IF(F1="售价",ROUND(PRODUCT(R41,AA7:AA40),0),ROUND(PRODUCT(R41,AA7:AA40),1))</f>
        <v>#DIV/0!</v>
      </c>
      <c r="S42" s="3582"/>
      <c r="T42" s="3582" t="e">
        <f>IF(F1="售价",ROUND(PRODUCT(T41,AB7:AB40),0),ROUND(PRODUCT(T41,AB7:AB40),1))</f>
        <v>#DIV/0!</v>
      </c>
      <c r="U42" s="3582"/>
      <c r="V42" s="3582" t="e">
        <f>IF(F1="售价",ROUND(PRODUCT(V41,AC7:AC40),0),ROUND(PRODUCT(V41,AC7:AC40),1))</f>
        <v>#DIV/0!</v>
      </c>
      <c r="W42" s="3582"/>
      <c r="X42" s="1542"/>
      <c r="Y42" s="1542"/>
      <c r="Z42" s="1542"/>
      <c r="AA42" s="1542"/>
      <c r="AB42" s="1542"/>
      <c r="AC42" s="1542"/>
    </row>
    <row r="43" spans="1:29" ht="15.75" thickBot="1">
      <c r="A43" s="620" t="s">
        <v>2928</v>
      </c>
      <c r="B43" s="621"/>
      <c r="C43" s="2597" t="e">
        <f>R43</f>
        <v>#DIV/0!</v>
      </c>
      <c r="D43" s="2597"/>
      <c r="E43" s="2597"/>
      <c r="F43" s="2597"/>
      <c r="G43" s="2597"/>
      <c r="H43" s="2597"/>
      <c r="I43" s="2597"/>
      <c r="J43" s="2597"/>
      <c r="K43" s="1595"/>
      <c r="L43" s="2126"/>
      <c r="M43" s="2127"/>
      <c r="N43" s="2127"/>
      <c r="O43" s="2127"/>
      <c r="P43" s="3464" t="str">
        <f>A43</f>
        <v>估价对象XX用房的比较价格（楼面单价，元/平方米）</v>
      </c>
      <c r="Q43" s="3465"/>
      <c r="R43" s="3581" t="e">
        <f>IF(F1="售价",ROUND(AVERAGE(R42:V42),0),ROUND(AVERAGE(R42:V42),1))</f>
        <v>#DIV/0!</v>
      </c>
      <c r="S43" s="3581"/>
      <c r="T43" s="3581"/>
      <c r="U43" s="3581"/>
      <c r="V43" s="3581"/>
      <c r="W43" s="3581"/>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5">
      <c r="A52" s="644" t="s">
        <v>529</v>
      </c>
      <c r="B52" s="645"/>
      <c r="C52" s="2754" t="str">
        <f>YEAR(C7)&amp;"-"&amp;MONTH(C7)</f>
        <v>2019-8</v>
      </c>
      <c r="D52" s="2756">
        <f>EDATE(C52,-1)</f>
        <v>43647</v>
      </c>
      <c r="E52" s="2756">
        <f t="shared" ref="E52:O52" si="16">EDATE(D52,-1)</f>
        <v>43617</v>
      </c>
      <c r="F52" s="2756">
        <f t="shared" si="16"/>
        <v>43586</v>
      </c>
      <c r="G52" s="2756">
        <f t="shared" si="16"/>
        <v>43556</v>
      </c>
      <c r="H52" s="2756">
        <f t="shared" si="16"/>
        <v>43525</v>
      </c>
      <c r="I52" s="2756">
        <f t="shared" si="16"/>
        <v>43497</v>
      </c>
      <c r="J52" s="2756">
        <f t="shared" si="16"/>
        <v>43466</v>
      </c>
      <c r="K52" s="2756">
        <f t="shared" si="16"/>
        <v>43435</v>
      </c>
      <c r="L52" s="2756">
        <f t="shared" si="16"/>
        <v>43405</v>
      </c>
      <c r="M52" s="2756">
        <f t="shared" si="16"/>
        <v>43374</v>
      </c>
      <c r="N52" s="2756">
        <f t="shared" si="16"/>
        <v>43344</v>
      </c>
      <c r="O52" s="2756">
        <f t="shared" si="16"/>
        <v>43313</v>
      </c>
      <c r="P52" s="2142"/>
      <c r="Q52" s="2143"/>
      <c r="R52" s="2143"/>
      <c r="S52" s="2143"/>
      <c r="T52" s="2143"/>
      <c r="U52" s="2143"/>
      <c r="V52" s="2143"/>
      <c r="W52" s="2143"/>
      <c r="X52" s="2143"/>
      <c r="Y52" s="2143"/>
      <c r="Z52" s="2143"/>
      <c r="AA52" s="2143"/>
      <c r="AB52" s="2143"/>
      <c r="AC52" s="2143"/>
    </row>
    <row r="53" spans="1:29" s="1214" customFormat="1" ht="15">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4" customFormat="1" ht="15.7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4" customFormat="1" ht="15">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4" customFormat="1" ht="15.75"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3" customFormat="1" ht="15.75"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3" customFormat="1" ht="15.75"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3" customFormat="1" ht="15.75"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3" customFormat="1" ht="15.75"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3" customFormat="1" ht="15.75"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3" customFormat="1" ht="15.75"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7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75" thickTop="1">
      <c r="A74" s="668"/>
      <c r="B74" s="1878" t="s">
        <v>2552</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2558" t="s">
        <v>2553</v>
      </c>
      <c r="C76" s="2559" t="s">
        <v>2554</v>
      </c>
      <c r="D76" s="2559" t="s">
        <v>2555</v>
      </c>
      <c r="E76" s="2559" t="s">
        <v>2556</v>
      </c>
      <c r="F76" s="2559" t="s">
        <v>2557</v>
      </c>
      <c r="G76" s="2559" t="s">
        <v>2558</v>
      </c>
      <c r="H76" s="933"/>
      <c r="I76" s="933"/>
      <c r="J76" s="933"/>
      <c r="K76" s="933"/>
      <c r="L76" s="933"/>
      <c r="M76" s="558"/>
      <c r="N76" s="2148"/>
      <c r="O76" s="2148"/>
      <c r="P76" s="2147"/>
      <c r="Q76" s="2140"/>
      <c r="R76" s="2127"/>
      <c r="S76" s="2127"/>
      <c r="T76" s="2127"/>
      <c r="U76" s="2127"/>
      <c r="V76" s="2127"/>
      <c r="W76" s="2127"/>
      <c r="X76" s="2127"/>
      <c r="Y76" s="2127"/>
      <c r="Z76" s="2127"/>
      <c r="AA76" s="2127"/>
      <c r="AB76" s="2127"/>
      <c r="AC76" s="2127"/>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4" customFormat="1" ht="15.75" thickTop="1">
      <c r="A80" s="708"/>
      <c r="B80" s="672">
        <f>B25</f>
        <v>111</v>
      </c>
      <c r="C80" s="687"/>
      <c r="D80" s="687"/>
      <c r="E80" s="687"/>
      <c r="F80" s="687"/>
      <c r="G80" s="687"/>
      <c r="H80" s="687"/>
      <c r="I80" s="687"/>
      <c r="J80" s="687"/>
      <c r="K80" s="687"/>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5.75"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4" customFormat="1" ht="15.75" thickTop="1">
      <c r="A82" s="708"/>
      <c r="B82" s="672">
        <f>B26</f>
        <v>111</v>
      </c>
      <c r="C82" s="687"/>
      <c r="D82" s="687"/>
      <c r="E82" s="687"/>
      <c r="F82" s="687"/>
      <c r="G82" s="687"/>
      <c r="H82" s="687"/>
      <c r="I82" s="687"/>
      <c r="J82" s="687"/>
      <c r="K82" s="687"/>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5.75"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3" customFormat="1" ht="15.75" thickTop="1">
      <c r="A84" s="686"/>
      <c r="B84" s="672">
        <f>B27</f>
        <v>111</v>
      </c>
      <c r="C84" s="687"/>
      <c r="D84" s="687"/>
      <c r="E84" s="687"/>
      <c r="F84" s="687"/>
      <c r="G84" s="687"/>
      <c r="H84" s="687"/>
      <c r="I84" s="687"/>
      <c r="J84" s="687"/>
      <c r="K84" s="687"/>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5.75"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5.75" thickBot="1">
      <c r="A87" s="891"/>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2551</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5"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3" customFormat="1" ht="15.75"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5"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891"/>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27" sqref="M27"/>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c r="C1" s="503" t="s">
        <v>792</v>
      </c>
      <c r="D1" s="848"/>
      <c r="E1" s="505"/>
      <c r="F1" s="2759"/>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794</v>
      </c>
      <c r="B2" s="849"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795</v>
      </c>
      <c r="B3" s="509" t="e">
        <f>IF(B37="元/平方米",C39,ROUND(B2*10000/D3,0))</f>
        <v>#DIV/0!</v>
      </c>
      <c r="C3" s="851" t="s">
        <v>796</v>
      </c>
      <c r="D3" s="850">
        <f>SUMIF('数据-汇总表'!$C19:$C33,D1,'数据-汇总表'!$E19:$E33)</f>
        <v>0</v>
      </c>
      <c r="E3" s="1830" t="s">
        <v>2074</v>
      </c>
      <c r="F3" s="850">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797</v>
      </c>
      <c r="B4" s="512"/>
      <c r="C4" s="3473" t="s">
        <v>798</v>
      </c>
      <c r="D4" s="3474"/>
      <c r="E4" s="3473" t="s">
        <v>799</v>
      </c>
      <c r="F4" s="3474"/>
      <c r="G4" s="3473" t="s">
        <v>800</v>
      </c>
      <c r="H4" s="3474"/>
      <c r="I4" s="3473" t="s">
        <v>801</v>
      </c>
      <c r="J4" s="3474"/>
      <c r="K4" s="513" t="s">
        <v>802</v>
      </c>
      <c r="L4" s="2115"/>
      <c r="M4" s="2116"/>
      <c r="N4" s="2116"/>
      <c r="O4" s="2116"/>
      <c r="P4" s="3475" t="s">
        <v>803</v>
      </c>
      <c r="Q4" s="3476"/>
      <c r="R4" s="3481" t="s">
        <v>799</v>
      </c>
      <c r="S4" s="3482"/>
      <c r="T4" s="3481" t="s">
        <v>800</v>
      </c>
      <c r="U4" s="3482"/>
      <c r="V4" s="3468" t="s">
        <v>801</v>
      </c>
      <c r="W4" s="3468"/>
      <c r="X4" s="1550"/>
      <c r="Y4" s="3481" t="s">
        <v>803</v>
      </c>
      <c r="Z4" s="3482"/>
      <c r="AA4" s="3470" t="s">
        <v>799</v>
      </c>
      <c r="AB4" s="3471" t="s">
        <v>800</v>
      </c>
      <c r="AC4" s="3470" t="s">
        <v>801</v>
      </c>
    </row>
    <row r="5" spans="1:29" ht="15">
      <c r="A5" s="514"/>
      <c r="B5" s="515"/>
      <c r="C5" s="3489" t="s">
        <v>2922</v>
      </c>
      <c r="D5" s="3490"/>
      <c r="E5" s="3489" t="s">
        <v>2923</v>
      </c>
      <c r="F5" s="3490"/>
      <c r="G5" s="3489" t="s">
        <v>2924</v>
      </c>
      <c r="H5" s="3490"/>
      <c r="I5" s="3489" t="s">
        <v>2925</v>
      </c>
      <c r="J5" s="3490"/>
      <c r="K5" s="513"/>
      <c r="L5" s="2115"/>
      <c r="M5" s="2116"/>
      <c r="N5" s="2116"/>
      <c r="O5" s="2116"/>
      <c r="P5" s="3477"/>
      <c r="Q5" s="3478"/>
      <c r="R5" s="3483"/>
      <c r="S5" s="3484"/>
      <c r="T5" s="3483"/>
      <c r="U5" s="3484"/>
      <c r="V5" s="3468"/>
      <c r="W5" s="3468"/>
      <c r="X5" s="1550"/>
      <c r="Y5" s="3483"/>
      <c r="Z5" s="3484"/>
      <c r="AA5" s="3471"/>
      <c r="AB5" s="3471"/>
      <c r="AC5" s="3471"/>
    </row>
    <row r="6" spans="1:29" ht="15.75" thickBot="1">
      <c r="A6" s="516"/>
      <c r="B6" s="517"/>
      <c r="C6" s="3487" t="s">
        <v>2926</v>
      </c>
      <c r="D6" s="3488"/>
      <c r="E6" s="3491" t="s">
        <v>2926</v>
      </c>
      <c r="F6" s="3492"/>
      <c r="G6" s="3487" t="s">
        <v>2926</v>
      </c>
      <c r="H6" s="3488"/>
      <c r="I6" s="3487" t="s">
        <v>2926</v>
      </c>
      <c r="J6" s="3488"/>
      <c r="K6" s="513" t="s">
        <v>528</v>
      </c>
      <c r="L6" s="2115"/>
      <c r="M6" s="2116"/>
      <c r="N6" s="2116"/>
      <c r="O6" s="2116"/>
      <c r="P6" s="3479"/>
      <c r="Q6" s="3480"/>
      <c r="R6" s="3483"/>
      <c r="S6" s="3484"/>
      <c r="T6" s="3485"/>
      <c r="U6" s="3486"/>
      <c r="V6" s="3468"/>
      <c r="W6" s="3468"/>
      <c r="X6" s="1550"/>
      <c r="Y6" s="3485"/>
      <c r="Z6" s="3486"/>
      <c r="AA6" s="3472"/>
      <c r="AB6" s="3472"/>
      <c r="AC6" s="3472"/>
    </row>
    <row r="7" spans="1:29" s="1214" customFormat="1" ht="15.75" thickBot="1">
      <c r="A7" s="2863"/>
      <c r="B7" s="2870" t="s">
        <v>529</v>
      </c>
      <c r="C7" s="518">
        <f>'数据-取费表'!B2</f>
        <v>43692</v>
      </c>
      <c r="D7" s="519">
        <v>100</v>
      </c>
      <c r="E7" s="520"/>
      <c r="F7" s="521">
        <f>SUMIF(48:48,YEAR(E7)&amp;"-"&amp;MONTH(E7),49:49)</f>
        <v>0</v>
      </c>
      <c r="G7" s="522"/>
      <c r="H7" s="519">
        <f>SUMIF(48:48,YEAR(G7)&amp;"-"&amp;MONTH(G7),49:49)</f>
        <v>0</v>
      </c>
      <c r="I7" s="522"/>
      <c r="J7" s="519">
        <f>SUMIF(48:48,YEAR(I7)&amp;"-"&amp;MONTH(I7),49:49)</f>
        <v>0</v>
      </c>
      <c r="K7" s="523"/>
      <c r="L7" s="2117"/>
      <c r="M7" s="2118"/>
      <c r="N7" s="2118"/>
      <c r="O7" s="2118"/>
      <c r="P7" s="3498" t="s">
        <v>530</v>
      </c>
      <c r="Q7" s="3500"/>
      <c r="R7" s="1551" t="s">
        <v>8</v>
      </c>
      <c r="S7" s="1552">
        <f t="shared" ref="S7:S14" si="0">F7</f>
        <v>0</v>
      </c>
      <c r="T7" s="1551" t="s">
        <v>8</v>
      </c>
      <c r="U7" s="1552">
        <f t="shared" ref="U7:U14" si="1">H7</f>
        <v>0</v>
      </c>
      <c r="V7" s="1551" t="s">
        <v>8</v>
      </c>
      <c r="W7" s="1552">
        <f t="shared" ref="W7:W14" si="2">J7</f>
        <v>0</v>
      </c>
      <c r="X7" s="1553"/>
      <c r="Y7" s="3498" t="s">
        <v>530</v>
      </c>
      <c r="Z7" s="3499"/>
      <c r="AA7" s="1554" t="e">
        <f>D7/F7</f>
        <v>#DIV/0!</v>
      </c>
      <c r="AB7" s="1554" t="e">
        <f>D7/H7</f>
        <v>#DIV/0!</v>
      </c>
      <c r="AC7" s="1554" t="e">
        <f>D7/J7</f>
        <v>#DIV/0!</v>
      </c>
    </row>
    <row r="8" spans="1:29" s="1214" customFormat="1" ht="15.75" thickBot="1">
      <c r="A8" s="2864"/>
      <c r="B8" s="2871" t="s">
        <v>531</v>
      </c>
      <c r="C8" s="524" t="s">
        <v>576</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498" t="s">
        <v>533</v>
      </c>
      <c r="Q8" s="3499"/>
      <c r="R8" s="1551" t="s">
        <v>8</v>
      </c>
      <c r="S8" s="1552">
        <f t="shared" si="0"/>
        <v>0</v>
      </c>
      <c r="T8" s="1551" t="s">
        <v>8</v>
      </c>
      <c r="U8" s="1552">
        <f t="shared" si="1"/>
        <v>0</v>
      </c>
      <c r="V8" s="1551" t="s">
        <v>8</v>
      </c>
      <c r="W8" s="1552">
        <f t="shared" si="2"/>
        <v>0</v>
      </c>
      <c r="X8" s="1553"/>
      <c r="Y8" s="3498" t="s">
        <v>533</v>
      </c>
      <c r="Z8" s="3499"/>
      <c r="AA8" s="1554" t="e">
        <f t="shared" ref="AA8:AA36" si="3">D8/F8</f>
        <v>#DIV/0!</v>
      </c>
      <c r="AB8" s="1554" t="e">
        <f t="shared" ref="AB8:AB36" si="4">D8/H8</f>
        <v>#DIV/0!</v>
      </c>
      <c r="AC8" s="1554" t="e">
        <f t="shared" ref="AC8:AC36" si="5">D8/J8</f>
        <v>#DIV/0!</v>
      </c>
    </row>
    <row r="9" spans="1:29" s="1214" customFormat="1" ht="15">
      <c r="A9" s="2865"/>
      <c r="B9" s="2872" t="s">
        <v>2751</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467" t="s">
        <v>535</v>
      </c>
      <c r="Q9" s="1145" t="str">
        <f t="shared" ref="Q9:Q14" si="6">B9</f>
        <v>用途</v>
      </c>
      <c r="R9" s="1551" t="s">
        <v>8</v>
      </c>
      <c r="S9" s="1552">
        <f t="shared" si="0"/>
        <v>100</v>
      </c>
      <c r="T9" s="1551" t="s">
        <v>8</v>
      </c>
      <c r="U9" s="1552">
        <f t="shared" si="1"/>
        <v>100</v>
      </c>
      <c r="V9" s="1551" t="s">
        <v>8</v>
      </c>
      <c r="W9" s="1552">
        <f t="shared" si="2"/>
        <v>100</v>
      </c>
      <c r="X9" s="1553"/>
      <c r="Y9" s="3413" t="s">
        <v>536</v>
      </c>
      <c r="Z9" s="1144" t="str">
        <f t="shared" ref="Z9:Z14" si="7">Q9</f>
        <v>用途</v>
      </c>
      <c r="AA9" s="1554">
        <f t="shared" si="3"/>
        <v>1</v>
      </c>
      <c r="AB9" s="1554">
        <f t="shared" si="4"/>
        <v>1</v>
      </c>
      <c r="AC9" s="1554">
        <f t="shared" si="5"/>
        <v>1</v>
      </c>
    </row>
    <row r="10" spans="1:29" s="1332" customFormat="1" ht="27">
      <c r="A10" s="2866"/>
      <c r="B10" s="2871" t="s">
        <v>2752</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467"/>
      <c r="Q10" s="1145" t="str">
        <f t="shared" si="6"/>
        <v>土地使用年限（年）</v>
      </c>
      <c r="R10" s="1551" t="s">
        <v>8</v>
      </c>
      <c r="S10" s="1552">
        <f t="shared" si="0"/>
        <v>100</v>
      </c>
      <c r="T10" s="1551" t="s">
        <v>8</v>
      </c>
      <c r="U10" s="1552">
        <f t="shared" si="1"/>
        <v>100</v>
      </c>
      <c r="V10" s="1551" t="s">
        <v>8</v>
      </c>
      <c r="W10" s="1552">
        <f t="shared" si="2"/>
        <v>100</v>
      </c>
      <c r="X10" s="1553"/>
      <c r="Y10" s="3413"/>
      <c r="Z10" s="1144" t="str">
        <f t="shared" si="7"/>
        <v>土地使用年限（年）</v>
      </c>
      <c r="AA10" s="1554">
        <f t="shared" si="3"/>
        <v>1</v>
      </c>
      <c r="AB10" s="1554">
        <f t="shared" si="4"/>
        <v>1</v>
      </c>
      <c r="AC10" s="1554">
        <f t="shared" si="5"/>
        <v>1</v>
      </c>
    </row>
    <row r="11" spans="1:29" ht="15">
      <c r="A11" s="2868"/>
      <c r="B11" s="2874">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467"/>
      <c r="Q11" s="1145">
        <f t="shared" si="6"/>
        <v>111</v>
      </c>
      <c r="R11" s="1551" t="s">
        <v>8</v>
      </c>
      <c r="S11" s="1552">
        <f t="shared" si="0"/>
        <v>100</v>
      </c>
      <c r="T11" s="1551" t="s">
        <v>8</v>
      </c>
      <c r="U11" s="1552">
        <f t="shared" si="1"/>
        <v>100</v>
      </c>
      <c r="V11" s="1551" t="s">
        <v>8</v>
      </c>
      <c r="W11" s="1552">
        <f t="shared" si="2"/>
        <v>100</v>
      </c>
      <c r="X11" s="1553"/>
      <c r="Y11" s="3413"/>
      <c r="Z11" s="1144">
        <f t="shared" si="7"/>
        <v>111</v>
      </c>
      <c r="AA11" s="1554">
        <f t="shared" si="3"/>
        <v>1</v>
      </c>
      <c r="AB11" s="1554">
        <f t="shared" si="4"/>
        <v>1</v>
      </c>
      <c r="AC11" s="1554">
        <f t="shared" si="5"/>
        <v>1</v>
      </c>
    </row>
    <row r="12" spans="1:29" s="1214" customFormat="1" ht="15">
      <c r="A12" s="2868"/>
      <c r="B12" s="2874">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467"/>
      <c r="Q12" s="1145">
        <f t="shared" si="6"/>
        <v>111</v>
      </c>
      <c r="R12" s="1551" t="s">
        <v>8</v>
      </c>
      <c r="S12" s="1552">
        <f t="shared" si="0"/>
        <v>100</v>
      </c>
      <c r="T12" s="1551" t="s">
        <v>8</v>
      </c>
      <c r="U12" s="1552">
        <f t="shared" si="1"/>
        <v>100</v>
      </c>
      <c r="V12" s="1551" t="s">
        <v>8</v>
      </c>
      <c r="W12" s="1552">
        <f t="shared" si="2"/>
        <v>100</v>
      </c>
      <c r="X12" s="1553"/>
      <c r="Y12" s="3413"/>
      <c r="Z12" s="1144">
        <f t="shared" si="7"/>
        <v>111</v>
      </c>
      <c r="AA12" s="1554">
        <f>D12/F12</f>
        <v>1</v>
      </c>
      <c r="AB12" s="1554">
        <f>D12/H12</f>
        <v>1</v>
      </c>
      <c r="AC12" s="1554">
        <f>D12/J12</f>
        <v>1</v>
      </c>
    </row>
    <row r="13" spans="1:29" ht="15.75" thickBot="1">
      <c r="A13" s="2869"/>
      <c r="B13" s="2875">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467"/>
      <c r="Q13" s="1145">
        <f t="shared" si="6"/>
        <v>111</v>
      </c>
      <c r="R13" s="1551" t="s">
        <v>8</v>
      </c>
      <c r="S13" s="1552">
        <f t="shared" si="0"/>
        <v>100</v>
      </c>
      <c r="T13" s="1551" t="s">
        <v>8</v>
      </c>
      <c r="U13" s="1552">
        <f t="shared" si="1"/>
        <v>100</v>
      </c>
      <c r="V13" s="1551" t="s">
        <v>8</v>
      </c>
      <c r="W13" s="1552">
        <f t="shared" si="2"/>
        <v>100</v>
      </c>
      <c r="X13" s="1553"/>
      <c r="Y13" s="3413"/>
      <c r="Z13" s="1144">
        <f t="shared" si="7"/>
        <v>111</v>
      </c>
      <c r="AA13" s="1554">
        <f t="shared" si="3"/>
        <v>1</v>
      </c>
      <c r="AB13" s="1554">
        <f t="shared" si="4"/>
        <v>1</v>
      </c>
      <c r="AC13" s="1554">
        <f t="shared" si="5"/>
        <v>1</v>
      </c>
    </row>
    <row r="14" spans="1:29" ht="15">
      <c r="A14" s="2861" t="s">
        <v>2749</v>
      </c>
      <c r="B14" s="546" t="s">
        <v>543</v>
      </c>
      <c r="C14" s="919" t="str">
        <f>IF(B1="工业",估价对象房地状况!G4,估价对象房地状况!C6)</f>
        <v>一般</v>
      </c>
      <c r="D14" s="548">
        <v>100</v>
      </c>
      <c r="E14" s="549"/>
      <c r="F14" s="550">
        <f>SUMIF(63:63,E15,64:64)-SUMIF(63:63,C15,64:64)+100</f>
        <v>100</v>
      </c>
      <c r="G14" s="551"/>
      <c r="H14" s="548">
        <f>SUMIF(63:63,G15,64:64)-SUMIF(63:63,C15,64:64)+100</f>
        <v>100</v>
      </c>
      <c r="I14" s="549"/>
      <c r="J14" s="548">
        <f>SUMIF(63:63,I15,64:64)-SUMIF(63:63,C15,64:64)+100</f>
        <v>100</v>
      </c>
      <c r="K14" s="896"/>
      <c r="L14" s="2124"/>
      <c r="M14" s="2116"/>
      <c r="N14" s="2116"/>
      <c r="O14" s="2123"/>
      <c r="P14" s="3501" t="s">
        <v>540</v>
      </c>
      <c r="Q14" s="1555" t="str">
        <f t="shared" si="6"/>
        <v>交通便捷度</v>
      </c>
      <c r="R14" s="1556" t="s">
        <v>8</v>
      </c>
      <c r="S14" s="1557">
        <f t="shared" si="0"/>
        <v>100</v>
      </c>
      <c r="T14" s="1556" t="s">
        <v>8</v>
      </c>
      <c r="U14" s="1557">
        <f t="shared" si="1"/>
        <v>100</v>
      </c>
      <c r="V14" s="1556" t="s">
        <v>8</v>
      </c>
      <c r="W14" s="1557">
        <f t="shared" si="2"/>
        <v>100</v>
      </c>
      <c r="X14" s="1550"/>
      <c r="Y14" s="3501" t="s">
        <v>540</v>
      </c>
      <c r="Z14" s="1558" t="str">
        <f t="shared" si="7"/>
        <v>交通便捷度</v>
      </c>
      <c r="AA14" s="1559">
        <f t="shared" si="3"/>
        <v>1</v>
      </c>
      <c r="AB14" s="1559">
        <f t="shared" si="4"/>
        <v>1</v>
      </c>
      <c r="AC14" s="1559">
        <f t="shared" si="5"/>
        <v>1</v>
      </c>
    </row>
    <row r="15" spans="1:29" ht="15">
      <c r="A15" s="514"/>
      <c r="B15" s="922"/>
      <c r="C15" s="575"/>
      <c r="D15" s="554"/>
      <c r="E15" s="575"/>
      <c r="F15" s="556"/>
      <c r="G15" s="575"/>
      <c r="H15" s="558"/>
      <c r="I15" s="575"/>
      <c r="J15" s="554"/>
      <c r="K15" s="897"/>
      <c r="L15" s="2124"/>
      <c r="M15" s="2116"/>
      <c r="N15" s="2116"/>
      <c r="O15" s="2123"/>
      <c r="P15" s="3502"/>
      <c r="Q15" s="1555"/>
      <c r="R15" s="1556"/>
      <c r="S15" s="1557"/>
      <c r="T15" s="1556"/>
      <c r="U15" s="1557"/>
      <c r="V15" s="1556"/>
      <c r="W15" s="1557"/>
      <c r="X15" s="1550"/>
      <c r="Y15" s="3502"/>
      <c r="Z15" s="1558"/>
      <c r="AA15" s="1559">
        <v>1</v>
      </c>
      <c r="AB15" s="1559">
        <v>1</v>
      </c>
      <c r="AC15" s="1559">
        <v>1</v>
      </c>
    </row>
    <row r="16" spans="1:29" ht="15">
      <c r="A16" s="514"/>
      <c r="B16" s="2564" t="s">
        <v>2541</v>
      </c>
      <c r="C16" s="871" t="str">
        <f>IF(B1="工业",估价对象房地状况!G5,估价对象房地状况!C7)</f>
        <v>一般</v>
      </c>
      <c r="D16" s="564">
        <v>100</v>
      </c>
      <c r="E16" s="571"/>
      <c r="F16" s="570">
        <f>SUMIF(65:65,E17,66:66)-SUMIF(65:65,C17,66:66)+100</f>
        <v>100</v>
      </c>
      <c r="G16" s="571"/>
      <c r="H16" s="564">
        <f>SUMIF(65:65,G17,66:66)-SUMIF(65:65,C17,66:66)+100</f>
        <v>100</v>
      </c>
      <c r="I16" s="569"/>
      <c r="J16" s="564">
        <f>SUMIF(65:65,I17,66:66)-SUMIF(65:65,C17,66:66)+100</f>
        <v>100</v>
      </c>
      <c r="K16" s="896"/>
      <c r="L16" s="2124"/>
      <c r="M16" s="2116"/>
      <c r="N16" s="2116"/>
      <c r="O16" s="2123"/>
      <c r="P16" s="3502"/>
      <c r="Q16" s="1555" t="str">
        <f>B16</f>
        <v>公共配套设施</v>
      </c>
      <c r="R16" s="1556" t="s">
        <v>8</v>
      </c>
      <c r="S16" s="1557">
        <f>F16</f>
        <v>100</v>
      </c>
      <c r="T16" s="1556" t="s">
        <v>8</v>
      </c>
      <c r="U16" s="1557">
        <f>H16</f>
        <v>100</v>
      </c>
      <c r="V16" s="1556" t="s">
        <v>8</v>
      </c>
      <c r="W16" s="1557">
        <f>J16</f>
        <v>100</v>
      </c>
      <c r="X16" s="1550"/>
      <c r="Y16" s="3502"/>
      <c r="Z16" s="1558" t="str">
        <f>Q16</f>
        <v>公共配套设施</v>
      </c>
      <c r="AA16" s="1559">
        <f t="shared" si="3"/>
        <v>1</v>
      </c>
      <c r="AB16" s="1559">
        <f t="shared" si="4"/>
        <v>1</v>
      </c>
      <c r="AC16" s="1559">
        <f t="shared" si="5"/>
        <v>1</v>
      </c>
    </row>
    <row r="17" spans="1:29" ht="15">
      <c r="A17" s="514"/>
      <c r="B17" s="565"/>
      <c r="C17" s="872"/>
      <c r="D17" s="554"/>
      <c r="E17" s="575"/>
      <c r="F17" s="556"/>
      <c r="G17" s="575"/>
      <c r="H17" s="554"/>
      <c r="I17" s="575"/>
      <c r="J17" s="554"/>
      <c r="K17" s="897"/>
      <c r="L17" s="2124"/>
      <c r="M17" s="2116"/>
      <c r="N17" s="2116"/>
      <c r="O17" s="2123"/>
      <c r="P17" s="3502"/>
      <c r="Q17" s="1555"/>
      <c r="R17" s="1556"/>
      <c r="S17" s="1557"/>
      <c r="T17" s="1556"/>
      <c r="U17" s="1557"/>
      <c r="V17" s="1556"/>
      <c r="W17" s="1557"/>
      <c r="X17" s="1550"/>
      <c r="Y17" s="3502"/>
      <c r="Z17" s="1558"/>
      <c r="AA17" s="1559">
        <v>1</v>
      </c>
      <c r="AB17" s="1559">
        <v>1</v>
      </c>
      <c r="AC17" s="1559">
        <v>1</v>
      </c>
    </row>
    <row r="18" spans="1:29" ht="15">
      <c r="A18" s="514"/>
      <c r="B18" s="2552" t="s">
        <v>2553</v>
      </c>
      <c r="C18" s="871" t="str">
        <f>IF(B1="工业",估价对象房地状况!G6,估价对象房地状况!C8)</f>
        <v>六通</v>
      </c>
      <c r="D18" s="558">
        <v>100</v>
      </c>
      <c r="E18" s="571"/>
      <c r="F18" s="570">
        <f>SUMIF(67:67,E19,68:68)-SUMIF(67:67,C19,68:68)+100</f>
        <v>100</v>
      </c>
      <c r="G18" s="571"/>
      <c r="H18" s="564">
        <f>SUMIF(67:67,G19,68:68)-SUMIF(67:67,C19,68:68)+100</f>
        <v>100</v>
      </c>
      <c r="I18" s="569"/>
      <c r="J18" s="564">
        <f>SUMIF(67:67,I19,68:68)-SUMIF(67:67,C19,68:68)+100</f>
        <v>100</v>
      </c>
      <c r="K18" s="896"/>
      <c r="L18" s="2124"/>
      <c r="M18" s="2116"/>
      <c r="N18" s="2116"/>
      <c r="O18" s="2123"/>
      <c r="P18" s="3502"/>
      <c r="Q18" s="2540" t="str">
        <f>B18</f>
        <v>基础设施水平</v>
      </c>
      <c r="R18" s="1556" t="s">
        <v>8</v>
      </c>
      <c r="S18" s="1557">
        <f>F18</f>
        <v>100</v>
      </c>
      <c r="T18" s="1556" t="s">
        <v>8</v>
      </c>
      <c r="U18" s="1557">
        <f>H18</f>
        <v>100</v>
      </c>
      <c r="V18" s="1556" t="s">
        <v>8</v>
      </c>
      <c r="W18" s="1557">
        <f>J18</f>
        <v>100</v>
      </c>
      <c r="X18" s="2542"/>
      <c r="Y18" s="3502"/>
      <c r="Z18" s="2541" t="str">
        <f>Q18</f>
        <v>基础设施水平</v>
      </c>
      <c r="AA18" s="1559">
        <f t="shared" ref="AA18" si="8">D18/F18</f>
        <v>1</v>
      </c>
      <c r="AB18" s="1559">
        <f t="shared" ref="AB18" si="9">D18/H18</f>
        <v>1</v>
      </c>
      <c r="AC18" s="1559">
        <f t="shared" ref="AC18" si="10">D18/J18</f>
        <v>1</v>
      </c>
    </row>
    <row r="19" spans="1:29" ht="15">
      <c r="A19" s="514"/>
      <c r="B19" s="577"/>
      <c r="C19" s="872"/>
      <c r="D19" s="558"/>
      <c r="E19" s="575"/>
      <c r="F19" s="556"/>
      <c r="G19" s="575"/>
      <c r="H19" s="554"/>
      <c r="I19" s="575"/>
      <c r="J19" s="554"/>
      <c r="K19" s="2563"/>
      <c r="L19" s="2124"/>
      <c r="M19" s="2116"/>
      <c r="N19" s="2116"/>
      <c r="O19" s="2123"/>
      <c r="P19" s="3502"/>
      <c r="Q19" s="2540"/>
      <c r="R19" s="1556"/>
      <c r="S19" s="1557"/>
      <c r="T19" s="1556"/>
      <c r="U19" s="1557"/>
      <c r="V19" s="1556"/>
      <c r="W19" s="1557"/>
      <c r="X19" s="2542"/>
      <c r="Y19" s="3502"/>
      <c r="Z19" s="2541"/>
      <c r="AA19" s="1559">
        <v>1</v>
      </c>
      <c r="AB19" s="1559">
        <v>1</v>
      </c>
      <c r="AC19" s="1559">
        <v>1</v>
      </c>
    </row>
    <row r="20" spans="1:29" ht="15">
      <c r="A20" s="514"/>
      <c r="B20" s="559" t="s">
        <v>804</v>
      </c>
      <c r="C20" s="871" t="str">
        <f>IF(B1="工业",估价对象房地状况!G7,估价对象房地状况!C9)</f>
        <v>一般</v>
      </c>
      <c r="D20" s="564">
        <v>100</v>
      </c>
      <c r="E20" s="561"/>
      <c r="F20" s="562">
        <f>SUMIF(69:69,E21,70:70)-SUMIF(69:69,C21,70:70)+100</f>
        <v>100</v>
      </c>
      <c r="G20" s="563"/>
      <c r="H20" s="558">
        <f>SUMIF(69:69,G21,70:70)-SUMIF(69:69,C21,70:70)+100</f>
        <v>100</v>
      </c>
      <c r="I20" s="561"/>
      <c r="J20" s="558">
        <f>SUMIF(69:69,I21,70:70)-SUMIF(69:69,C21,70:70)+100</f>
        <v>100</v>
      </c>
      <c r="K20" s="896"/>
      <c r="L20" s="2124"/>
      <c r="M20" s="2116"/>
      <c r="N20" s="2116"/>
      <c r="O20" s="2123"/>
      <c r="P20" s="3502"/>
      <c r="Q20" s="1555" t="str">
        <f>B20</f>
        <v>自然及人文环境</v>
      </c>
      <c r="R20" s="1556" t="s">
        <v>8</v>
      </c>
      <c r="S20" s="1557">
        <f>F20</f>
        <v>100</v>
      </c>
      <c r="T20" s="1556" t="s">
        <v>8</v>
      </c>
      <c r="U20" s="1557">
        <f>H20</f>
        <v>100</v>
      </c>
      <c r="V20" s="1556" t="s">
        <v>8</v>
      </c>
      <c r="W20" s="1557">
        <f>J20</f>
        <v>100</v>
      </c>
      <c r="X20" s="1550"/>
      <c r="Y20" s="3502"/>
      <c r="Z20" s="1558" t="str">
        <f>Q20</f>
        <v>自然及人文环境</v>
      </c>
      <c r="AA20" s="1559">
        <f t="shared" si="3"/>
        <v>1</v>
      </c>
      <c r="AB20" s="1559">
        <f t="shared" si="4"/>
        <v>1</v>
      </c>
      <c r="AC20" s="1559">
        <f t="shared" si="5"/>
        <v>1</v>
      </c>
    </row>
    <row r="21" spans="1:29" ht="15">
      <c r="A21" s="514"/>
      <c r="B21" s="565"/>
      <c r="C21" s="575"/>
      <c r="D21" s="554"/>
      <c r="E21" s="575"/>
      <c r="F21" s="556"/>
      <c r="G21" s="575"/>
      <c r="H21" s="554"/>
      <c r="I21" s="575"/>
      <c r="J21" s="554"/>
      <c r="K21" s="897"/>
      <c r="L21" s="2124"/>
      <c r="M21" s="2116"/>
      <c r="N21" s="2116"/>
      <c r="O21" s="2123"/>
      <c r="P21" s="3502"/>
      <c r="Q21" s="1555"/>
      <c r="R21" s="1556"/>
      <c r="S21" s="1557"/>
      <c r="T21" s="1556"/>
      <c r="U21" s="1557"/>
      <c r="V21" s="1556"/>
      <c r="W21" s="1557"/>
      <c r="X21" s="1550"/>
      <c r="Y21" s="3502"/>
      <c r="Z21" s="1558"/>
      <c r="AA21" s="1559">
        <v>1</v>
      </c>
      <c r="AB21" s="1559">
        <v>1</v>
      </c>
      <c r="AC21" s="1559">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502"/>
      <c r="Q22" s="1555" t="str">
        <f>B22</f>
        <v>楼层</v>
      </c>
      <c r="R22" s="1556" t="s">
        <v>8</v>
      </c>
      <c r="S22" s="1557">
        <f>F22</f>
        <v>100</v>
      </c>
      <c r="T22" s="1556" t="s">
        <v>8</v>
      </c>
      <c r="U22" s="1557">
        <f>H22</f>
        <v>100</v>
      </c>
      <c r="V22" s="1556" t="s">
        <v>8</v>
      </c>
      <c r="W22" s="1557">
        <f>J22</f>
        <v>100</v>
      </c>
      <c r="X22" s="1550"/>
      <c r="Y22" s="3502"/>
      <c r="Z22" s="1558" t="str">
        <f>Q22</f>
        <v>楼层</v>
      </c>
      <c r="AA22" s="1559">
        <f t="shared" si="3"/>
        <v>1</v>
      </c>
      <c r="AB22" s="1559">
        <f t="shared" si="4"/>
        <v>1</v>
      </c>
      <c r="AC22" s="1559">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502"/>
      <c r="Q23" s="1555">
        <f>B23</f>
        <v>111</v>
      </c>
      <c r="R23" s="1556" t="s">
        <v>8</v>
      </c>
      <c r="S23" s="1557">
        <f>F23</f>
        <v>100</v>
      </c>
      <c r="T23" s="1556" t="s">
        <v>8</v>
      </c>
      <c r="U23" s="1557">
        <f>H23</f>
        <v>100</v>
      </c>
      <c r="V23" s="1556" t="s">
        <v>8</v>
      </c>
      <c r="W23" s="1557">
        <f>J23</f>
        <v>100</v>
      </c>
      <c r="X23" s="1550"/>
      <c r="Y23" s="3502"/>
      <c r="Z23" s="1558">
        <f>Q23</f>
        <v>111</v>
      </c>
      <c r="AA23" s="1559">
        <f t="shared" si="3"/>
        <v>1</v>
      </c>
      <c r="AB23" s="1559">
        <f t="shared" si="4"/>
        <v>1</v>
      </c>
      <c r="AC23" s="1559">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502"/>
      <c r="Q24" s="1555">
        <f t="shared" ref="Q24:Q36" si="11">B24</f>
        <v>111</v>
      </c>
      <c r="R24" s="1556" t="s">
        <v>8</v>
      </c>
      <c r="S24" s="1557">
        <f>F24</f>
        <v>100</v>
      </c>
      <c r="T24" s="1556" t="s">
        <v>8</v>
      </c>
      <c r="U24" s="1557">
        <f>H24</f>
        <v>100</v>
      </c>
      <c r="V24" s="1556" t="s">
        <v>8</v>
      </c>
      <c r="W24" s="1557">
        <f>J24</f>
        <v>100</v>
      </c>
      <c r="X24" s="1550"/>
      <c r="Y24" s="3502"/>
      <c r="Z24" s="1558">
        <f>Q24</f>
        <v>111</v>
      </c>
      <c r="AA24" s="1559">
        <f t="shared" si="3"/>
        <v>1</v>
      </c>
      <c r="AB24" s="1559">
        <f t="shared" si="4"/>
        <v>1</v>
      </c>
      <c r="AC24" s="1559">
        <f t="shared" si="5"/>
        <v>1</v>
      </c>
    </row>
    <row r="25" spans="1:29" s="1214"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7"/>
      <c r="M25" s="2118"/>
      <c r="N25" s="2118"/>
      <c r="O25" s="2119"/>
      <c r="P25" s="3502"/>
      <c r="Q25" s="1145">
        <f t="shared" si="11"/>
        <v>111</v>
      </c>
      <c r="R25" s="1551" t="s">
        <v>8</v>
      </c>
      <c r="S25" s="1552">
        <f>F25</f>
        <v>100</v>
      </c>
      <c r="T25" s="1551" t="s">
        <v>8</v>
      </c>
      <c r="U25" s="1552">
        <f>H25</f>
        <v>100</v>
      </c>
      <c r="V25" s="1551" t="s">
        <v>8</v>
      </c>
      <c r="W25" s="1552">
        <f>J25</f>
        <v>100</v>
      </c>
      <c r="X25" s="1553"/>
      <c r="Y25" s="3502"/>
      <c r="Z25" s="1144">
        <f>Q25</f>
        <v>111</v>
      </c>
      <c r="AA25" s="1559">
        <f>D25/F25</f>
        <v>1</v>
      </c>
      <c r="AB25" s="1559">
        <f>D25/H25</f>
        <v>1</v>
      </c>
      <c r="AC25" s="1559">
        <f>D25/J25</f>
        <v>1</v>
      </c>
    </row>
    <row r="26" spans="1:29" ht="15">
      <c r="A26" s="2859" t="s">
        <v>2750</v>
      </c>
      <c r="B26" s="169"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503"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504" t="s">
        <v>550</v>
      </c>
      <c r="Z26" s="1558" t="str">
        <f t="shared" ref="Z26:Z36" si="15">Q26</f>
        <v>配套类型</v>
      </c>
      <c r="AA26" s="1559">
        <f t="shared" si="3"/>
        <v>1</v>
      </c>
      <c r="AB26" s="1559">
        <f t="shared" si="4"/>
        <v>1</v>
      </c>
      <c r="AC26" s="1559">
        <f t="shared" si="5"/>
        <v>1</v>
      </c>
    </row>
    <row r="27" spans="1:29" s="1333"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2"/>
      <c r="M27" s="2153"/>
      <c r="N27" s="2153"/>
      <c r="O27" s="2125"/>
      <c r="P27" s="3504"/>
      <c r="Q27" s="1587" t="str">
        <f t="shared" si="11"/>
        <v>项目停车位配比</v>
      </c>
      <c r="R27" s="1560" t="s">
        <v>8</v>
      </c>
      <c r="S27" s="1561">
        <f t="shared" si="12"/>
        <v>100</v>
      </c>
      <c r="T27" s="1560" t="s">
        <v>8</v>
      </c>
      <c r="U27" s="1561">
        <f t="shared" si="13"/>
        <v>100</v>
      </c>
      <c r="V27" s="1560" t="s">
        <v>8</v>
      </c>
      <c r="W27" s="1561">
        <f t="shared" si="14"/>
        <v>100</v>
      </c>
      <c r="X27" s="1562"/>
      <c r="Y27" s="3504"/>
      <c r="Z27" s="1563" t="str">
        <f t="shared" si="15"/>
        <v>项目停车位配比</v>
      </c>
      <c r="AA27" s="1559">
        <f t="shared" si="3"/>
        <v>1</v>
      </c>
      <c r="AB27" s="1559">
        <f t="shared" si="4"/>
        <v>1</v>
      </c>
      <c r="AC27" s="1559">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504"/>
      <c r="Q28" s="1555" t="str">
        <f t="shared" si="11"/>
        <v>公共部分装修</v>
      </c>
      <c r="R28" s="1556" t="s">
        <v>8</v>
      </c>
      <c r="S28" s="1557">
        <f t="shared" si="12"/>
        <v>100</v>
      </c>
      <c r="T28" s="1556" t="s">
        <v>8</v>
      </c>
      <c r="U28" s="1557">
        <f t="shared" si="13"/>
        <v>100</v>
      </c>
      <c r="V28" s="1556" t="s">
        <v>8</v>
      </c>
      <c r="W28" s="1557">
        <f t="shared" si="14"/>
        <v>100</v>
      </c>
      <c r="X28" s="1550"/>
      <c r="Y28" s="3504"/>
      <c r="Z28" s="1558" t="str">
        <f t="shared" si="15"/>
        <v>公共部分装修</v>
      </c>
      <c r="AA28" s="1559">
        <f t="shared" si="3"/>
        <v>1</v>
      </c>
      <c r="AB28" s="1559">
        <f t="shared" si="4"/>
        <v>1</v>
      </c>
      <c r="AC28" s="1559">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4"/>
      <c r="M29" s="2116"/>
      <c r="N29" s="2116"/>
      <c r="O29" s="2123"/>
      <c r="P29" s="3504"/>
      <c r="Q29" s="1555" t="str">
        <f t="shared" si="11"/>
        <v>成新率</v>
      </c>
      <c r="R29" s="1556" t="s">
        <v>8</v>
      </c>
      <c r="S29" s="1557" t="e">
        <f t="shared" si="12"/>
        <v>#N/A</v>
      </c>
      <c r="T29" s="1556" t="s">
        <v>8</v>
      </c>
      <c r="U29" s="1557" t="e">
        <f t="shared" si="13"/>
        <v>#N/A</v>
      </c>
      <c r="V29" s="1556" t="s">
        <v>8</v>
      </c>
      <c r="W29" s="1557" t="e">
        <f t="shared" si="14"/>
        <v>#N/A</v>
      </c>
      <c r="X29" s="1550"/>
      <c r="Y29" s="3504"/>
      <c r="Z29" s="1558" t="str">
        <f t="shared" si="15"/>
        <v>成新率</v>
      </c>
      <c r="AA29" s="1559" t="e">
        <f t="shared" si="3"/>
        <v>#N/A</v>
      </c>
      <c r="AB29" s="1559" t="e">
        <f t="shared" si="4"/>
        <v>#N/A</v>
      </c>
      <c r="AC29" s="1559"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4"/>
      <c r="M30" s="2116"/>
      <c r="N30" s="2116"/>
      <c r="O30" s="2123"/>
      <c r="P30" s="3504"/>
      <c r="Q30" s="1555" t="str">
        <f t="shared" si="11"/>
        <v>物业等级</v>
      </c>
      <c r="R30" s="1556" t="s">
        <v>8</v>
      </c>
      <c r="S30" s="1557">
        <f t="shared" si="12"/>
        <v>100</v>
      </c>
      <c r="T30" s="1556" t="s">
        <v>8</v>
      </c>
      <c r="U30" s="1557">
        <f t="shared" si="13"/>
        <v>100</v>
      </c>
      <c r="V30" s="1556" t="s">
        <v>8</v>
      </c>
      <c r="W30" s="1557">
        <f t="shared" si="14"/>
        <v>100</v>
      </c>
      <c r="X30" s="1550"/>
      <c r="Y30" s="3504"/>
      <c r="Z30" s="1558" t="str">
        <f t="shared" si="15"/>
        <v>物业等级</v>
      </c>
      <c r="AA30" s="1559">
        <f t="shared" si="3"/>
        <v>1</v>
      </c>
      <c r="AB30" s="1559">
        <f t="shared" si="4"/>
        <v>1</v>
      </c>
      <c r="AC30" s="1559">
        <f t="shared" si="5"/>
        <v>1</v>
      </c>
    </row>
    <row r="31" spans="1:29" s="1214"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7"/>
      <c r="M31" s="2118"/>
      <c r="N31" s="2118"/>
      <c r="O31" s="2119"/>
      <c r="P31" s="3504"/>
      <c r="Q31" s="1145" t="str">
        <f t="shared" si="11"/>
        <v>停车位面积</v>
      </c>
      <c r="R31" s="1551" t="s">
        <v>8</v>
      </c>
      <c r="S31" s="1552" t="e">
        <f t="shared" si="12"/>
        <v>#N/A</v>
      </c>
      <c r="T31" s="1551" t="s">
        <v>8</v>
      </c>
      <c r="U31" s="1552" t="e">
        <f t="shared" si="13"/>
        <v>#N/A</v>
      </c>
      <c r="V31" s="1551" t="s">
        <v>8</v>
      </c>
      <c r="W31" s="1552" t="e">
        <f t="shared" si="14"/>
        <v>#N/A</v>
      </c>
      <c r="X31" s="1553"/>
      <c r="Y31" s="3504"/>
      <c r="Z31" s="1144" t="str">
        <f t="shared" si="15"/>
        <v>停车位面积</v>
      </c>
      <c r="AA31" s="1554" t="e">
        <f t="shared" si="3"/>
        <v>#N/A</v>
      </c>
      <c r="AB31" s="1554" t="e">
        <f t="shared" si="4"/>
        <v>#N/A</v>
      </c>
      <c r="AC31" s="1554"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504" t="s">
        <v>550</v>
      </c>
      <c r="Q32" s="1555" t="str">
        <f t="shared" si="11"/>
        <v>车位类型</v>
      </c>
      <c r="R32" s="1556" t="s">
        <v>8</v>
      </c>
      <c r="S32" s="1557">
        <f t="shared" si="12"/>
        <v>100</v>
      </c>
      <c r="T32" s="1556" t="s">
        <v>8</v>
      </c>
      <c r="U32" s="1557">
        <f t="shared" si="13"/>
        <v>100</v>
      </c>
      <c r="V32" s="1556" t="s">
        <v>8</v>
      </c>
      <c r="W32" s="1557">
        <f t="shared" si="14"/>
        <v>100</v>
      </c>
      <c r="X32" s="1550"/>
      <c r="Y32" s="3504" t="s">
        <v>550</v>
      </c>
      <c r="Z32" s="1558" t="str">
        <f t="shared" si="15"/>
        <v>车位类型</v>
      </c>
      <c r="AA32" s="1559">
        <f t="shared" si="3"/>
        <v>1</v>
      </c>
      <c r="AB32" s="1559">
        <f t="shared" si="4"/>
        <v>1</v>
      </c>
      <c r="AC32" s="1559">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504"/>
      <c r="Q33" s="1555" t="str">
        <f t="shared" si="11"/>
        <v>是否直接入户</v>
      </c>
      <c r="R33" s="1556" t="s">
        <v>8</v>
      </c>
      <c r="S33" s="1557">
        <f t="shared" si="12"/>
        <v>100</v>
      </c>
      <c r="T33" s="1556" t="s">
        <v>8</v>
      </c>
      <c r="U33" s="1557">
        <f t="shared" si="13"/>
        <v>100</v>
      </c>
      <c r="V33" s="1556" t="s">
        <v>8</v>
      </c>
      <c r="W33" s="1557">
        <f t="shared" si="14"/>
        <v>100</v>
      </c>
      <c r="X33" s="1550"/>
      <c r="Y33" s="3504"/>
      <c r="Z33" s="1558" t="str">
        <f t="shared" si="15"/>
        <v>是否直接入户</v>
      </c>
      <c r="AA33" s="1559">
        <f t="shared" si="3"/>
        <v>1</v>
      </c>
      <c r="AB33" s="1559">
        <f t="shared" si="4"/>
        <v>1</v>
      </c>
      <c r="AC33" s="1559">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504"/>
      <c r="Q34" s="1555">
        <f t="shared" si="11"/>
        <v>111</v>
      </c>
      <c r="R34" s="1556" t="s">
        <v>8</v>
      </c>
      <c r="S34" s="1557">
        <f t="shared" si="12"/>
        <v>100</v>
      </c>
      <c r="T34" s="1556" t="s">
        <v>8</v>
      </c>
      <c r="U34" s="1557">
        <f t="shared" si="13"/>
        <v>100</v>
      </c>
      <c r="V34" s="1556" t="s">
        <v>8</v>
      </c>
      <c r="W34" s="1557">
        <f t="shared" si="14"/>
        <v>100</v>
      </c>
      <c r="X34" s="1550"/>
      <c r="Y34" s="3504"/>
      <c r="Z34" s="1558">
        <f t="shared" si="15"/>
        <v>111</v>
      </c>
      <c r="AA34" s="1559">
        <f t="shared" si="3"/>
        <v>1</v>
      </c>
      <c r="AB34" s="1559">
        <f t="shared" si="4"/>
        <v>1</v>
      </c>
      <c r="AC34" s="1559">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504"/>
      <c r="Q35" s="1587">
        <f t="shared" si="11"/>
        <v>111</v>
      </c>
      <c r="R35" s="1560" t="s">
        <v>8</v>
      </c>
      <c r="S35" s="1561">
        <f t="shared" si="12"/>
        <v>100</v>
      </c>
      <c r="T35" s="1560" t="s">
        <v>8</v>
      </c>
      <c r="U35" s="1561">
        <f t="shared" si="13"/>
        <v>100</v>
      </c>
      <c r="V35" s="1560" t="s">
        <v>8</v>
      </c>
      <c r="W35" s="1561">
        <f t="shared" si="14"/>
        <v>100</v>
      </c>
      <c r="X35" s="1562"/>
      <c r="Y35" s="3504"/>
      <c r="Z35" s="1563">
        <f t="shared" si="15"/>
        <v>111</v>
      </c>
      <c r="AA35" s="1559">
        <f t="shared" si="3"/>
        <v>1</v>
      </c>
      <c r="AB35" s="1559">
        <f t="shared" si="4"/>
        <v>1</v>
      </c>
      <c r="AC35" s="1559">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504"/>
      <c r="Q36" s="1555">
        <f t="shared" si="11"/>
        <v>111</v>
      </c>
      <c r="R36" s="1556" t="s">
        <v>8</v>
      </c>
      <c r="S36" s="1557">
        <f t="shared" si="12"/>
        <v>100</v>
      </c>
      <c r="T36" s="1556" t="s">
        <v>8</v>
      </c>
      <c r="U36" s="1557">
        <f t="shared" si="13"/>
        <v>100</v>
      </c>
      <c r="V36" s="1556" t="s">
        <v>8</v>
      </c>
      <c r="W36" s="1557">
        <f t="shared" si="14"/>
        <v>100</v>
      </c>
      <c r="X36" s="1550"/>
      <c r="Y36" s="3504"/>
      <c r="Z36" s="1558">
        <f t="shared" si="15"/>
        <v>111</v>
      </c>
      <c r="AA36" s="1559">
        <f t="shared" si="3"/>
        <v>1</v>
      </c>
      <c r="AB36" s="1559">
        <f t="shared" si="4"/>
        <v>1</v>
      </c>
      <c r="AC36" s="1559">
        <f t="shared" si="5"/>
        <v>1</v>
      </c>
    </row>
    <row r="37" spans="1:29" ht="15">
      <c r="A37" s="1828" t="s">
        <v>2075</v>
      </c>
      <c r="B37" s="1829" t="s">
        <v>2076</v>
      </c>
      <c r="C37" s="2588" t="s">
        <v>1</v>
      </c>
      <c r="D37" s="2589"/>
      <c r="E37" s="2590"/>
      <c r="F37" s="2591"/>
      <c r="G37" s="2592"/>
      <c r="H37" s="2593"/>
      <c r="I37" s="2590"/>
      <c r="J37" s="2593"/>
      <c r="K37" s="1593"/>
      <c r="L37" s="2126"/>
      <c r="M37" s="2127"/>
      <c r="N37" s="2116"/>
      <c r="O37" s="2127"/>
      <c r="P37" s="3467" t="str">
        <f>A37</f>
        <v>成交单价</v>
      </c>
      <c r="Q37" s="3467"/>
      <c r="R37" s="3582">
        <f>E37</f>
        <v>0</v>
      </c>
      <c r="S37" s="3582"/>
      <c r="T37" s="3582">
        <f>G37</f>
        <v>0</v>
      </c>
      <c r="U37" s="3582"/>
      <c r="V37" s="3582">
        <f>I37</f>
        <v>0</v>
      </c>
      <c r="W37" s="3582"/>
      <c r="X37" s="1542"/>
      <c r="Y37" s="1564"/>
      <c r="Z37" s="1542"/>
      <c r="AA37" s="1542"/>
      <c r="AB37" s="1542"/>
      <c r="AC37" s="1542"/>
    </row>
    <row r="38" spans="1:29" ht="15.75" thickBot="1">
      <c r="A38" s="614" t="s">
        <v>2755</v>
      </c>
      <c r="B38" s="886"/>
      <c r="C38" s="2594" t="e">
        <f>R39</f>
        <v>#DIV/0!</v>
      </c>
      <c r="D38" s="2595"/>
      <c r="E38" s="2596" t="e">
        <f>R38</f>
        <v>#DIV/0!</v>
      </c>
      <c r="F38" s="2596"/>
      <c r="G38" s="2594" t="e">
        <f>T38</f>
        <v>#DIV/0!</v>
      </c>
      <c r="H38" s="2595"/>
      <c r="I38" s="2596" t="e">
        <f>V38</f>
        <v>#DIV/0!</v>
      </c>
      <c r="J38" s="2595"/>
      <c r="K38" s="1594"/>
      <c r="L38" s="2126"/>
      <c r="M38" s="2127"/>
      <c r="N38" s="2127"/>
      <c r="O38" s="2127"/>
      <c r="P38" s="3467" t="str">
        <f>A38</f>
        <v>比较价格（元/平方米）</v>
      </c>
      <c r="Q38" s="3467"/>
      <c r="R38" s="3582" t="e">
        <f>IF(F1="售价",ROUND(PRODUCT(R37,AA7:AA36),0),ROUND(PRODUCT(R37,AA7:AA36),1))</f>
        <v>#DIV/0!</v>
      </c>
      <c r="S38" s="3582"/>
      <c r="T38" s="3582" t="e">
        <f>IF(F1="售价",ROUND(PRODUCT(T37,AB7:AB36),0),ROUND(PRODUCT(T37,AB7:AB36),1))</f>
        <v>#DIV/0!</v>
      </c>
      <c r="U38" s="3582"/>
      <c r="V38" s="3582" t="e">
        <f>IF(F1="售价",ROUND(PRODUCT(V37,AC7:AC36),0),ROUND(PRODUCT(V37,AC7:AC36),1))</f>
        <v>#DIV/0!</v>
      </c>
      <c r="W38" s="3582"/>
      <c r="X38" s="1542"/>
      <c r="Y38" s="1542"/>
      <c r="Z38" s="1542"/>
      <c r="AA38" s="1542"/>
      <c r="AB38" s="1542"/>
      <c r="AC38" s="1542"/>
    </row>
    <row r="39" spans="1:29" ht="15.75" thickBot="1">
      <c r="A39" s="620" t="s">
        <v>2928</v>
      </c>
      <c r="B39" s="621"/>
      <c r="C39" s="2597" t="e">
        <f>R39</f>
        <v>#DIV/0!</v>
      </c>
      <c r="D39" s="2597"/>
      <c r="E39" s="2597"/>
      <c r="F39" s="2597"/>
      <c r="G39" s="2597"/>
      <c r="H39" s="2597"/>
      <c r="I39" s="2597"/>
      <c r="J39" s="2597"/>
      <c r="K39" s="1595"/>
      <c r="L39" s="2126"/>
      <c r="M39" s="2127"/>
      <c r="N39" s="2127"/>
      <c r="O39" s="2127"/>
      <c r="P39" s="3464" t="str">
        <f>A39</f>
        <v>估价对象XX用房的比较价格（楼面单价，元/平方米）</v>
      </c>
      <c r="Q39" s="3465"/>
      <c r="R39" s="3581" t="e">
        <f>IF(F1="售价",ROUND(AVERAGE(R38:V38),0),ROUND(AVERAGE(R38:V38),1))</f>
        <v>#DIV/0!</v>
      </c>
      <c r="S39" s="3581"/>
      <c r="T39" s="3581"/>
      <c r="U39" s="3581"/>
      <c r="V39" s="3581"/>
      <c r="W39" s="3581"/>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5">
      <c r="A48" s="644" t="s">
        <v>529</v>
      </c>
      <c r="B48" s="645"/>
      <c r="C48" s="2754" t="str">
        <f>YEAR(C7)&amp;"-"&amp;MONTH(C7)</f>
        <v>2019-8</v>
      </c>
      <c r="D48" s="2756">
        <f>EDATE(C48,-1)</f>
        <v>43647</v>
      </c>
      <c r="E48" s="2756">
        <f t="shared" ref="E48:O48" si="16">EDATE(D48,-1)</f>
        <v>43617</v>
      </c>
      <c r="F48" s="2756">
        <f t="shared" si="16"/>
        <v>43586</v>
      </c>
      <c r="G48" s="2756">
        <f t="shared" si="16"/>
        <v>43556</v>
      </c>
      <c r="H48" s="2756">
        <f t="shared" si="16"/>
        <v>43525</v>
      </c>
      <c r="I48" s="2756">
        <f t="shared" si="16"/>
        <v>43497</v>
      </c>
      <c r="J48" s="2756">
        <f t="shared" si="16"/>
        <v>43466</v>
      </c>
      <c r="K48" s="2756">
        <f t="shared" si="16"/>
        <v>43435</v>
      </c>
      <c r="L48" s="2756">
        <f t="shared" si="16"/>
        <v>43405</v>
      </c>
      <c r="M48" s="2756">
        <f t="shared" si="16"/>
        <v>43374</v>
      </c>
      <c r="N48" s="2756">
        <f t="shared" si="16"/>
        <v>43344</v>
      </c>
      <c r="O48" s="2756">
        <f t="shared" si="16"/>
        <v>43313</v>
      </c>
      <c r="P48" s="2142"/>
      <c r="Q48" s="2143"/>
      <c r="R48" s="2143"/>
      <c r="S48" s="2143"/>
      <c r="T48" s="2143"/>
      <c r="U48" s="2143"/>
      <c r="V48" s="2143"/>
      <c r="W48" s="2143"/>
      <c r="X48" s="2143"/>
      <c r="Y48" s="2143"/>
      <c r="Z48" s="2143"/>
      <c r="AA48" s="2143"/>
      <c r="AB48" s="2143"/>
      <c r="AC48" s="2143"/>
    </row>
    <row r="49" spans="1:29" s="1214" customFormat="1" ht="15">
      <c r="A49" s="646"/>
      <c r="B49" s="647"/>
      <c r="C49" s="2755">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4" customFormat="1" ht="15.7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4" customFormat="1" ht="15">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4" customFormat="1" ht="15.75"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c r="A53" s="663" t="s">
        <v>577</v>
      </c>
      <c r="B53" s="664" t="s">
        <v>534</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5.75"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5.75" thickTop="1">
      <c r="A57" s="668"/>
      <c r="B57" s="933">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3" customFormat="1" ht="15.75"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3" customFormat="1" ht="15.75"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3" customFormat="1" ht="15.75"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3" customFormat="1" ht="15.75"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1878" t="s">
        <v>2552</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2558" t="s">
        <v>2553</v>
      </c>
      <c r="C67" s="2559" t="s">
        <v>2554</v>
      </c>
      <c r="D67" s="2559" t="s">
        <v>2555</v>
      </c>
      <c r="E67" s="2559" t="s">
        <v>2556</v>
      </c>
      <c r="F67" s="2559" t="s">
        <v>2557</v>
      </c>
      <c r="G67" s="2559" t="s">
        <v>2558</v>
      </c>
      <c r="H67" s="673"/>
      <c r="I67" s="673"/>
      <c r="J67" s="673"/>
      <c r="K67" s="673"/>
      <c r="L67" s="673"/>
      <c r="M67" s="2562"/>
      <c r="N67" s="2148"/>
      <c r="O67" s="2148"/>
      <c r="P67" s="2147"/>
      <c r="Q67" s="2140"/>
      <c r="R67" s="2127"/>
      <c r="S67" s="2127"/>
      <c r="T67" s="2127"/>
      <c r="U67" s="2127"/>
      <c r="V67" s="2127"/>
      <c r="W67" s="2127"/>
      <c r="X67" s="2127"/>
      <c r="Y67" s="2127"/>
      <c r="Z67" s="2127"/>
      <c r="AA67" s="2127"/>
      <c r="AB67" s="2127"/>
      <c r="AC67" s="2127"/>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7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4" customFormat="1" ht="15.75" thickTop="1">
      <c r="A73" s="708"/>
      <c r="B73" s="672">
        <f>B23</f>
        <v>111</v>
      </c>
      <c r="C73" s="540"/>
      <c r="D73" s="540"/>
      <c r="E73" s="540"/>
      <c r="F73" s="540"/>
      <c r="G73" s="687"/>
      <c r="H73" s="687"/>
      <c r="I73" s="687"/>
      <c r="J73" s="687"/>
      <c r="K73" s="687"/>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4" customFormat="1" ht="15.75" thickTop="1">
      <c r="A75" s="708"/>
      <c r="B75" s="672">
        <f>B24</f>
        <v>111</v>
      </c>
      <c r="C75" s="540"/>
      <c r="D75" s="540"/>
      <c r="E75" s="540"/>
      <c r="F75" s="540"/>
      <c r="G75" s="687"/>
      <c r="H75" s="687"/>
      <c r="I75" s="687"/>
      <c r="J75" s="687"/>
      <c r="K75" s="687"/>
      <c r="L75" s="687"/>
      <c r="M75" s="889"/>
      <c r="N75" s="2144"/>
      <c r="O75" s="2144"/>
      <c r="P75" s="2147"/>
      <c r="Q75" s="2140"/>
      <c r="R75" s="1975"/>
      <c r="S75" s="1975"/>
      <c r="T75" s="1975"/>
      <c r="U75" s="1975"/>
      <c r="V75" s="1975"/>
      <c r="W75" s="1975"/>
      <c r="X75" s="1975"/>
      <c r="Y75" s="1975"/>
      <c r="Z75" s="1975"/>
      <c r="AA75" s="1975"/>
      <c r="AB75" s="1975"/>
      <c r="AC75" s="1975"/>
    </row>
    <row r="76" spans="1:29" s="1214" customFormat="1" ht="15.75"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3" customFormat="1" ht="15.75"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3" customFormat="1" ht="15.75"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7.75" thickTop="1">
      <c r="A79" s="663" t="s">
        <v>551</v>
      </c>
      <c r="B79" s="664" t="s">
        <v>814</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8"/>
      <c r="B81" s="672" t="s">
        <v>815</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5.75"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5" thickTop="1">
      <c r="A97" s="734"/>
      <c r="B97" s="915">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5.75"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3" customFormat="1" ht="15"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3" customFormat="1" ht="15.75"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5"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柳州市瀚丰房地产开发有限公司：</v>
      </c>
    </row>
    <row r="4" spans="1:4" ht="37.5">
      <c r="A4" s="1773" t="str">
        <f>"受贵公司委托，我公司对"&amp;项目基本情况!K2&amp;项目基本情况!B9&amp;"进行了预评估。"</f>
        <v>受贵公司委托，我公司对广西省柳州市阳和工业新区出让国有建设用地使用权抵押价格进行了预评估。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西省柳州市阳和工业新区出让国有建设用地使用权。根据《国有土地使用证》[]，估价对象（分摊）出让国有建设用地使用权面积为20176.84平方米。根据《建设工程规划许可证》[]、《出让合同》[]，估价对象规划建筑面积为73123.75平方米。</v>
      </c>
    </row>
    <row r="7" spans="1:4" ht="93.75">
      <c r="A7" s="2825" t="s">
        <v>2743</v>
      </c>
    </row>
    <row r="8" spans="1:4" ht="18.75">
      <c r="A8" s="1776" t="s">
        <v>1906</v>
      </c>
    </row>
    <row r="9" spans="1:4" ht="56.25">
      <c r="A9" s="177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2024</v>
      </c>
    </row>
    <row r="11" spans="1:4" ht="18.75">
      <c r="A11" s="1762" t="str">
        <f>TEXT(项目基本情况!D3,"yyyy年m月d日;;")&amp;IF(项目基本情况!B3=项目基本情况!D3,"（评估专业人员勘察现场之日）","")</f>
        <v>2019年8月15日</v>
      </c>
    </row>
    <row r="12" spans="1:4" ht="18.75">
      <c r="A12" s="1779" t="s">
        <v>2023</v>
      </c>
    </row>
    <row r="13" spans="1:4" ht="18.75">
      <c r="A13" s="1773" t="s">
        <v>2069</v>
      </c>
    </row>
    <row r="14" spans="1:4" ht="37.5">
      <c r="A14" s="1773" t="str">
        <f>"根据"&amp;项目基本情况!F12&amp;"，本次评估估价对象证载（地类）用途为"&amp;项目基本情况!B12&amp;"。"</f>
        <v>根据《国有土地使用证》[]，本次评估估价对象证载（地类）用途为商住用地。</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63"/>
      <c r="D15" s="1764"/>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根据《国有土地使用证》[]，估价对象（分摊）出让国有建设用地使用权面积为20176.84平方米。根据《建设工程规划许可证》[]、《出让合同》[]，估价对象规划建筑面积为73123.75平方米。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2072</v>
      </c>
    </row>
    <row r="23" spans="1:1" ht="18.75">
      <c r="A23" s="2827" t="s">
        <v>2744</v>
      </c>
    </row>
    <row r="24" spans="1:1" ht="18.75">
      <c r="A24" s="1773" t="s">
        <v>2073</v>
      </c>
    </row>
    <row r="25" spans="1:1" ht="93.75">
      <c r="A25" s="1773" t="str">
        <f>定义!C53</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商住用地，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IF(项目基本情况!E9="——","",定义!C57)</f>
        <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c r="C1" s="503" t="s">
        <v>792</v>
      </c>
      <c r="D1" s="848"/>
      <c r="E1" s="505"/>
      <c r="F1" s="2759"/>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794</v>
      </c>
      <c r="B2" s="849"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797</v>
      </c>
      <c r="B4" s="512"/>
      <c r="C4" s="3473" t="s">
        <v>798</v>
      </c>
      <c r="D4" s="3474"/>
      <c r="E4" s="3507" t="s">
        <v>799</v>
      </c>
      <c r="F4" s="3508"/>
      <c r="G4" s="3473" t="s">
        <v>800</v>
      </c>
      <c r="H4" s="3474"/>
      <c r="I4" s="3473" t="s">
        <v>801</v>
      </c>
      <c r="J4" s="3474"/>
      <c r="K4" s="513" t="s">
        <v>802</v>
      </c>
      <c r="L4" s="2115"/>
      <c r="M4" s="2116"/>
      <c r="N4" s="2116"/>
      <c r="O4" s="2116"/>
      <c r="P4" s="3475" t="s">
        <v>803</v>
      </c>
      <c r="Q4" s="3476"/>
      <c r="R4" s="3481" t="s">
        <v>799</v>
      </c>
      <c r="S4" s="3482"/>
      <c r="T4" s="3481" t="s">
        <v>800</v>
      </c>
      <c r="U4" s="3482"/>
      <c r="V4" s="3468" t="s">
        <v>801</v>
      </c>
      <c r="W4" s="3468"/>
      <c r="X4" s="1550"/>
      <c r="Y4" s="3481" t="s">
        <v>803</v>
      </c>
      <c r="Z4" s="3482"/>
      <c r="AA4" s="3470" t="s">
        <v>799</v>
      </c>
      <c r="AB4" s="3471" t="s">
        <v>800</v>
      </c>
      <c r="AC4" s="3470" t="s">
        <v>801</v>
      </c>
    </row>
    <row r="5" spans="1:29" ht="15">
      <c r="A5" s="514"/>
      <c r="B5" s="515"/>
      <c r="C5" s="3489" t="s">
        <v>2922</v>
      </c>
      <c r="D5" s="3490"/>
      <c r="E5" s="3509" t="s">
        <v>2923</v>
      </c>
      <c r="F5" s="3510"/>
      <c r="G5" s="3489" t="s">
        <v>2924</v>
      </c>
      <c r="H5" s="3490"/>
      <c r="I5" s="3489" t="s">
        <v>2925</v>
      </c>
      <c r="J5" s="3490"/>
      <c r="K5" s="513"/>
      <c r="L5" s="2115"/>
      <c r="M5" s="2116"/>
      <c r="N5" s="2116"/>
      <c r="O5" s="2116"/>
      <c r="P5" s="3477"/>
      <c r="Q5" s="3478"/>
      <c r="R5" s="3483"/>
      <c r="S5" s="3484"/>
      <c r="T5" s="3483"/>
      <c r="U5" s="3484"/>
      <c r="V5" s="3468"/>
      <c r="W5" s="3468"/>
      <c r="X5" s="1550"/>
      <c r="Y5" s="3483"/>
      <c r="Z5" s="3484"/>
      <c r="AA5" s="3471"/>
      <c r="AB5" s="3471"/>
      <c r="AC5" s="3471"/>
    </row>
    <row r="6" spans="1:29" ht="15.75" thickBot="1">
      <c r="A6" s="516"/>
      <c r="B6" s="517"/>
      <c r="C6" s="3487" t="s">
        <v>2926</v>
      </c>
      <c r="D6" s="3488"/>
      <c r="E6" s="3505" t="s">
        <v>2926</v>
      </c>
      <c r="F6" s="3506"/>
      <c r="G6" s="3487" t="s">
        <v>2926</v>
      </c>
      <c r="H6" s="3488"/>
      <c r="I6" s="3487" t="s">
        <v>2926</v>
      </c>
      <c r="J6" s="3488"/>
      <c r="K6" s="513" t="s">
        <v>528</v>
      </c>
      <c r="L6" s="2115"/>
      <c r="M6" s="2116"/>
      <c r="N6" s="2116"/>
      <c r="O6" s="2116"/>
      <c r="P6" s="3479"/>
      <c r="Q6" s="3480"/>
      <c r="R6" s="3483"/>
      <c r="S6" s="3484"/>
      <c r="T6" s="3485"/>
      <c r="U6" s="3486"/>
      <c r="V6" s="3468"/>
      <c r="W6" s="3468"/>
      <c r="X6" s="1550"/>
      <c r="Y6" s="3485"/>
      <c r="Z6" s="3486"/>
      <c r="AA6" s="3472"/>
      <c r="AB6" s="3472"/>
      <c r="AC6" s="3472"/>
    </row>
    <row r="7" spans="1:29" s="1214" customFormat="1" ht="15.75" thickBot="1">
      <c r="A7" s="2863"/>
      <c r="B7" s="2870" t="s">
        <v>529</v>
      </c>
      <c r="C7" s="518">
        <f>'数据-取费表'!B2</f>
        <v>43692</v>
      </c>
      <c r="D7" s="519">
        <v>100</v>
      </c>
      <c r="E7" s="520"/>
      <c r="F7" s="521">
        <f>SUMIF(46:46,YEAR(E7)&amp;"-"&amp;MONTH(E7),47:47)</f>
        <v>0</v>
      </c>
      <c r="G7" s="522"/>
      <c r="H7" s="519">
        <f>SUMIF(46:46,YEAR(G7)&amp;"-"&amp;MONTH(G7),47:47)</f>
        <v>0</v>
      </c>
      <c r="I7" s="522"/>
      <c r="J7" s="519">
        <f>SUMIF(46:46,YEAR(I7)&amp;"-"&amp;MONTH(I7),47:47)</f>
        <v>0</v>
      </c>
      <c r="K7" s="523"/>
      <c r="L7" s="2117"/>
      <c r="M7" s="2118"/>
      <c r="N7" s="2118"/>
      <c r="O7" s="2118"/>
      <c r="P7" s="3498" t="s">
        <v>530</v>
      </c>
      <c r="Q7" s="3500"/>
      <c r="R7" s="1551" t="s">
        <v>8</v>
      </c>
      <c r="S7" s="1552">
        <f t="shared" ref="S7:S14" si="0">F7</f>
        <v>0</v>
      </c>
      <c r="T7" s="1551" t="s">
        <v>8</v>
      </c>
      <c r="U7" s="1552">
        <f t="shared" ref="U7:U14" si="1">H7</f>
        <v>0</v>
      </c>
      <c r="V7" s="1551" t="s">
        <v>8</v>
      </c>
      <c r="W7" s="1552">
        <f t="shared" ref="W7:W14" si="2">J7</f>
        <v>0</v>
      </c>
      <c r="X7" s="1553"/>
      <c r="Y7" s="3498" t="s">
        <v>530</v>
      </c>
      <c r="Z7" s="3499"/>
      <c r="AA7" s="1554" t="e">
        <f>D7/F7</f>
        <v>#DIV/0!</v>
      </c>
      <c r="AB7" s="1554" t="e">
        <f>D7/H7</f>
        <v>#DIV/0!</v>
      </c>
      <c r="AC7" s="1554" t="e">
        <f>D7/J7</f>
        <v>#DIV/0!</v>
      </c>
    </row>
    <row r="8" spans="1:29" s="1214" customFormat="1" ht="15.75" thickBot="1">
      <c r="A8" s="2864"/>
      <c r="B8" s="2871"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498" t="s">
        <v>533</v>
      </c>
      <c r="Q8" s="3499"/>
      <c r="R8" s="1551" t="s">
        <v>8</v>
      </c>
      <c r="S8" s="1552">
        <f t="shared" si="0"/>
        <v>0</v>
      </c>
      <c r="T8" s="1551" t="s">
        <v>8</v>
      </c>
      <c r="U8" s="1552">
        <f t="shared" si="1"/>
        <v>0</v>
      </c>
      <c r="V8" s="1551" t="s">
        <v>8</v>
      </c>
      <c r="W8" s="1552">
        <f t="shared" si="2"/>
        <v>0</v>
      </c>
      <c r="X8" s="1553"/>
      <c r="Y8" s="3498" t="s">
        <v>533</v>
      </c>
      <c r="Z8" s="3499"/>
      <c r="AA8" s="1554" t="e">
        <f t="shared" ref="AA8:AA34" si="3">D8/F8</f>
        <v>#DIV/0!</v>
      </c>
      <c r="AB8" s="1554" t="e">
        <f t="shared" ref="AB8:AB34" si="4">D8/H8</f>
        <v>#DIV/0!</v>
      </c>
      <c r="AC8" s="1554" t="e">
        <f t="shared" ref="AC8:AC34" si="5">D8/J8</f>
        <v>#DIV/0!</v>
      </c>
    </row>
    <row r="9" spans="1:29" s="1214" customFormat="1" ht="15">
      <c r="A9" s="2865"/>
      <c r="B9" s="2872" t="s">
        <v>2751</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467" t="s">
        <v>535</v>
      </c>
      <c r="Q9" s="1145" t="str">
        <f t="shared" ref="Q9:Q14" si="6">B9</f>
        <v>用途</v>
      </c>
      <c r="R9" s="1551" t="s">
        <v>8</v>
      </c>
      <c r="S9" s="1552">
        <f t="shared" si="0"/>
        <v>100</v>
      </c>
      <c r="T9" s="1551" t="s">
        <v>8</v>
      </c>
      <c r="U9" s="1552">
        <f t="shared" si="1"/>
        <v>100</v>
      </c>
      <c r="V9" s="1551" t="s">
        <v>8</v>
      </c>
      <c r="W9" s="1552">
        <f t="shared" si="2"/>
        <v>100</v>
      </c>
      <c r="X9" s="1553"/>
      <c r="Y9" s="3413" t="s">
        <v>536</v>
      </c>
      <c r="Z9" s="1144" t="str">
        <f t="shared" ref="Z9:Z14" si="7">Q9</f>
        <v>用途</v>
      </c>
      <c r="AA9" s="1554">
        <f t="shared" si="3"/>
        <v>1</v>
      </c>
      <c r="AB9" s="1554">
        <f t="shared" si="4"/>
        <v>1</v>
      </c>
      <c r="AC9" s="1554">
        <f t="shared" si="5"/>
        <v>1</v>
      </c>
    </row>
    <row r="10" spans="1:29" s="1332" customFormat="1" ht="27">
      <c r="A10" s="2866"/>
      <c r="B10" s="2871" t="s">
        <v>2752</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467"/>
      <c r="Q10" s="1145" t="str">
        <f t="shared" si="6"/>
        <v>土地使用年限（年）</v>
      </c>
      <c r="R10" s="1551" t="s">
        <v>8</v>
      </c>
      <c r="S10" s="1552">
        <f t="shared" si="0"/>
        <v>100</v>
      </c>
      <c r="T10" s="1551" t="s">
        <v>8</v>
      </c>
      <c r="U10" s="1552">
        <f t="shared" si="1"/>
        <v>100</v>
      </c>
      <c r="V10" s="1551" t="s">
        <v>8</v>
      </c>
      <c r="W10" s="1552">
        <f t="shared" si="2"/>
        <v>100</v>
      </c>
      <c r="X10" s="1553"/>
      <c r="Y10" s="3413"/>
      <c r="Z10" s="1144" t="str">
        <f t="shared" si="7"/>
        <v>土地使用年限（年）</v>
      </c>
      <c r="AA10" s="1554">
        <f t="shared" si="3"/>
        <v>1</v>
      </c>
      <c r="AB10" s="1554">
        <f t="shared" si="4"/>
        <v>1</v>
      </c>
      <c r="AC10" s="1554">
        <f t="shared" si="5"/>
        <v>1</v>
      </c>
    </row>
    <row r="11" spans="1:29" ht="15">
      <c r="A11" s="2868"/>
      <c r="B11" s="2874">
        <v>111</v>
      </c>
      <c r="C11" s="527"/>
      <c r="D11" s="254">
        <v>100</v>
      </c>
      <c r="E11" s="878"/>
      <c r="F11" s="254">
        <f>SUMIF(55:55,E11,56:56)-SUMIF(55:55,C11,56:56)+100</f>
        <v>100</v>
      </c>
      <c r="G11" s="878"/>
      <c r="H11" s="254">
        <f>SUMIF(55:55,G11,56:56)-SUMIF(55:55,C11,56:56)+100</f>
        <v>100</v>
      </c>
      <c r="I11" s="878"/>
      <c r="J11" s="254">
        <f>SUMIF(55:55,I11,56:56)-SUMIF(55:55,C11,56:56)+100</f>
        <v>100</v>
      </c>
      <c r="K11" s="580"/>
      <c r="L11" s="2122"/>
      <c r="M11" s="2116"/>
      <c r="N11" s="2116"/>
      <c r="O11" s="2123"/>
      <c r="P11" s="3467"/>
      <c r="Q11" s="1145">
        <f t="shared" si="6"/>
        <v>111</v>
      </c>
      <c r="R11" s="1551" t="s">
        <v>8</v>
      </c>
      <c r="S11" s="1552">
        <f t="shared" si="0"/>
        <v>100</v>
      </c>
      <c r="T11" s="1551" t="s">
        <v>8</v>
      </c>
      <c r="U11" s="1552">
        <f t="shared" si="1"/>
        <v>100</v>
      </c>
      <c r="V11" s="1551" t="s">
        <v>8</v>
      </c>
      <c r="W11" s="1552">
        <f t="shared" si="2"/>
        <v>100</v>
      </c>
      <c r="X11" s="1553"/>
      <c r="Y11" s="3413"/>
      <c r="Z11" s="1144">
        <f t="shared" si="7"/>
        <v>111</v>
      </c>
      <c r="AA11" s="1554">
        <f t="shared" si="3"/>
        <v>1</v>
      </c>
      <c r="AB11" s="1554">
        <f t="shared" si="4"/>
        <v>1</v>
      </c>
      <c r="AC11" s="1554">
        <f t="shared" si="5"/>
        <v>1</v>
      </c>
    </row>
    <row r="12" spans="1:29" s="1214" customFormat="1" ht="15">
      <c r="A12" s="2868"/>
      <c r="B12" s="2874">
        <v>111</v>
      </c>
      <c r="C12" s="527"/>
      <c r="D12" s="537">
        <v>100</v>
      </c>
      <c r="E12" s="878"/>
      <c r="F12" s="254">
        <f>SUMIF(57:57,E12,58:58)-SUMIF(57:57,C12,58:58)+100</f>
        <v>100</v>
      </c>
      <c r="G12" s="878"/>
      <c r="H12" s="254">
        <f>SUMIF(57:57,G12,58:58)-SUMIF(57:57,C12,58:58)+100</f>
        <v>100</v>
      </c>
      <c r="I12" s="878"/>
      <c r="J12" s="254">
        <f>SUMIF(57:57,I12,58:58)-SUMIF(57:57,C12,58:58)+100</f>
        <v>100</v>
      </c>
      <c r="K12" s="580"/>
      <c r="L12" s="2117"/>
      <c r="M12" s="2118"/>
      <c r="N12" s="2118"/>
      <c r="O12" s="2119"/>
      <c r="P12" s="3467"/>
      <c r="Q12" s="1145">
        <f t="shared" si="6"/>
        <v>111</v>
      </c>
      <c r="R12" s="1551" t="s">
        <v>8</v>
      </c>
      <c r="S12" s="1552">
        <f t="shared" si="0"/>
        <v>100</v>
      </c>
      <c r="T12" s="1551" t="s">
        <v>8</v>
      </c>
      <c r="U12" s="1552">
        <f t="shared" si="1"/>
        <v>100</v>
      </c>
      <c r="V12" s="1551" t="s">
        <v>8</v>
      </c>
      <c r="W12" s="1552">
        <f t="shared" si="2"/>
        <v>100</v>
      </c>
      <c r="X12" s="1553"/>
      <c r="Y12" s="3413"/>
      <c r="Z12" s="1144">
        <f t="shared" si="7"/>
        <v>111</v>
      </c>
      <c r="AA12" s="1554">
        <f>D12/F12</f>
        <v>1</v>
      </c>
      <c r="AB12" s="1554">
        <f>D12/H12</f>
        <v>1</v>
      </c>
      <c r="AC12" s="1554">
        <f>D12/J12</f>
        <v>1</v>
      </c>
    </row>
    <row r="13" spans="1:29" ht="15.75" thickBot="1">
      <c r="A13" s="2869"/>
      <c r="B13" s="2875">
        <v>111</v>
      </c>
      <c r="C13" s="538"/>
      <c r="D13" s="539">
        <v>100</v>
      </c>
      <c r="E13" s="878"/>
      <c r="F13" s="254">
        <f>SUMIF(59:59,E13,60:60)-SUMIF(59:59,C13,60:60)+100</f>
        <v>100</v>
      </c>
      <c r="G13" s="878"/>
      <c r="H13" s="539">
        <f>SUMIF(59:59,G13,60:60)-SUMIF(59:59,C13,60:60)+100</f>
        <v>100</v>
      </c>
      <c r="I13" s="878"/>
      <c r="J13" s="539">
        <f>SUMIF(59:59,I13,60:60)-SUMIF(59:59,C13,60:60)+100</f>
        <v>100</v>
      </c>
      <c r="K13" s="580"/>
      <c r="L13" s="2124"/>
      <c r="M13" s="2116"/>
      <c r="N13" s="2116"/>
      <c r="O13" s="2123"/>
      <c r="P13" s="3467"/>
      <c r="Q13" s="1145">
        <f t="shared" si="6"/>
        <v>111</v>
      </c>
      <c r="R13" s="1551" t="s">
        <v>8</v>
      </c>
      <c r="S13" s="1552">
        <f t="shared" si="0"/>
        <v>100</v>
      </c>
      <c r="T13" s="1551" t="s">
        <v>8</v>
      </c>
      <c r="U13" s="1552">
        <f t="shared" si="1"/>
        <v>100</v>
      </c>
      <c r="V13" s="1551" t="s">
        <v>8</v>
      </c>
      <c r="W13" s="1552">
        <f t="shared" si="2"/>
        <v>100</v>
      </c>
      <c r="X13" s="1553"/>
      <c r="Y13" s="3413"/>
      <c r="Z13" s="1144">
        <f t="shared" si="7"/>
        <v>111</v>
      </c>
      <c r="AA13" s="1554">
        <f t="shared" si="3"/>
        <v>1</v>
      </c>
      <c r="AB13" s="1554">
        <f t="shared" si="4"/>
        <v>1</v>
      </c>
      <c r="AC13" s="1554">
        <f t="shared" si="5"/>
        <v>1</v>
      </c>
    </row>
    <row r="14" spans="1:29" ht="15">
      <c r="A14" s="2861" t="s">
        <v>2749</v>
      </c>
      <c r="B14" s="165" t="s">
        <v>543</v>
      </c>
      <c r="C14" s="919" t="str">
        <f>IF(B1="工业",估价对象房地状况!G4,估价对象房地状况!C6)</f>
        <v>一般</v>
      </c>
      <c r="D14" s="548">
        <v>100</v>
      </c>
      <c r="E14" s="549"/>
      <c r="F14" s="550">
        <f>SUMIF(61:61,E15,62:62)-SUMIF(61:61,C15,62:62)+100</f>
        <v>100</v>
      </c>
      <c r="G14" s="551"/>
      <c r="H14" s="548">
        <f>SUMIF(61:61,G15,62:62)-SUMIF(61:61,C15,62:62)+100</f>
        <v>100</v>
      </c>
      <c r="I14" s="549"/>
      <c r="J14" s="548">
        <f>SUMIF(61:61,I15,62:62)-SUMIF(61:61,C15,62:62)+100</f>
        <v>100</v>
      </c>
      <c r="K14" s="896"/>
      <c r="L14" s="2124"/>
      <c r="M14" s="2116"/>
      <c r="N14" s="2116"/>
      <c r="O14" s="2123"/>
      <c r="P14" s="3501" t="s">
        <v>540</v>
      </c>
      <c r="Q14" s="1555" t="str">
        <f t="shared" si="6"/>
        <v>交通便捷度</v>
      </c>
      <c r="R14" s="1556" t="s">
        <v>8</v>
      </c>
      <c r="S14" s="1557">
        <f t="shared" si="0"/>
        <v>100</v>
      </c>
      <c r="T14" s="1556" t="s">
        <v>8</v>
      </c>
      <c r="U14" s="1557">
        <f t="shared" si="1"/>
        <v>100</v>
      </c>
      <c r="V14" s="1556" t="s">
        <v>8</v>
      </c>
      <c r="W14" s="1557">
        <f t="shared" si="2"/>
        <v>100</v>
      </c>
      <c r="X14" s="1550"/>
      <c r="Y14" s="3501" t="s">
        <v>540</v>
      </c>
      <c r="Z14" s="1558" t="str">
        <f t="shared" si="7"/>
        <v>交通便捷度</v>
      </c>
      <c r="AA14" s="1559">
        <f t="shared" si="3"/>
        <v>1</v>
      </c>
      <c r="AB14" s="1559">
        <f t="shared" si="4"/>
        <v>1</v>
      </c>
      <c r="AC14" s="1559">
        <f t="shared" si="5"/>
        <v>1</v>
      </c>
    </row>
    <row r="15" spans="1:29" ht="15">
      <c r="A15" s="531"/>
      <c r="B15" s="868"/>
      <c r="C15" s="575"/>
      <c r="D15" s="554"/>
      <c r="E15" s="575"/>
      <c r="F15" s="556"/>
      <c r="G15" s="575"/>
      <c r="H15" s="558"/>
      <c r="I15" s="575"/>
      <c r="J15" s="554"/>
      <c r="K15" s="897"/>
      <c r="L15" s="2124"/>
      <c r="M15" s="2116"/>
      <c r="N15" s="2116"/>
      <c r="O15" s="2123"/>
      <c r="P15" s="3502"/>
      <c r="Q15" s="1555"/>
      <c r="R15" s="1556"/>
      <c r="S15" s="1557"/>
      <c r="T15" s="1556"/>
      <c r="U15" s="1557"/>
      <c r="V15" s="1556"/>
      <c r="W15" s="1557"/>
      <c r="X15" s="1550"/>
      <c r="Y15" s="3502"/>
      <c r="Z15" s="1558"/>
      <c r="AA15" s="1559">
        <v>1</v>
      </c>
      <c r="AB15" s="1559">
        <v>1</v>
      </c>
      <c r="AC15" s="1559">
        <v>1</v>
      </c>
    </row>
    <row r="16" spans="1:29" ht="15">
      <c r="A16" s="531"/>
      <c r="B16" s="2564" t="s">
        <v>2541</v>
      </c>
      <c r="C16" s="871" t="str">
        <f>IF(B1="工业",估价对象房地状况!G5,估价对象房地状况!C7)</f>
        <v>一般</v>
      </c>
      <c r="D16" s="564">
        <v>100</v>
      </c>
      <c r="E16" s="569"/>
      <c r="F16" s="570">
        <f>SUMIF(63:63,E17,64:64)-SUMIF(63:63,C17,64:64)+100</f>
        <v>100</v>
      </c>
      <c r="G16" s="571"/>
      <c r="H16" s="564">
        <f>SUMIF(63:63,G17,64:64)-SUMIF(63:63,C17,64:64)+100</f>
        <v>100</v>
      </c>
      <c r="I16" s="569"/>
      <c r="J16" s="564">
        <f>SUMIF(63:63,I17,64:64)-SUMIF(63:63,C17,64:64)+100</f>
        <v>100</v>
      </c>
      <c r="K16" s="896"/>
      <c r="L16" s="2124"/>
      <c r="M16" s="2116"/>
      <c r="N16" s="2116"/>
      <c r="O16" s="2123"/>
      <c r="P16" s="3502"/>
      <c r="Q16" s="1555" t="str">
        <f>B16</f>
        <v>公共配套设施</v>
      </c>
      <c r="R16" s="1556" t="s">
        <v>8</v>
      </c>
      <c r="S16" s="1557">
        <f>F16</f>
        <v>100</v>
      </c>
      <c r="T16" s="1556" t="s">
        <v>8</v>
      </c>
      <c r="U16" s="1557">
        <f>H16</f>
        <v>100</v>
      </c>
      <c r="V16" s="1556" t="s">
        <v>8</v>
      </c>
      <c r="W16" s="1557">
        <f>J16</f>
        <v>100</v>
      </c>
      <c r="X16" s="1550"/>
      <c r="Y16" s="3502"/>
      <c r="Z16" s="1558" t="str">
        <f>Q16</f>
        <v>公共配套设施</v>
      </c>
      <c r="AA16" s="1559">
        <f t="shared" si="3"/>
        <v>1</v>
      </c>
      <c r="AB16" s="1559">
        <f t="shared" si="4"/>
        <v>1</v>
      </c>
      <c r="AC16" s="1559">
        <f t="shared" si="5"/>
        <v>1</v>
      </c>
    </row>
    <row r="17" spans="1:29" ht="15">
      <c r="A17" s="531"/>
      <c r="B17" s="565"/>
      <c r="C17" s="872"/>
      <c r="D17" s="554"/>
      <c r="E17" s="575"/>
      <c r="F17" s="556"/>
      <c r="G17" s="575"/>
      <c r="H17" s="554"/>
      <c r="I17" s="575"/>
      <c r="J17" s="554"/>
      <c r="K17" s="897"/>
      <c r="L17" s="2124"/>
      <c r="M17" s="2116"/>
      <c r="N17" s="2116"/>
      <c r="O17" s="2123"/>
      <c r="P17" s="3502"/>
      <c r="Q17" s="1555"/>
      <c r="R17" s="1556"/>
      <c r="S17" s="1557"/>
      <c r="T17" s="1556"/>
      <c r="U17" s="1557"/>
      <c r="V17" s="1556"/>
      <c r="W17" s="1557"/>
      <c r="X17" s="1550"/>
      <c r="Y17" s="3502"/>
      <c r="Z17" s="1558"/>
      <c r="AA17" s="1559">
        <v>1</v>
      </c>
      <c r="AB17" s="1559">
        <v>1</v>
      </c>
      <c r="AC17" s="1559">
        <v>1</v>
      </c>
    </row>
    <row r="18" spans="1:29" ht="15">
      <c r="A18" s="531"/>
      <c r="B18" s="2552" t="s">
        <v>2553</v>
      </c>
      <c r="C18" s="871" t="str">
        <f>IF(B1="工业",估价对象房地状况!G6,估价对象房地状况!C8)</f>
        <v>六通</v>
      </c>
      <c r="D18" s="558">
        <v>100</v>
      </c>
      <c r="E18" s="561"/>
      <c r="F18" s="562">
        <f>SUMIF(65:65,E19,66:66)-SUMIF(65:65,C19,66:66)+100</f>
        <v>100</v>
      </c>
      <c r="G18" s="563"/>
      <c r="H18" s="564">
        <f>SUMIF(65:65,G19,66:66)-SUMIF(65:65,C19,66:66)+100</f>
        <v>100</v>
      </c>
      <c r="I18" s="569"/>
      <c r="J18" s="564">
        <f>SUMIF(65:65,I19,66:66)-SUMIF(65:65,C19,66:66)+100</f>
        <v>100</v>
      </c>
      <c r="K18" s="896"/>
      <c r="L18" s="2124"/>
      <c r="M18" s="2116"/>
      <c r="N18" s="2116"/>
      <c r="O18" s="2123"/>
      <c r="P18" s="3502"/>
      <c r="Q18" s="2540" t="str">
        <f>B18</f>
        <v>基础设施水平</v>
      </c>
      <c r="R18" s="1556" t="s">
        <v>8</v>
      </c>
      <c r="S18" s="1557">
        <f>F18</f>
        <v>100</v>
      </c>
      <c r="T18" s="1556" t="s">
        <v>8</v>
      </c>
      <c r="U18" s="1557">
        <f>H18</f>
        <v>100</v>
      </c>
      <c r="V18" s="1556" t="s">
        <v>8</v>
      </c>
      <c r="W18" s="1557">
        <f>J18</f>
        <v>100</v>
      </c>
      <c r="X18" s="2542"/>
      <c r="Y18" s="3502"/>
      <c r="Z18" s="2541" t="str">
        <f>Q18</f>
        <v>基础设施水平</v>
      </c>
      <c r="AA18" s="1559">
        <f t="shared" ref="AA18" si="8">D18/F18</f>
        <v>1</v>
      </c>
      <c r="AB18" s="1559">
        <f t="shared" ref="AB18" si="9">D18/H18</f>
        <v>1</v>
      </c>
      <c r="AC18" s="1559">
        <f t="shared" ref="AC18" si="10">D18/J18</f>
        <v>1</v>
      </c>
    </row>
    <row r="19" spans="1:29" ht="15">
      <c r="A19" s="531"/>
      <c r="B19" s="577"/>
      <c r="C19" s="872"/>
      <c r="D19" s="558"/>
      <c r="E19" s="872"/>
      <c r="F19" s="562"/>
      <c r="G19" s="872"/>
      <c r="H19" s="554"/>
      <c r="I19" s="575"/>
      <c r="J19" s="554"/>
      <c r="K19" s="2563"/>
      <c r="L19" s="2124"/>
      <c r="M19" s="2116"/>
      <c r="N19" s="2116"/>
      <c r="O19" s="2123"/>
      <c r="P19" s="3502"/>
      <c r="Q19" s="2540"/>
      <c r="R19" s="1556"/>
      <c r="S19" s="1557"/>
      <c r="T19" s="1556"/>
      <c r="U19" s="1557"/>
      <c r="V19" s="1556"/>
      <c r="W19" s="1557"/>
      <c r="X19" s="2542"/>
      <c r="Y19" s="3502"/>
      <c r="Z19" s="2541"/>
      <c r="AA19" s="1559">
        <v>1</v>
      </c>
      <c r="AB19" s="1559">
        <v>1</v>
      </c>
      <c r="AC19" s="1559">
        <v>1</v>
      </c>
    </row>
    <row r="20" spans="1:29" ht="15">
      <c r="A20" s="531"/>
      <c r="B20" s="870" t="s">
        <v>804</v>
      </c>
      <c r="C20" s="871" t="str">
        <f>IF(B1="工业",估价对象房地状况!G7,估价对象房地状况!C9)</f>
        <v>一般</v>
      </c>
      <c r="D20" s="564">
        <v>100</v>
      </c>
      <c r="E20" s="569"/>
      <c r="F20" s="570">
        <f>SUMIF(67:67,E21,68:68)-SUMIF(67:67,C21,68:68)+100</f>
        <v>100</v>
      </c>
      <c r="G20" s="571"/>
      <c r="H20" s="558">
        <f>SUMIF(67:67,G21,68:68)-SUMIF(67:67,C21,68:68)+100</f>
        <v>100</v>
      </c>
      <c r="I20" s="561"/>
      <c r="J20" s="558">
        <f>SUMIF(67:67,I21,68:68)-SUMIF(67:67,C21,68:68)+100</f>
        <v>100</v>
      </c>
      <c r="K20" s="896"/>
      <c r="L20" s="2124"/>
      <c r="M20" s="2116"/>
      <c r="N20" s="2116"/>
      <c r="O20" s="2123"/>
      <c r="P20" s="3502"/>
      <c r="Q20" s="1555" t="str">
        <f>B20</f>
        <v>自然及人文环境</v>
      </c>
      <c r="R20" s="1556" t="s">
        <v>8</v>
      </c>
      <c r="S20" s="1557">
        <f>F20</f>
        <v>100</v>
      </c>
      <c r="T20" s="1556" t="s">
        <v>8</v>
      </c>
      <c r="U20" s="1557">
        <f>H20</f>
        <v>100</v>
      </c>
      <c r="V20" s="1556" t="s">
        <v>8</v>
      </c>
      <c r="W20" s="1557">
        <f>J20</f>
        <v>100</v>
      </c>
      <c r="X20" s="1550"/>
      <c r="Y20" s="3502"/>
      <c r="Z20" s="1558" t="str">
        <f>Q20</f>
        <v>自然及人文环境</v>
      </c>
      <c r="AA20" s="1559">
        <f t="shared" si="3"/>
        <v>1</v>
      </c>
      <c r="AB20" s="1559">
        <f t="shared" si="4"/>
        <v>1</v>
      </c>
      <c r="AC20" s="1559">
        <f t="shared" si="5"/>
        <v>1</v>
      </c>
    </row>
    <row r="21" spans="1:29" ht="15">
      <c r="A21" s="531"/>
      <c r="B21" s="594"/>
      <c r="C21" s="575"/>
      <c r="D21" s="554"/>
      <c r="E21" s="575"/>
      <c r="F21" s="556"/>
      <c r="G21" s="575"/>
      <c r="H21" s="554"/>
      <c r="I21" s="575"/>
      <c r="J21" s="554"/>
      <c r="K21" s="897"/>
      <c r="L21" s="2124"/>
      <c r="M21" s="2116"/>
      <c r="N21" s="2116"/>
      <c r="O21" s="2123"/>
      <c r="P21" s="3502"/>
      <c r="Q21" s="1555"/>
      <c r="R21" s="1556"/>
      <c r="S21" s="1557"/>
      <c r="T21" s="1556"/>
      <c r="U21" s="1557"/>
      <c r="V21" s="1556"/>
      <c r="W21" s="1557"/>
      <c r="X21" s="1550"/>
      <c r="Y21" s="3502"/>
      <c r="Z21" s="1558"/>
      <c r="AA21" s="1559">
        <v>1</v>
      </c>
      <c r="AB21" s="1559">
        <v>1</v>
      </c>
      <c r="AC21" s="1559">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502"/>
      <c r="Q22" s="1555" t="str">
        <f>B22</f>
        <v>楼层</v>
      </c>
      <c r="R22" s="1556" t="s">
        <v>8</v>
      </c>
      <c r="S22" s="1557">
        <f>F22</f>
        <v>100</v>
      </c>
      <c r="T22" s="1556" t="s">
        <v>8</v>
      </c>
      <c r="U22" s="1557">
        <f>H22</f>
        <v>100</v>
      </c>
      <c r="V22" s="1556" t="s">
        <v>8</v>
      </c>
      <c r="W22" s="1557">
        <f>J22</f>
        <v>100</v>
      </c>
      <c r="X22" s="1550"/>
      <c r="Y22" s="3502"/>
      <c r="Z22" s="1558" t="str">
        <f>Q22</f>
        <v>楼层</v>
      </c>
      <c r="AA22" s="1559">
        <f t="shared" si="3"/>
        <v>1</v>
      </c>
      <c r="AB22" s="1559">
        <f t="shared" si="4"/>
        <v>1</v>
      </c>
      <c r="AC22" s="1559">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502"/>
      <c r="Q23" s="1555">
        <f>B23</f>
        <v>111</v>
      </c>
      <c r="R23" s="1556" t="s">
        <v>8</v>
      </c>
      <c r="S23" s="1557">
        <f>F23</f>
        <v>100</v>
      </c>
      <c r="T23" s="1556" t="s">
        <v>8</v>
      </c>
      <c r="U23" s="1557">
        <f>H23</f>
        <v>100</v>
      </c>
      <c r="V23" s="1556" t="s">
        <v>8</v>
      </c>
      <c r="W23" s="1557">
        <f>J23</f>
        <v>100</v>
      </c>
      <c r="X23" s="1550"/>
      <c r="Y23" s="3502"/>
      <c r="Z23" s="1558">
        <f>Q23</f>
        <v>111</v>
      </c>
      <c r="AA23" s="1559">
        <f t="shared" si="3"/>
        <v>1</v>
      </c>
      <c r="AB23" s="1559">
        <f t="shared" si="4"/>
        <v>1</v>
      </c>
      <c r="AC23" s="1559">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502"/>
      <c r="Q24" s="1555">
        <f t="shared" ref="Q24:Q34" si="11">B24</f>
        <v>111</v>
      </c>
      <c r="R24" s="1556" t="s">
        <v>8</v>
      </c>
      <c r="S24" s="1557">
        <f>F24</f>
        <v>100</v>
      </c>
      <c r="T24" s="1556" t="s">
        <v>8</v>
      </c>
      <c r="U24" s="1557">
        <f>H24</f>
        <v>100</v>
      </c>
      <c r="V24" s="1556" t="s">
        <v>8</v>
      </c>
      <c r="W24" s="1557">
        <f>J24</f>
        <v>100</v>
      </c>
      <c r="X24" s="1550"/>
      <c r="Y24" s="3502"/>
      <c r="Z24" s="1558">
        <f>Q24</f>
        <v>111</v>
      </c>
      <c r="AA24" s="1559">
        <f t="shared" si="3"/>
        <v>1</v>
      </c>
      <c r="AB24" s="1559">
        <f t="shared" si="4"/>
        <v>1</v>
      </c>
      <c r="AC24" s="1559">
        <f t="shared" si="5"/>
        <v>1</v>
      </c>
    </row>
    <row r="25" spans="1:29" s="1214"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7"/>
      <c r="M25" s="2118"/>
      <c r="N25" s="2118"/>
      <c r="O25" s="2119"/>
      <c r="P25" s="3502"/>
      <c r="Q25" s="1145">
        <f t="shared" si="11"/>
        <v>111</v>
      </c>
      <c r="R25" s="1551" t="s">
        <v>8</v>
      </c>
      <c r="S25" s="1552">
        <f>F25</f>
        <v>100</v>
      </c>
      <c r="T25" s="1551" t="s">
        <v>8</v>
      </c>
      <c r="U25" s="1552">
        <f>H25</f>
        <v>100</v>
      </c>
      <c r="V25" s="1551" t="s">
        <v>8</v>
      </c>
      <c r="W25" s="1552">
        <f>J25</f>
        <v>100</v>
      </c>
      <c r="X25" s="1553"/>
      <c r="Y25" s="3502"/>
      <c r="Z25" s="1144">
        <f>Q25</f>
        <v>111</v>
      </c>
      <c r="AA25" s="1559">
        <f>D25/F25</f>
        <v>1</v>
      </c>
      <c r="AB25" s="1559">
        <f>D25/H25</f>
        <v>1</v>
      </c>
      <c r="AC25" s="1559">
        <f>D25/J25</f>
        <v>1</v>
      </c>
    </row>
    <row r="26" spans="1:29" ht="15">
      <c r="A26" s="2859" t="s">
        <v>2750</v>
      </c>
      <c r="B26" s="171" t="s">
        <v>808</v>
      </c>
      <c r="C26" s="914"/>
      <c r="D26" s="596">
        <v>100</v>
      </c>
      <c r="E26" s="914"/>
      <c r="F26" s="941">
        <f>SUMIF(77:77,E26,78:78)-SUMIF(77:77,C26,78:78)+100</f>
        <v>100</v>
      </c>
      <c r="G26" s="914"/>
      <c r="H26" s="596">
        <f>SUMIF(77:77,G26,78:78)-SUMIF(77:77,C26,78:78)+100</f>
        <v>100</v>
      </c>
      <c r="I26" s="914"/>
      <c r="J26" s="596">
        <f>SUMIF(77:77,I26,78:78)-SUMIF(77:77,C26,78:78)+100</f>
        <v>100</v>
      </c>
      <c r="K26" s="583"/>
      <c r="L26" s="2124"/>
      <c r="M26" s="2116"/>
      <c r="N26" s="2116"/>
      <c r="O26" s="2123"/>
      <c r="P26" s="3503"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504" t="s">
        <v>821</v>
      </c>
      <c r="Z26" s="1558" t="str">
        <f t="shared" ref="Z26:Z34" si="15">Q26</f>
        <v>公共部分装修</v>
      </c>
      <c r="AA26" s="1559">
        <f t="shared" si="3"/>
        <v>1</v>
      </c>
      <c r="AB26" s="1559">
        <f t="shared" si="4"/>
        <v>1</v>
      </c>
      <c r="AC26" s="1559">
        <f t="shared" si="5"/>
        <v>1</v>
      </c>
    </row>
    <row r="27" spans="1:29" s="1333"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2"/>
      <c r="M27" s="2153"/>
      <c r="N27" s="2153"/>
      <c r="O27" s="2125"/>
      <c r="P27" s="3504"/>
      <c r="Q27" s="1587" t="str">
        <f t="shared" si="11"/>
        <v>成新率</v>
      </c>
      <c r="R27" s="1560" t="s">
        <v>8</v>
      </c>
      <c r="S27" s="1561" t="e">
        <f t="shared" si="12"/>
        <v>#N/A</v>
      </c>
      <c r="T27" s="1560" t="s">
        <v>8</v>
      </c>
      <c r="U27" s="1561" t="e">
        <f t="shared" si="13"/>
        <v>#N/A</v>
      </c>
      <c r="V27" s="1560" t="s">
        <v>8</v>
      </c>
      <c r="W27" s="1561" t="e">
        <f t="shared" si="14"/>
        <v>#N/A</v>
      </c>
      <c r="X27" s="1562"/>
      <c r="Y27" s="3504"/>
      <c r="Z27" s="1563" t="str">
        <f t="shared" si="15"/>
        <v>成新率</v>
      </c>
      <c r="AA27" s="1559" t="e">
        <f t="shared" si="3"/>
        <v>#N/A</v>
      </c>
      <c r="AB27" s="1559" t="e">
        <f t="shared" si="4"/>
        <v>#N/A</v>
      </c>
      <c r="AC27" s="1559"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504"/>
      <c r="Q28" s="1555" t="str">
        <f t="shared" si="11"/>
        <v>物业等级</v>
      </c>
      <c r="R28" s="1556" t="s">
        <v>8</v>
      </c>
      <c r="S28" s="1557">
        <f t="shared" si="12"/>
        <v>100</v>
      </c>
      <c r="T28" s="1556" t="s">
        <v>8</v>
      </c>
      <c r="U28" s="1557">
        <f t="shared" si="13"/>
        <v>100</v>
      </c>
      <c r="V28" s="1556" t="s">
        <v>8</v>
      </c>
      <c r="W28" s="1557">
        <f t="shared" si="14"/>
        <v>100</v>
      </c>
      <c r="X28" s="1550"/>
      <c r="Y28" s="3504"/>
      <c r="Z28" s="1558" t="str">
        <f t="shared" si="15"/>
        <v>物业等级</v>
      </c>
      <c r="AA28" s="1559">
        <f t="shared" si="3"/>
        <v>1</v>
      </c>
      <c r="AB28" s="1559">
        <f t="shared" si="4"/>
        <v>1</v>
      </c>
      <c r="AC28" s="1559">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4"/>
      <c r="M29" s="2116"/>
      <c r="N29" s="2116"/>
      <c r="O29" s="2123"/>
      <c r="P29" s="3504"/>
      <c r="Q29" s="1555" t="str">
        <f t="shared" si="11"/>
        <v>有无电梯</v>
      </c>
      <c r="R29" s="1556" t="s">
        <v>8</v>
      </c>
      <c r="S29" s="1557">
        <f t="shared" si="12"/>
        <v>100</v>
      </c>
      <c r="T29" s="1556" t="s">
        <v>8</v>
      </c>
      <c r="U29" s="1557">
        <f t="shared" si="13"/>
        <v>100</v>
      </c>
      <c r="V29" s="1556" t="s">
        <v>8</v>
      </c>
      <c r="W29" s="1557">
        <f t="shared" si="14"/>
        <v>100</v>
      </c>
      <c r="X29" s="1550"/>
      <c r="Y29" s="3504"/>
      <c r="Z29" s="1558" t="str">
        <f t="shared" si="15"/>
        <v>有无电梯</v>
      </c>
      <c r="AA29" s="1559">
        <f t="shared" si="3"/>
        <v>1</v>
      </c>
      <c r="AB29" s="1559">
        <f t="shared" si="4"/>
        <v>1</v>
      </c>
      <c r="AC29" s="1559">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4"/>
      <c r="M30" s="2116"/>
      <c r="N30" s="2116"/>
      <c r="O30" s="2123"/>
      <c r="P30" s="3504"/>
      <c r="Q30" s="1555" t="str">
        <f t="shared" si="11"/>
        <v>建筑面积</v>
      </c>
      <c r="R30" s="1556" t="s">
        <v>8</v>
      </c>
      <c r="S30" s="1557" t="e">
        <f t="shared" si="12"/>
        <v>#N/A</v>
      </c>
      <c r="T30" s="1556" t="s">
        <v>8</v>
      </c>
      <c r="U30" s="1557" t="e">
        <f t="shared" si="13"/>
        <v>#N/A</v>
      </c>
      <c r="V30" s="1556" t="s">
        <v>8</v>
      </c>
      <c r="W30" s="1557" t="e">
        <f t="shared" si="14"/>
        <v>#N/A</v>
      </c>
      <c r="X30" s="1550"/>
      <c r="Y30" s="3504"/>
      <c r="Z30" s="1558" t="str">
        <f t="shared" si="15"/>
        <v>建筑面积</v>
      </c>
      <c r="AA30" s="1559" t="e">
        <f t="shared" si="3"/>
        <v>#N/A</v>
      </c>
      <c r="AB30" s="1559" t="e">
        <f t="shared" si="4"/>
        <v>#N/A</v>
      </c>
      <c r="AC30" s="1559" t="e">
        <f t="shared" si="5"/>
        <v>#N/A</v>
      </c>
    </row>
    <row r="31" spans="1:29" s="1214"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7"/>
      <c r="M31" s="2118"/>
      <c r="N31" s="2118"/>
      <c r="O31" s="2119"/>
      <c r="P31" s="3504"/>
      <c r="Q31" s="1145" t="str">
        <f t="shared" si="11"/>
        <v>是否封闭</v>
      </c>
      <c r="R31" s="1551" t="s">
        <v>8</v>
      </c>
      <c r="S31" s="1552">
        <f t="shared" si="12"/>
        <v>100</v>
      </c>
      <c r="T31" s="1551" t="s">
        <v>8</v>
      </c>
      <c r="U31" s="1552">
        <f t="shared" si="13"/>
        <v>100</v>
      </c>
      <c r="V31" s="1551" t="s">
        <v>8</v>
      </c>
      <c r="W31" s="1552">
        <f t="shared" si="14"/>
        <v>100</v>
      </c>
      <c r="X31" s="1553"/>
      <c r="Y31" s="3504"/>
      <c r="Z31" s="1144" t="str">
        <f t="shared" si="15"/>
        <v>是否封闭</v>
      </c>
      <c r="AA31" s="1554">
        <f t="shared" si="3"/>
        <v>1</v>
      </c>
      <c r="AB31" s="1554">
        <f t="shared" si="4"/>
        <v>1</v>
      </c>
      <c r="AC31" s="1554">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4"/>
      <c r="M32" s="2116"/>
      <c r="N32" s="2116"/>
      <c r="O32" s="2123"/>
      <c r="P32" s="3504" t="s">
        <v>550</v>
      </c>
      <c r="Q32" s="1555">
        <f t="shared" si="11"/>
        <v>111</v>
      </c>
      <c r="R32" s="1556" t="s">
        <v>8</v>
      </c>
      <c r="S32" s="1557">
        <f t="shared" si="12"/>
        <v>100</v>
      </c>
      <c r="T32" s="1556" t="s">
        <v>8</v>
      </c>
      <c r="U32" s="1557">
        <f t="shared" si="13"/>
        <v>100</v>
      </c>
      <c r="V32" s="1556" t="s">
        <v>8</v>
      </c>
      <c r="W32" s="1557">
        <f t="shared" si="14"/>
        <v>100</v>
      </c>
      <c r="X32" s="1550"/>
      <c r="Y32" s="3504" t="s">
        <v>550</v>
      </c>
      <c r="Z32" s="1558">
        <f t="shared" si="15"/>
        <v>111</v>
      </c>
      <c r="AA32" s="1559">
        <f t="shared" si="3"/>
        <v>1</v>
      </c>
      <c r="AB32" s="1559">
        <f t="shared" si="4"/>
        <v>1</v>
      </c>
      <c r="AC32" s="1559">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4"/>
      <c r="M33" s="2116"/>
      <c r="N33" s="2116"/>
      <c r="O33" s="2123"/>
      <c r="P33" s="3504"/>
      <c r="Q33" s="1555">
        <f t="shared" si="11"/>
        <v>111</v>
      </c>
      <c r="R33" s="1556" t="s">
        <v>8</v>
      </c>
      <c r="S33" s="1557">
        <f t="shared" si="12"/>
        <v>100</v>
      </c>
      <c r="T33" s="1556" t="s">
        <v>8</v>
      </c>
      <c r="U33" s="1557">
        <f t="shared" si="13"/>
        <v>100</v>
      </c>
      <c r="V33" s="1556" t="s">
        <v>8</v>
      </c>
      <c r="W33" s="1557">
        <f t="shared" si="14"/>
        <v>100</v>
      </c>
      <c r="X33" s="1550"/>
      <c r="Y33" s="3504"/>
      <c r="Z33" s="1558">
        <f t="shared" si="15"/>
        <v>111</v>
      </c>
      <c r="AA33" s="1559">
        <f t="shared" si="3"/>
        <v>1</v>
      </c>
      <c r="AB33" s="1559">
        <f t="shared" si="4"/>
        <v>1</v>
      </c>
      <c r="AC33" s="1559">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4"/>
      <c r="M34" s="2116"/>
      <c r="N34" s="2116"/>
      <c r="O34" s="2123"/>
      <c r="P34" s="3504"/>
      <c r="Q34" s="1555">
        <f t="shared" si="11"/>
        <v>111</v>
      </c>
      <c r="R34" s="1556" t="s">
        <v>8</v>
      </c>
      <c r="S34" s="1557">
        <f t="shared" si="12"/>
        <v>100</v>
      </c>
      <c r="T34" s="1556" t="s">
        <v>8</v>
      </c>
      <c r="U34" s="1557">
        <f t="shared" si="13"/>
        <v>100</v>
      </c>
      <c r="V34" s="1556" t="s">
        <v>8</v>
      </c>
      <c r="W34" s="1557">
        <f t="shared" si="14"/>
        <v>100</v>
      </c>
      <c r="X34" s="1550"/>
      <c r="Y34" s="3504"/>
      <c r="Z34" s="1558">
        <f t="shared" si="15"/>
        <v>111</v>
      </c>
      <c r="AA34" s="1559">
        <f t="shared" si="3"/>
        <v>1</v>
      </c>
      <c r="AB34" s="1559">
        <f t="shared" si="4"/>
        <v>1</v>
      </c>
      <c r="AC34" s="1559">
        <f t="shared" si="5"/>
        <v>1</v>
      </c>
    </row>
    <row r="35" spans="1:29" ht="15">
      <c r="A35" s="606" t="s">
        <v>736</v>
      </c>
      <c r="B35" s="885"/>
      <c r="C35" s="2588" t="s">
        <v>1</v>
      </c>
      <c r="D35" s="2589"/>
      <c r="E35" s="2590"/>
      <c r="F35" s="2591"/>
      <c r="G35" s="2592"/>
      <c r="H35" s="2593"/>
      <c r="I35" s="2590"/>
      <c r="J35" s="2593"/>
      <c r="K35" s="1593"/>
      <c r="L35" s="2126"/>
      <c r="M35" s="2127"/>
      <c r="N35" s="2116"/>
      <c r="O35" s="2127"/>
      <c r="P35" s="3467" t="str">
        <f>A35</f>
        <v>成交单价（元/平方米）</v>
      </c>
      <c r="Q35" s="3467"/>
      <c r="R35" s="3582">
        <f>E35</f>
        <v>0</v>
      </c>
      <c r="S35" s="3582"/>
      <c r="T35" s="3582">
        <f>G35</f>
        <v>0</v>
      </c>
      <c r="U35" s="3582"/>
      <c r="V35" s="3582">
        <f>I35</f>
        <v>0</v>
      </c>
      <c r="W35" s="3582"/>
      <c r="X35" s="1542"/>
      <c r="Y35" s="1564"/>
      <c r="Z35" s="1542"/>
      <c r="AA35" s="1542"/>
      <c r="AB35" s="1542"/>
      <c r="AC35" s="1542"/>
    </row>
    <row r="36" spans="1:29" ht="15.75" thickBot="1">
      <c r="A36" s="614" t="s">
        <v>2755</v>
      </c>
      <c r="B36" s="886"/>
      <c r="C36" s="2594" t="e">
        <f>R37</f>
        <v>#DIV/0!</v>
      </c>
      <c r="D36" s="2595"/>
      <c r="E36" s="2596" t="e">
        <f>R36</f>
        <v>#DIV/0!</v>
      </c>
      <c r="F36" s="2596"/>
      <c r="G36" s="2594" t="e">
        <f>T36</f>
        <v>#DIV/0!</v>
      </c>
      <c r="H36" s="2595"/>
      <c r="I36" s="2596" t="e">
        <f>V36</f>
        <v>#DIV/0!</v>
      </c>
      <c r="J36" s="2595"/>
      <c r="K36" s="1594"/>
      <c r="L36" s="2126"/>
      <c r="M36" s="2127"/>
      <c r="N36" s="2116"/>
      <c r="O36" s="2127"/>
      <c r="P36" s="3467" t="str">
        <f>A36</f>
        <v>比较价格（元/平方米）</v>
      </c>
      <c r="Q36" s="3467"/>
      <c r="R36" s="3582" t="e">
        <f>IF(F1="售价",ROUND(PRODUCT(R35,AA7:AA34),0),ROUND(PRODUCT(R35,AA7:AA34),1))</f>
        <v>#DIV/0!</v>
      </c>
      <c r="S36" s="3582"/>
      <c r="T36" s="3582" t="e">
        <f>IF(F1="售价",ROUND(PRODUCT(T35,AB7:AB34),0),ROUND(PRODUCT(T35,AB7:AB34),1))</f>
        <v>#DIV/0!</v>
      </c>
      <c r="U36" s="3582"/>
      <c r="V36" s="3582" t="e">
        <f>IF(F1="售价",ROUND(PRODUCT(V35,AC7:AC34),0),ROUND(PRODUCT(V35,AC7:AC34),1))</f>
        <v>#DIV/0!</v>
      </c>
      <c r="W36" s="3582"/>
      <c r="X36" s="1542"/>
      <c r="Y36" s="1542"/>
      <c r="Z36" s="1542"/>
      <c r="AA36" s="1542"/>
      <c r="AB36" s="1542"/>
      <c r="AC36" s="1542"/>
    </row>
    <row r="37" spans="1:29" ht="15.75" thickBot="1">
      <c r="A37" s="620" t="s">
        <v>2928</v>
      </c>
      <c r="B37" s="621"/>
      <c r="C37" s="2597" t="e">
        <f>R37</f>
        <v>#DIV/0!</v>
      </c>
      <c r="D37" s="2597"/>
      <c r="E37" s="2597"/>
      <c r="F37" s="2597"/>
      <c r="G37" s="2597"/>
      <c r="H37" s="2597"/>
      <c r="I37" s="2597"/>
      <c r="J37" s="2597"/>
      <c r="K37" s="1595"/>
      <c r="L37" s="2126"/>
      <c r="M37" s="2127"/>
      <c r="N37" s="2127"/>
      <c r="O37" s="2127"/>
      <c r="P37" s="3464" t="str">
        <f>A37</f>
        <v>估价对象XX用房的比较价格（楼面单价，元/平方米）</v>
      </c>
      <c r="Q37" s="3465"/>
      <c r="R37" s="3581" t="e">
        <f>IF(F1="售价",ROUND(AVERAGE(R36:V36),0),ROUND(AVERAGE(R36:V36),1))</f>
        <v>#DIV/0!</v>
      </c>
      <c r="S37" s="3581"/>
      <c r="T37" s="3581"/>
      <c r="U37" s="3581"/>
      <c r="V37" s="3581"/>
      <c r="W37" s="3581"/>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5">
      <c r="A46" s="644" t="s">
        <v>529</v>
      </c>
      <c r="B46" s="645"/>
      <c r="C46" s="2754" t="str">
        <f>YEAR(C7)&amp;"-"&amp;MONTH(C7)</f>
        <v>2019-8</v>
      </c>
      <c r="D46" s="2756">
        <f>EDATE(C46,-1)</f>
        <v>43647</v>
      </c>
      <c r="E46" s="2756">
        <f t="shared" ref="E46:O46" si="16">EDATE(D46,-1)</f>
        <v>43617</v>
      </c>
      <c r="F46" s="2756">
        <f t="shared" si="16"/>
        <v>43586</v>
      </c>
      <c r="G46" s="2756">
        <f t="shared" si="16"/>
        <v>43556</v>
      </c>
      <c r="H46" s="2756">
        <f t="shared" si="16"/>
        <v>43525</v>
      </c>
      <c r="I46" s="2756">
        <f t="shared" si="16"/>
        <v>43497</v>
      </c>
      <c r="J46" s="2756">
        <f t="shared" si="16"/>
        <v>43466</v>
      </c>
      <c r="K46" s="2756">
        <f t="shared" si="16"/>
        <v>43435</v>
      </c>
      <c r="L46" s="2756">
        <f t="shared" si="16"/>
        <v>43405</v>
      </c>
      <c r="M46" s="2756">
        <f t="shared" si="16"/>
        <v>43374</v>
      </c>
      <c r="N46" s="2756">
        <f t="shared" si="16"/>
        <v>43344</v>
      </c>
      <c r="O46" s="2756">
        <f t="shared" si="16"/>
        <v>43313</v>
      </c>
      <c r="P46" s="2142"/>
      <c r="Q46" s="2143"/>
      <c r="R46" s="2143"/>
      <c r="S46" s="2143"/>
      <c r="T46" s="2143"/>
      <c r="U46" s="2143"/>
      <c r="V46" s="2143"/>
      <c r="W46" s="2143"/>
      <c r="X46" s="2143"/>
      <c r="Y46" s="2143"/>
      <c r="Z46" s="2143"/>
      <c r="AA46" s="2143"/>
      <c r="AB46" s="2143"/>
      <c r="AC46" s="2143"/>
    </row>
    <row r="47" spans="1:29" s="1214" customFormat="1" ht="15">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4" customFormat="1" ht="15.7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4" customFormat="1" ht="15">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4" customFormat="1" ht="15.75"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5.75"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5.75" thickTop="1">
      <c r="A55" s="668"/>
      <c r="B55" s="933">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5.75"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3" customFormat="1" ht="15.75"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3" customFormat="1" ht="15.75"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3" customFormat="1" ht="15.75"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3" customFormat="1" ht="15.75"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75" thickTop="1">
      <c r="A63" s="668"/>
      <c r="B63" s="1878" t="s">
        <v>2552</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2558" t="s">
        <v>2553</v>
      </c>
      <c r="C65" s="2559" t="s">
        <v>2554</v>
      </c>
      <c r="D65" s="2559" t="s">
        <v>2555</v>
      </c>
      <c r="E65" s="2559" t="s">
        <v>2556</v>
      </c>
      <c r="F65" s="2559" t="s">
        <v>2557</v>
      </c>
      <c r="G65" s="2559" t="s">
        <v>2558</v>
      </c>
      <c r="H65" s="673"/>
      <c r="I65" s="673"/>
      <c r="J65" s="673"/>
      <c r="K65" s="673"/>
      <c r="L65" s="673"/>
      <c r="M65" s="2562"/>
      <c r="N65" s="2148"/>
      <c r="O65" s="2148"/>
      <c r="P65" s="2147"/>
      <c r="Q65" s="2140"/>
      <c r="R65" s="2127"/>
      <c r="S65" s="2127"/>
      <c r="T65" s="2127"/>
      <c r="U65" s="2127"/>
      <c r="V65" s="2127"/>
      <c r="W65" s="2127"/>
      <c r="X65" s="2127"/>
      <c r="Y65" s="2127"/>
      <c r="Z65" s="2127"/>
      <c r="AA65" s="2127"/>
      <c r="AB65" s="2127"/>
      <c r="AC65" s="2127"/>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48"/>
      <c r="O66" s="2148"/>
      <c r="P66" s="2147"/>
      <c r="Q66" s="2140"/>
      <c r="R66" s="2127"/>
      <c r="S66" s="2127"/>
      <c r="T66" s="2127"/>
      <c r="U66" s="2127"/>
      <c r="V66" s="2127"/>
      <c r="W66" s="2127"/>
      <c r="X66" s="2127"/>
      <c r="Y66" s="2127"/>
      <c r="Z66" s="2127"/>
      <c r="AA66" s="2127"/>
      <c r="AB66" s="2127"/>
      <c r="AC66" s="2127"/>
    </row>
    <row r="67" spans="1:29" ht="15.7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4" customFormat="1" ht="15.75" thickTop="1">
      <c r="A71" s="708"/>
      <c r="B71" s="672">
        <f>B23</f>
        <v>111</v>
      </c>
      <c r="C71" s="540"/>
      <c r="D71" s="540"/>
      <c r="E71" s="540"/>
      <c r="F71" s="540"/>
      <c r="G71" s="687"/>
      <c r="H71" s="687"/>
      <c r="I71" s="687"/>
      <c r="J71" s="687"/>
      <c r="K71" s="687"/>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5.75"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4" customFormat="1" ht="15.75" thickTop="1">
      <c r="A73" s="708"/>
      <c r="B73" s="672">
        <f>B24</f>
        <v>111</v>
      </c>
      <c r="C73" s="540"/>
      <c r="D73" s="540"/>
      <c r="E73" s="540"/>
      <c r="F73" s="540"/>
      <c r="G73" s="687"/>
      <c r="H73" s="687"/>
      <c r="I73" s="687"/>
      <c r="J73" s="687"/>
      <c r="K73" s="687"/>
      <c r="L73" s="687"/>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3" customFormat="1" ht="15.75"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3" customFormat="1" ht="15.75"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ht="15">
      <c r="A80" s="668"/>
      <c r="B80" s="680"/>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3" customFormat="1" ht="15" thickTop="1">
      <c r="A89" s="727"/>
      <c r="B89" s="672" t="s">
        <v>827</v>
      </c>
      <c r="C89" s="687"/>
      <c r="D89" s="687"/>
      <c r="E89" s="687"/>
      <c r="F89" s="687"/>
      <c r="G89" s="687"/>
      <c r="H89" s="687"/>
      <c r="I89" s="687"/>
      <c r="J89" s="687"/>
      <c r="K89" s="687"/>
      <c r="L89" s="687"/>
      <c r="M89" s="889"/>
      <c r="N89" s="2149"/>
      <c r="O89" s="2149"/>
      <c r="P89" s="2150"/>
      <c r="Q89" s="2151"/>
      <c r="R89" s="2152"/>
      <c r="S89" s="2152"/>
      <c r="T89" s="2152"/>
      <c r="U89" s="2152"/>
      <c r="V89" s="2152"/>
      <c r="W89" s="2152"/>
      <c r="X89" s="2152"/>
      <c r="Y89" s="2152"/>
      <c r="Z89" s="2152"/>
      <c r="AA89" s="2152"/>
      <c r="AB89" s="2152"/>
      <c r="AC89" s="2152"/>
    </row>
    <row r="90" spans="1:29" s="1333" customFormat="1" ht="15.75"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5"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5.75"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5"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5" thickTop="1">
      <c r="A95" s="734"/>
      <c r="B95" s="915">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5.75"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6"/>
    <col min="36" max="16384" width="9" style="1244"/>
  </cols>
  <sheetData>
    <row r="1" spans="1:45" s="256" customFormat="1" ht="14.25" customHeight="1" thickBot="1">
      <c r="A1" s="364"/>
      <c r="B1" s="2216" t="s">
        <v>2301</v>
      </c>
      <c r="C1" s="3595" t="s">
        <v>2302</v>
      </c>
      <c r="D1" s="3596"/>
      <c r="E1" s="3596"/>
      <c r="F1" s="3596"/>
      <c r="G1" s="3596"/>
      <c r="H1" s="3596"/>
      <c r="I1" s="3596"/>
      <c r="J1" s="3596"/>
      <c r="K1" s="3596"/>
      <c r="L1" s="3596"/>
      <c r="M1" s="3596"/>
      <c r="N1" s="3596"/>
      <c r="O1" s="3596"/>
      <c r="P1" s="3596"/>
      <c r="Q1" s="3596"/>
      <c r="R1" s="3596"/>
      <c r="S1" s="3597"/>
      <c r="T1" s="2216" t="s">
        <v>2303</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2304</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5" t="s">
        <v>2921</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7" t="s">
        <v>2920</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7" t="s">
        <v>2919</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6"/>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5" t="s">
        <v>2932</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5" t="s">
        <v>2918</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5" t="s">
        <v>2917</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2305</v>
      </c>
      <c r="B17" s="2260" t="s">
        <v>2306</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2"/>
      <c r="D19" s="1972"/>
      <c r="E19" s="1972"/>
      <c r="F19" s="1972"/>
      <c r="G19" s="1972"/>
      <c r="H19" s="1972"/>
      <c r="I19" s="1972"/>
      <c r="J19" s="1972"/>
      <c r="K19" s="1972"/>
      <c r="L19" s="1972"/>
      <c r="M19" s="1972"/>
      <c r="N19" s="1972"/>
      <c r="O19" s="1972"/>
      <c r="P19" s="1972"/>
      <c r="Q19" s="1972"/>
      <c r="R19" s="2207"/>
      <c r="S19" s="2010"/>
    </row>
    <row r="20" spans="1:45" ht="15.75">
      <c r="A20" s="958" t="s">
        <v>828</v>
      </c>
      <c r="B20" s="774">
        <f>S22</f>
        <v>0</v>
      </c>
      <c r="C20" s="1972"/>
      <c r="D20" s="1972"/>
      <c r="E20" s="1972"/>
      <c r="F20" s="1972"/>
      <c r="G20" s="1972"/>
      <c r="H20" s="1972"/>
      <c r="I20" s="1972"/>
      <c r="J20" s="1972"/>
      <c r="K20" s="1972"/>
      <c r="L20" s="1972"/>
      <c r="M20" s="1972"/>
      <c r="N20" s="1972"/>
      <c r="O20" s="1972"/>
      <c r="P20" s="1972"/>
      <c r="Q20" s="1972"/>
      <c r="R20" s="2207"/>
      <c r="S20" s="2010"/>
    </row>
    <row r="21" spans="1:45" ht="15.75">
      <c r="A21" s="958" t="s">
        <v>829</v>
      </c>
      <c r="B21" s="774" t="e">
        <f>R22</f>
        <v>#DIV/0!</v>
      </c>
      <c r="C21" s="1972"/>
      <c r="D21" s="1972"/>
      <c r="E21" s="1972"/>
      <c r="F21" s="1972"/>
      <c r="G21" s="1972"/>
      <c r="H21" s="1972"/>
      <c r="I21" s="1972"/>
      <c r="J21" s="1972"/>
      <c r="K21" s="1972"/>
      <c r="L21" s="1972"/>
      <c r="M21" s="1972"/>
      <c r="N21" s="1972"/>
      <c r="O21" s="1972"/>
      <c r="P21" s="1972"/>
      <c r="Q21" s="1972"/>
      <c r="R21" s="2207"/>
      <c r="S21" s="2010"/>
    </row>
    <row r="22" spans="1:45">
      <c r="A22" s="798" t="s">
        <v>830</v>
      </c>
      <c r="B22" s="53">
        <f>SUM(B24:B10000)</f>
        <v>0</v>
      </c>
      <c r="C22" s="3592" t="s">
        <v>20</v>
      </c>
      <c r="D22" s="3593"/>
      <c r="E22" s="3593"/>
      <c r="F22" s="3593"/>
      <c r="G22" s="3593"/>
      <c r="H22" s="3593"/>
      <c r="I22" s="3593"/>
      <c r="J22" s="3593"/>
      <c r="K22" s="3593"/>
      <c r="L22" s="3593"/>
      <c r="M22" s="3593"/>
      <c r="N22" s="3593"/>
      <c r="O22" s="3593"/>
      <c r="P22" s="3593"/>
      <c r="Q22" s="3594"/>
      <c r="R22" s="489" t="e">
        <f>ROUND(S22*10000/B22,0)</f>
        <v>#DIV/0!</v>
      </c>
      <c r="S22" s="53">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7"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6"/>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6"/>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6"/>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6"/>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6"/>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6"/>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6"/>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6"/>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6"/>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6"/>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6"/>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6"/>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6"/>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6"/>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6"/>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6"/>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6"/>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6"/>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6"/>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6"/>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6"/>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6"/>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6"/>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6"/>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6"/>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6"/>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6"/>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6"/>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6"/>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6"/>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6"/>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6"/>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6"/>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6"/>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6"/>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6"/>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6"/>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6"/>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6"/>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6"/>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6"/>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6"/>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6"/>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6"/>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6"/>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6"/>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6"/>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6"/>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6"/>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6"/>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6"/>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6"/>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6"/>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6"/>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6"/>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6"/>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6"/>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6"/>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6"/>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6"/>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6"/>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6"/>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6"/>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6"/>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6"/>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6"/>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6"/>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6"/>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6"/>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6"/>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6"/>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6"/>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6"/>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6"/>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6"/>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6"/>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6"/>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6"/>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6"/>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6"/>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6"/>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6"/>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6"/>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6"/>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6"/>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6"/>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6"/>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6"/>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6"/>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6"/>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6"/>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6"/>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6"/>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6"/>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6"/>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6"/>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6"/>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6"/>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6"/>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6"/>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6"/>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6"/>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6"/>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6"/>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6"/>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6"/>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6"/>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6"/>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6"/>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6"/>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6"/>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6"/>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6"/>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6"/>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6"/>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6"/>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6"/>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6"/>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6"/>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6"/>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6"/>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6"/>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6"/>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6"/>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6"/>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6"/>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6"/>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6"/>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6"/>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6"/>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6"/>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6"/>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6"/>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6"/>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6"/>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6"/>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6"/>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6"/>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6"/>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6"/>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6"/>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6"/>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6"/>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6"/>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6"/>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6"/>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6"/>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6"/>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6"/>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6"/>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6"/>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6"/>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6"/>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6"/>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6"/>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6"/>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6"/>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6"/>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6"/>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6"/>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6"/>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6"/>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6"/>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6"/>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6"/>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6"/>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6"/>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6"/>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6"/>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6"/>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6"/>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6"/>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6"/>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6"/>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6"/>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6"/>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6"/>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6"/>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6"/>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6"/>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6"/>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6"/>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6"/>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6"/>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6"/>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6"/>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6"/>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6"/>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6"/>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6"/>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6"/>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6"/>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6"/>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6"/>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6"/>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6"/>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6"/>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6"/>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6"/>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6"/>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6"/>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6"/>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6"/>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6"/>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6"/>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6"/>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6"/>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6"/>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6"/>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6"/>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6"/>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6"/>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6"/>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6"/>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6"/>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6"/>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6"/>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6"/>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6"/>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6"/>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6"/>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6"/>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6"/>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6"/>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6"/>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6"/>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6"/>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6"/>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6"/>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6"/>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6"/>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6"/>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6"/>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6"/>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6"/>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6"/>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6"/>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6"/>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6"/>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6"/>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6"/>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6"/>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6"/>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6"/>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6"/>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6"/>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6"/>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6"/>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6"/>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6"/>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6"/>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6"/>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6"/>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6"/>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6"/>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6"/>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6"/>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6"/>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6"/>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6"/>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6"/>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6"/>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6"/>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6"/>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6"/>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6"/>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6"/>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6"/>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6"/>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6"/>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6"/>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6"/>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6"/>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6"/>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6"/>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6"/>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6"/>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6"/>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6"/>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6"/>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6"/>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6"/>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6"/>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6"/>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6"/>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6"/>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6"/>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6"/>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6"/>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6"/>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6"/>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6"/>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6"/>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6"/>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6"/>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6"/>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6"/>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6"/>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6"/>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6"/>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6"/>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6"/>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6"/>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6"/>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6"/>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6"/>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6"/>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6"/>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6"/>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6"/>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6"/>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6"/>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6"/>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6"/>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6"/>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6"/>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6"/>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6"/>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6"/>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6"/>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6"/>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6"/>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6"/>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6"/>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6"/>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6"/>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6"/>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6"/>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6"/>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6"/>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6"/>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6"/>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6"/>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6"/>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6"/>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6"/>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6"/>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6"/>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6"/>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6"/>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6"/>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6"/>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6"/>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6"/>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6"/>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6"/>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6"/>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6"/>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6"/>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6"/>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6"/>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6"/>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6"/>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6"/>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6"/>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6"/>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6"/>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6"/>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6"/>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6"/>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6"/>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6"/>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6"/>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6"/>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6"/>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6"/>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6"/>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6"/>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6"/>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6"/>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6"/>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6"/>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6"/>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6"/>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6"/>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6"/>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6"/>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6"/>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6"/>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6"/>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6"/>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6"/>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6"/>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6"/>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6"/>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6"/>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6"/>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6"/>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6"/>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6"/>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6"/>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6"/>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6"/>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6"/>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6"/>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6"/>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6"/>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6"/>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6"/>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6"/>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6"/>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6"/>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6"/>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6"/>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6"/>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6"/>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6"/>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6"/>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6"/>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6"/>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6"/>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6"/>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6"/>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6"/>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6"/>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6"/>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6"/>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6"/>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6"/>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6"/>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6"/>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6"/>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6"/>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6"/>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6"/>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6"/>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6"/>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6"/>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6"/>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6"/>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6"/>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6"/>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6"/>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6"/>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6"/>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6"/>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6"/>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6"/>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6"/>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6"/>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6"/>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6"/>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6"/>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6"/>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6"/>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6"/>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6"/>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6"/>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6"/>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6"/>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6"/>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6"/>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6"/>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6"/>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6"/>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6"/>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6"/>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6"/>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6"/>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6"/>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6"/>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6"/>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6"/>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6"/>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6"/>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6"/>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6"/>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6"/>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6"/>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6"/>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6"/>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6"/>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6"/>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6"/>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6"/>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6"/>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6"/>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6"/>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6"/>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6"/>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6"/>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6"/>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6"/>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6"/>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6"/>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6"/>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6"/>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6"/>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6"/>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6"/>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6"/>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6"/>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6"/>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6"/>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6"/>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6"/>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6"/>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6"/>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6"/>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6"/>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outlinePr summaryBelow="0" summaryRight="0"/>
    <pageSetUpPr autoPageBreaks="0" fitToPage="1"/>
  </sheetPr>
  <dimension ref="A1:N39"/>
  <sheetViews>
    <sheetView topLeftCell="A262" workbookViewId="0">
      <selection activeCell="A267" sqref="A267"/>
    </sheetView>
  </sheetViews>
  <sheetFormatPr defaultRowHeight="12.75"/>
  <cols>
    <col min="1" max="1" width="34.375" style="3203" customWidth="1"/>
    <col min="2" max="2" width="6.25" style="3203" customWidth="1"/>
    <col min="3" max="3" width="13.875" style="3203" customWidth="1"/>
    <col min="4" max="4" width="7.875" style="3203" customWidth="1"/>
    <col min="5" max="6" width="13.875" style="3203" customWidth="1"/>
    <col min="7" max="7" width="25.75" style="3203" customWidth="1"/>
    <col min="8" max="8" width="9" style="3203" customWidth="1"/>
    <col min="9" max="9" width="29.375" style="3203" customWidth="1"/>
    <col min="10" max="11" width="10.625" style="3203" customWidth="1"/>
    <col min="12" max="12" width="14.375" style="3203" customWidth="1"/>
    <col min="13" max="13" width="6.25" style="3203" customWidth="1"/>
    <col min="14" max="14" width="7.875" style="3203" customWidth="1"/>
    <col min="15" max="256" width="9" style="3203"/>
    <col min="257" max="257" width="34.375" style="3203" customWidth="1"/>
    <col min="258" max="258" width="6.25" style="3203" customWidth="1"/>
    <col min="259" max="259" width="13.875" style="3203" customWidth="1"/>
    <col min="260" max="260" width="7.875" style="3203" customWidth="1"/>
    <col min="261" max="262" width="13.875" style="3203" customWidth="1"/>
    <col min="263" max="263" width="25.75" style="3203" customWidth="1"/>
    <col min="264" max="264" width="9" style="3203" customWidth="1"/>
    <col min="265" max="265" width="29.375" style="3203" customWidth="1"/>
    <col min="266" max="267" width="10.625" style="3203" customWidth="1"/>
    <col min="268" max="268" width="14.375" style="3203" customWidth="1"/>
    <col min="269" max="269" width="6.25" style="3203" customWidth="1"/>
    <col min="270" max="270" width="7.875" style="3203" customWidth="1"/>
    <col min="271" max="512" width="9" style="3203"/>
    <col min="513" max="513" width="34.375" style="3203" customWidth="1"/>
    <col min="514" max="514" width="6.25" style="3203" customWidth="1"/>
    <col min="515" max="515" width="13.875" style="3203" customWidth="1"/>
    <col min="516" max="516" width="7.875" style="3203" customWidth="1"/>
    <col min="517" max="518" width="13.875" style="3203" customWidth="1"/>
    <col min="519" max="519" width="25.75" style="3203" customWidth="1"/>
    <col min="520" max="520" width="9" style="3203" customWidth="1"/>
    <col min="521" max="521" width="29.375" style="3203" customWidth="1"/>
    <col min="522" max="523" width="10.625" style="3203" customWidth="1"/>
    <col min="524" max="524" width="14.375" style="3203" customWidth="1"/>
    <col min="525" max="525" width="6.25" style="3203" customWidth="1"/>
    <col min="526" max="526" width="7.875" style="3203" customWidth="1"/>
    <col min="527" max="768" width="9" style="3203"/>
    <col min="769" max="769" width="34.375" style="3203" customWidth="1"/>
    <col min="770" max="770" width="6.25" style="3203" customWidth="1"/>
    <col min="771" max="771" width="13.875" style="3203" customWidth="1"/>
    <col min="772" max="772" width="7.875" style="3203" customWidth="1"/>
    <col min="773" max="774" width="13.875" style="3203" customWidth="1"/>
    <col min="775" max="775" width="25.75" style="3203" customWidth="1"/>
    <col min="776" max="776" width="9" style="3203" customWidth="1"/>
    <col min="777" max="777" width="29.375" style="3203" customWidth="1"/>
    <col min="778" max="779" width="10.625" style="3203" customWidth="1"/>
    <col min="780" max="780" width="14.375" style="3203" customWidth="1"/>
    <col min="781" max="781" width="6.25" style="3203" customWidth="1"/>
    <col min="782" max="782" width="7.875" style="3203" customWidth="1"/>
    <col min="783" max="1024" width="9" style="3203"/>
    <col min="1025" max="1025" width="34.375" style="3203" customWidth="1"/>
    <col min="1026" max="1026" width="6.25" style="3203" customWidth="1"/>
    <col min="1027" max="1027" width="13.875" style="3203" customWidth="1"/>
    <col min="1028" max="1028" width="7.875" style="3203" customWidth="1"/>
    <col min="1029" max="1030" width="13.875" style="3203" customWidth="1"/>
    <col min="1031" max="1031" width="25.75" style="3203" customWidth="1"/>
    <col min="1032" max="1032" width="9" style="3203" customWidth="1"/>
    <col min="1033" max="1033" width="29.375" style="3203" customWidth="1"/>
    <col min="1034" max="1035" width="10.625" style="3203" customWidth="1"/>
    <col min="1036" max="1036" width="14.375" style="3203" customWidth="1"/>
    <col min="1037" max="1037" width="6.25" style="3203" customWidth="1"/>
    <col min="1038" max="1038" width="7.875" style="3203" customWidth="1"/>
    <col min="1039" max="1280" width="9" style="3203"/>
    <col min="1281" max="1281" width="34.375" style="3203" customWidth="1"/>
    <col min="1282" max="1282" width="6.25" style="3203" customWidth="1"/>
    <col min="1283" max="1283" width="13.875" style="3203" customWidth="1"/>
    <col min="1284" max="1284" width="7.875" style="3203" customWidth="1"/>
    <col min="1285" max="1286" width="13.875" style="3203" customWidth="1"/>
    <col min="1287" max="1287" width="25.75" style="3203" customWidth="1"/>
    <col min="1288" max="1288" width="9" style="3203" customWidth="1"/>
    <col min="1289" max="1289" width="29.375" style="3203" customWidth="1"/>
    <col min="1290" max="1291" width="10.625" style="3203" customWidth="1"/>
    <col min="1292" max="1292" width="14.375" style="3203" customWidth="1"/>
    <col min="1293" max="1293" width="6.25" style="3203" customWidth="1"/>
    <col min="1294" max="1294" width="7.875" style="3203" customWidth="1"/>
    <col min="1295" max="1536" width="9" style="3203"/>
    <col min="1537" max="1537" width="34.375" style="3203" customWidth="1"/>
    <col min="1538" max="1538" width="6.25" style="3203" customWidth="1"/>
    <col min="1539" max="1539" width="13.875" style="3203" customWidth="1"/>
    <col min="1540" max="1540" width="7.875" style="3203" customWidth="1"/>
    <col min="1541" max="1542" width="13.875" style="3203" customWidth="1"/>
    <col min="1543" max="1543" width="25.75" style="3203" customWidth="1"/>
    <col min="1544" max="1544" width="9" style="3203" customWidth="1"/>
    <col min="1545" max="1545" width="29.375" style="3203" customWidth="1"/>
    <col min="1546" max="1547" width="10.625" style="3203" customWidth="1"/>
    <col min="1548" max="1548" width="14.375" style="3203" customWidth="1"/>
    <col min="1549" max="1549" width="6.25" style="3203" customWidth="1"/>
    <col min="1550" max="1550" width="7.875" style="3203" customWidth="1"/>
    <col min="1551" max="1792" width="9" style="3203"/>
    <col min="1793" max="1793" width="34.375" style="3203" customWidth="1"/>
    <col min="1794" max="1794" width="6.25" style="3203" customWidth="1"/>
    <col min="1795" max="1795" width="13.875" style="3203" customWidth="1"/>
    <col min="1796" max="1796" width="7.875" style="3203" customWidth="1"/>
    <col min="1797" max="1798" width="13.875" style="3203" customWidth="1"/>
    <col min="1799" max="1799" width="25.75" style="3203" customWidth="1"/>
    <col min="1800" max="1800" width="9" style="3203" customWidth="1"/>
    <col min="1801" max="1801" width="29.375" style="3203" customWidth="1"/>
    <col min="1802" max="1803" width="10.625" style="3203" customWidth="1"/>
    <col min="1804" max="1804" width="14.375" style="3203" customWidth="1"/>
    <col min="1805" max="1805" width="6.25" style="3203" customWidth="1"/>
    <col min="1806" max="1806" width="7.875" style="3203" customWidth="1"/>
    <col min="1807" max="2048" width="9" style="3203"/>
    <col min="2049" max="2049" width="34.375" style="3203" customWidth="1"/>
    <col min="2050" max="2050" width="6.25" style="3203" customWidth="1"/>
    <col min="2051" max="2051" width="13.875" style="3203" customWidth="1"/>
    <col min="2052" max="2052" width="7.875" style="3203" customWidth="1"/>
    <col min="2053" max="2054" width="13.875" style="3203" customWidth="1"/>
    <col min="2055" max="2055" width="25.75" style="3203" customWidth="1"/>
    <col min="2056" max="2056" width="9" style="3203" customWidth="1"/>
    <col min="2057" max="2057" width="29.375" style="3203" customWidth="1"/>
    <col min="2058" max="2059" width="10.625" style="3203" customWidth="1"/>
    <col min="2060" max="2060" width="14.375" style="3203" customWidth="1"/>
    <col min="2061" max="2061" width="6.25" style="3203" customWidth="1"/>
    <col min="2062" max="2062" width="7.875" style="3203" customWidth="1"/>
    <col min="2063" max="2304" width="9" style="3203"/>
    <col min="2305" max="2305" width="34.375" style="3203" customWidth="1"/>
    <col min="2306" max="2306" width="6.25" style="3203" customWidth="1"/>
    <col min="2307" max="2307" width="13.875" style="3203" customWidth="1"/>
    <col min="2308" max="2308" width="7.875" style="3203" customWidth="1"/>
    <col min="2309" max="2310" width="13.875" style="3203" customWidth="1"/>
    <col min="2311" max="2311" width="25.75" style="3203" customWidth="1"/>
    <col min="2312" max="2312" width="9" style="3203" customWidth="1"/>
    <col min="2313" max="2313" width="29.375" style="3203" customWidth="1"/>
    <col min="2314" max="2315" width="10.625" style="3203" customWidth="1"/>
    <col min="2316" max="2316" width="14.375" style="3203" customWidth="1"/>
    <col min="2317" max="2317" width="6.25" style="3203" customWidth="1"/>
    <col min="2318" max="2318" width="7.875" style="3203" customWidth="1"/>
    <col min="2319" max="2560" width="9" style="3203"/>
    <col min="2561" max="2561" width="34.375" style="3203" customWidth="1"/>
    <col min="2562" max="2562" width="6.25" style="3203" customWidth="1"/>
    <col min="2563" max="2563" width="13.875" style="3203" customWidth="1"/>
    <col min="2564" max="2564" width="7.875" style="3203" customWidth="1"/>
    <col min="2565" max="2566" width="13.875" style="3203" customWidth="1"/>
    <col min="2567" max="2567" width="25.75" style="3203" customWidth="1"/>
    <col min="2568" max="2568" width="9" style="3203" customWidth="1"/>
    <col min="2569" max="2569" width="29.375" style="3203" customWidth="1"/>
    <col min="2570" max="2571" width="10.625" style="3203" customWidth="1"/>
    <col min="2572" max="2572" width="14.375" style="3203" customWidth="1"/>
    <col min="2573" max="2573" width="6.25" style="3203" customWidth="1"/>
    <col min="2574" max="2574" width="7.875" style="3203" customWidth="1"/>
    <col min="2575" max="2816" width="9" style="3203"/>
    <col min="2817" max="2817" width="34.375" style="3203" customWidth="1"/>
    <col min="2818" max="2818" width="6.25" style="3203" customWidth="1"/>
    <col min="2819" max="2819" width="13.875" style="3203" customWidth="1"/>
    <col min="2820" max="2820" width="7.875" style="3203" customWidth="1"/>
    <col min="2821" max="2822" width="13.875" style="3203" customWidth="1"/>
    <col min="2823" max="2823" width="25.75" style="3203" customWidth="1"/>
    <col min="2824" max="2824" width="9" style="3203" customWidth="1"/>
    <col min="2825" max="2825" width="29.375" style="3203" customWidth="1"/>
    <col min="2826" max="2827" width="10.625" style="3203" customWidth="1"/>
    <col min="2828" max="2828" width="14.375" style="3203" customWidth="1"/>
    <col min="2829" max="2829" width="6.25" style="3203" customWidth="1"/>
    <col min="2830" max="2830" width="7.875" style="3203" customWidth="1"/>
    <col min="2831" max="3072" width="9" style="3203"/>
    <col min="3073" max="3073" width="34.375" style="3203" customWidth="1"/>
    <col min="3074" max="3074" width="6.25" style="3203" customWidth="1"/>
    <col min="3075" max="3075" width="13.875" style="3203" customWidth="1"/>
    <col min="3076" max="3076" width="7.875" style="3203" customWidth="1"/>
    <col min="3077" max="3078" width="13.875" style="3203" customWidth="1"/>
    <col min="3079" max="3079" width="25.75" style="3203" customWidth="1"/>
    <col min="3080" max="3080" width="9" style="3203" customWidth="1"/>
    <col min="3081" max="3081" width="29.375" style="3203" customWidth="1"/>
    <col min="3082" max="3083" width="10.625" style="3203" customWidth="1"/>
    <col min="3084" max="3084" width="14.375" style="3203" customWidth="1"/>
    <col min="3085" max="3085" width="6.25" style="3203" customWidth="1"/>
    <col min="3086" max="3086" width="7.875" style="3203" customWidth="1"/>
    <col min="3087" max="3328" width="9" style="3203"/>
    <col min="3329" max="3329" width="34.375" style="3203" customWidth="1"/>
    <col min="3330" max="3330" width="6.25" style="3203" customWidth="1"/>
    <col min="3331" max="3331" width="13.875" style="3203" customWidth="1"/>
    <col min="3332" max="3332" width="7.875" style="3203" customWidth="1"/>
    <col min="3333" max="3334" width="13.875" style="3203" customWidth="1"/>
    <col min="3335" max="3335" width="25.75" style="3203" customWidth="1"/>
    <col min="3336" max="3336" width="9" style="3203" customWidth="1"/>
    <col min="3337" max="3337" width="29.375" style="3203" customWidth="1"/>
    <col min="3338" max="3339" width="10.625" style="3203" customWidth="1"/>
    <col min="3340" max="3340" width="14.375" style="3203" customWidth="1"/>
    <col min="3341" max="3341" width="6.25" style="3203" customWidth="1"/>
    <col min="3342" max="3342" width="7.875" style="3203" customWidth="1"/>
    <col min="3343" max="3584" width="9" style="3203"/>
    <col min="3585" max="3585" width="34.375" style="3203" customWidth="1"/>
    <col min="3586" max="3586" width="6.25" style="3203" customWidth="1"/>
    <col min="3587" max="3587" width="13.875" style="3203" customWidth="1"/>
    <col min="3588" max="3588" width="7.875" style="3203" customWidth="1"/>
    <col min="3589" max="3590" width="13.875" style="3203" customWidth="1"/>
    <col min="3591" max="3591" width="25.75" style="3203" customWidth="1"/>
    <col min="3592" max="3592" width="9" style="3203" customWidth="1"/>
    <col min="3593" max="3593" width="29.375" style="3203" customWidth="1"/>
    <col min="3594" max="3595" width="10.625" style="3203" customWidth="1"/>
    <col min="3596" max="3596" width="14.375" style="3203" customWidth="1"/>
    <col min="3597" max="3597" width="6.25" style="3203" customWidth="1"/>
    <col min="3598" max="3598" width="7.875" style="3203" customWidth="1"/>
    <col min="3599" max="3840" width="9" style="3203"/>
    <col min="3841" max="3841" width="34.375" style="3203" customWidth="1"/>
    <col min="3842" max="3842" width="6.25" style="3203" customWidth="1"/>
    <col min="3843" max="3843" width="13.875" style="3203" customWidth="1"/>
    <col min="3844" max="3844" width="7.875" style="3203" customWidth="1"/>
    <col min="3845" max="3846" width="13.875" style="3203" customWidth="1"/>
    <col min="3847" max="3847" width="25.75" style="3203" customWidth="1"/>
    <col min="3848" max="3848" width="9" style="3203" customWidth="1"/>
    <col min="3849" max="3849" width="29.375" style="3203" customWidth="1"/>
    <col min="3850" max="3851" width="10.625" style="3203" customWidth="1"/>
    <col min="3852" max="3852" width="14.375" style="3203" customWidth="1"/>
    <col min="3853" max="3853" width="6.25" style="3203" customWidth="1"/>
    <col min="3854" max="3854" width="7.875" style="3203" customWidth="1"/>
    <col min="3855" max="4096" width="9" style="3203"/>
    <col min="4097" max="4097" width="34.375" style="3203" customWidth="1"/>
    <col min="4098" max="4098" width="6.25" style="3203" customWidth="1"/>
    <col min="4099" max="4099" width="13.875" style="3203" customWidth="1"/>
    <col min="4100" max="4100" width="7.875" style="3203" customWidth="1"/>
    <col min="4101" max="4102" width="13.875" style="3203" customWidth="1"/>
    <col min="4103" max="4103" width="25.75" style="3203" customWidth="1"/>
    <col min="4104" max="4104" width="9" style="3203" customWidth="1"/>
    <col min="4105" max="4105" width="29.375" style="3203" customWidth="1"/>
    <col min="4106" max="4107" width="10.625" style="3203" customWidth="1"/>
    <col min="4108" max="4108" width="14.375" style="3203" customWidth="1"/>
    <col min="4109" max="4109" width="6.25" style="3203" customWidth="1"/>
    <col min="4110" max="4110" width="7.875" style="3203" customWidth="1"/>
    <col min="4111" max="4352" width="9" style="3203"/>
    <col min="4353" max="4353" width="34.375" style="3203" customWidth="1"/>
    <col min="4354" max="4354" width="6.25" style="3203" customWidth="1"/>
    <col min="4355" max="4355" width="13.875" style="3203" customWidth="1"/>
    <col min="4356" max="4356" width="7.875" style="3203" customWidth="1"/>
    <col min="4357" max="4358" width="13.875" style="3203" customWidth="1"/>
    <col min="4359" max="4359" width="25.75" style="3203" customWidth="1"/>
    <col min="4360" max="4360" width="9" style="3203" customWidth="1"/>
    <col min="4361" max="4361" width="29.375" style="3203" customWidth="1"/>
    <col min="4362" max="4363" width="10.625" style="3203" customWidth="1"/>
    <col min="4364" max="4364" width="14.375" style="3203" customWidth="1"/>
    <col min="4365" max="4365" width="6.25" style="3203" customWidth="1"/>
    <col min="4366" max="4366" width="7.875" style="3203" customWidth="1"/>
    <col min="4367" max="4608" width="9" style="3203"/>
    <col min="4609" max="4609" width="34.375" style="3203" customWidth="1"/>
    <col min="4610" max="4610" width="6.25" style="3203" customWidth="1"/>
    <col min="4611" max="4611" width="13.875" style="3203" customWidth="1"/>
    <col min="4612" max="4612" width="7.875" style="3203" customWidth="1"/>
    <col min="4613" max="4614" width="13.875" style="3203" customWidth="1"/>
    <col min="4615" max="4615" width="25.75" style="3203" customWidth="1"/>
    <col min="4616" max="4616" width="9" style="3203" customWidth="1"/>
    <col min="4617" max="4617" width="29.375" style="3203" customWidth="1"/>
    <col min="4618" max="4619" width="10.625" style="3203" customWidth="1"/>
    <col min="4620" max="4620" width="14.375" style="3203" customWidth="1"/>
    <col min="4621" max="4621" width="6.25" style="3203" customWidth="1"/>
    <col min="4622" max="4622" width="7.875" style="3203" customWidth="1"/>
    <col min="4623" max="4864" width="9" style="3203"/>
    <col min="4865" max="4865" width="34.375" style="3203" customWidth="1"/>
    <col min="4866" max="4866" width="6.25" style="3203" customWidth="1"/>
    <col min="4867" max="4867" width="13.875" style="3203" customWidth="1"/>
    <col min="4868" max="4868" width="7.875" style="3203" customWidth="1"/>
    <col min="4869" max="4870" width="13.875" style="3203" customWidth="1"/>
    <col min="4871" max="4871" width="25.75" style="3203" customWidth="1"/>
    <col min="4872" max="4872" width="9" style="3203" customWidth="1"/>
    <col min="4873" max="4873" width="29.375" style="3203" customWidth="1"/>
    <col min="4874" max="4875" width="10.625" style="3203" customWidth="1"/>
    <col min="4876" max="4876" width="14.375" style="3203" customWidth="1"/>
    <col min="4877" max="4877" width="6.25" style="3203" customWidth="1"/>
    <col min="4878" max="4878" width="7.875" style="3203" customWidth="1"/>
    <col min="4879" max="5120" width="9" style="3203"/>
    <col min="5121" max="5121" width="34.375" style="3203" customWidth="1"/>
    <col min="5122" max="5122" width="6.25" style="3203" customWidth="1"/>
    <col min="5123" max="5123" width="13.875" style="3203" customWidth="1"/>
    <col min="5124" max="5124" width="7.875" style="3203" customWidth="1"/>
    <col min="5125" max="5126" width="13.875" style="3203" customWidth="1"/>
    <col min="5127" max="5127" width="25.75" style="3203" customWidth="1"/>
    <col min="5128" max="5128" width="9" style="3203" customWidth="1"/>
    <col min="5129" max="5129" width="29.375" style="3203" customWidth="1"/>
    <col min="5130" max="5131" width="10.625" style="3203" customWidth="1"/>
    <col min="5132" max="5132" width="14.375" style="3203" customWidth="1"/>
    <col min="5133" max="5133" width="6.25" style="3203" customWidth="1"/>
    <col min="5134" max="5134" width="7.875" style="3203" customWidth="1"/>
    <col min="5135" max="5376" width="9" style="3203"/>
    <col min="5377" max="5377" width="34.375" style="3203" customWidth="1"/>
    <col min="5378" max="5378" width="6.25" style="3203" customWidth="1"/>
    <col min="5379" max="5379" width="13.875" style="3203" customWidth="1"/>
    <col min="5380" max="5380" width="7.875" style="3203" customWidth="1"/>
    <col min="5381" max="5382" width="13.875" style="3203" customWidth="1"/>
    <col min="5383" max="5383" width="25.75" style="3203" customWidth="1"/>
    <col min="5384" max="5384" width="9" style="3203" customWidth="1"/>
    <col min="5385" max="5385" width="29.375" style="3203" customWidth="1"/>
    <col min="5386" max="5387" width="10.625" style="3203" customWidth="1"/>
    <col min="5388" max="5388" width="14.375" style="3203" customWidth="1"/>
    <col min="5389" max="5389" width="6.25" style="3203" customWidth="1"/>
    <col min="5390" max="5390" width="7.875" style="3203" customWidth="1"/>
    <col min="5391" max="5632" width="9" style="3203"/>
    <col min="5633" max="5633" width="34.375" style="3203" customWidth="1"/>
    <col min="5634" max="5634" width="6.25" style="3203" customWidth="1"/>
    <col min="5635" max="5635" width="13.875" style="3203" customWidth="1"/>
    <col min="5636" max="5636" width="7.875" style="3203" customWidth="1"/>
    <col min="5637" max="5638" width="13.875" style="3203" customWidth="1"/>
    <col min="5639" max="5639" width="25.75" style="3203" customWidth="1"/>
    <col min="5640" max="5640" width="9" style="3203" customWidth="1"/>
    <col min="5641" max="5641" width="29.375" style="3203" customWidth="1"/>
    <col min="5642" max="5643" width="10.625" style="3203" customWidth="1"/>
    <col min="5644" max="5644" width="14.375" style="3203" customWidth="1"/>
    <col min="5645" max="5645" width="6.25" style="3203" customWidth="1"/>
    <col min="5646" max="5646" width="7.875" style="3203" customWidth="1"/>
    <col min="5647" max="5888" width="9" style="3203"/>
    <col min="5889" max="5889" width="34.375" style="3203" customWidth="1"/>
    <col min="5890" max="5890" width="6.25" style="3203" customWidth="1"/>
    <col min="5891" max="5891" width="13.875" style="3203" customWidth="1"/>
    <col min="5892" max="5892" width="7.875" style="3203" customWidth="1"/>
    <col min="5893" max="5894" width="13.875" style="3203" customWidth="1"/>
    <col min="5895" max="5895" width="25.75" style="3203" customWidth="1"/>
    <col min="5896" max="5896" width="9" style="3203" customWidth="1"/>
    <col min="5897" max="5897" width="29.375" style="3203" customWidth="1"/>
    <col min="5898" max="5899" width="10.625" style="3203" customWidth="1"/>
    <col min="5900" max="5900" width="14.375" style="3203" customWidth="1"/>
    <col min="5901" max="5901" width="6.25" style="3203" customWidth="1"/>
    <col min="5902" max="5902" width="7.875" style="3203" customWidth="1"/>
    <col min="5903" max="6144" width="9" style="3203"/>
    <col min="6145" max="6145" width="34.375" style="3203" customWidth="1"/>
    <col min="6146" max="6146" width="6.25" style="3203" customWidth="1"/>
    <col min="6147" max="6147" width="13.875" style="3203" customWidth="1"/>
    <col min="6148" max="6148" width="7.875" style="3203" customWidth="1"/>
    <col min="6149" max="6150" width="13.875" style="3203" customWidth="1"/>
    <col min="6151" max="6151" width="25.75" style="3203" customWidth="1"/>
    <col min="6152" max="6152" width="9" style="3203" customWidth="1"/>
    <col min="6153" max="6153" width="29.375" style="3203" customWidth="1"/>
    <col min="6154" max="6155" width="10.625" style="3203" customWidth="1"/>
    <col min="6156" max="6156" width="14.375" style="3203" customWidth="1"/>
    <col min="6157" max="6157" width="6.25" style="3203" customWidth="1"/>
    <col min="6158" max="6158" width="7.875" style="3203" customWidth="1"/>
    <col min="6159" max="6400" width="9" style="3203"/>
    <col min="6401" max="6401" width="34.375" style="3203" customWidth="1"/>
    <col min="6402" max="6402" width="6.25" style="3203" customWidth="1"/>
    <col min="6403" max="6403" width="13.875" style="3203" customWidth="1"/>
    <col min="6404" max="6404" width="7.875" style="3203" customWidth="1"/>
    <col min="6405" max="6406" width="13.875" style="3203" customWidth="1"/>
    <col min="6407" max="6407" width="25.75" style="3203" customWidth="1"/>
    <col min="6408" max="6408" width="9" style="3203" customWidth="1"/>
    <col min="6409" max="6409" width="29.375" style="3203" customWidth="1"/>
    <col min="6410" max="6411" width="10.625" style="3203" customWidth="1"/>
    <col min="6412" max="6412" width="14.375" style="3203" customWidth="1"/>
    <col min="6413" max="6413" width="6.25" style="3203" customWidth="1"/>
    <col min="6414" max="6414" width="7.875" style="3203" customWidth="1"/>
    <col min="6415" max="6656" width="9" style="3203"/>
    <col min="6657" max="6657" width="34.375" style="3203" customWidth="1"/>
    <col min="6658" max="6658" width="6.25" style="3203" customWidth="1"/>
    <col min="6659" max="6659" width="13.875" style="3203" customWidth="1"/>
    <col min="6660" max="6660" width="7.875" style="3203" customWidth="1"/>
    <col min="6661" max="6662" width="13.875" style="3203" customWidth="1"/>
    <col min="6663" max="6663" width="25.75" style="3203" customWidth="1"/>
    <col min="6664" max="6664" width="9" style="3203" customWidth="1"/>
    <col min="6665" max="6665" width="29.375" style="3203" customWidth="1"/>
    <col min="6666" max="6667" width="10.625" style="3203" customWidth="1"/>
    <col min="6668" max="6668" width="14.375" style="3203" customWidth="1"/>
    <col min="6669" max="6669" width="6.25" style="3203" customWidth="1"/>
    <col min="6670" max="6670" width="7.875" style="3203" customWidth="1"/>
    <col min="6671" max="6912" width="9" style="3203"/>
    <col min="6913" max="6913" width="34.375" style="3203" customWidth="1"/>
    <col min="6914" max="6914" width="6.25" style="3203" customWidth="1"/>
    <col min="6915" max="6915" width="13.875" style="3203" customWidth="1"/>
    <col min="6916" max="6916" width="7.875" style="3203" customWidth="1"/>
    <col min="6917" max="6918" width="13.875" style="3203" customWidth="1"/>
    <col min="6919" max="6919" width="25.75" style="3203" customWidth="1"/>
    <col min="6920" max="6920" width="9" style="3203" customWidth="1"/>
    <col min="6921" max="6921" width="29.375" style="3203" customWidth="1"/>
    <col min="6922" max="6923" width="10.625" style="3203" customWidth="1"/>
    <col min="6924" max="6924" width="14.375" style="3203" customWidth="1"/>
    <col min="6925" max="6925" width="6.25" style="3203" customWidth="1"/>
    <col min="6926" max="6926" width="7.875" style="3203" customWidth="1"/>
    <col min="6927" max="7168" width="9" style="3203"/>
    <col min="7169" max="7169" width="34.375" style="3203" customWidth="1"/>
    <col min="7170" max="7170" width="6.25" style="3203" customWidth="1"/>
    <col min="7171" max="7171" width="13.875" style="3203" customWidth="1"/>
    <col min="7172" max="7172" width="7.875" style="3203" customWidth="1"/>
    <col min="7173" max="7174" width="13.875" style="3203" customWidth="1"/>
    <col min="7175" max="7175" width="25.75" style="3203" customWidth="1"/>
    <col min="7176" max="7176" width="9" style="3203" customWidth="1"/>
    <col min="7177" max="7177" width="29.375" style="3203" customWidth="1"/>
    <col min="7178" max="7179" width="10.625" style="3203" customWidth="1"/>
    <col min="7180" max="7180" width="14.375" style="3203" customWidth="1"/>
    <col min="7181" max="7181" width="6.25" style="3203" customWidth="1"/>
    <col min="7182" max="7182" width="7.875" style="3203" customWidth="1"/>
    <col min="7183" max="7424" width="9" style="3203"/>
    <col min="7425" max="7425" width="34.375" style="3203" customWidth="1"/>
    <col min="7426" max="7426" width="6.25" style="3203" customWidth="1"/>
    <col min="7427" max="7427" width="13.875" style="3203" customWidth="1"/>
    <col min="7428" max="7428" width="7.875" style="3203" customWidth="1"/>
    <col min="7429" max="7430" width="13.875" style="3203" customWidth="1"/>
    <col min="7431" max="7431" width="25.75" style="3203" customWidth="1"/>
    <col min="7432" max="7432" width="9" style="3203" customWidth="1"/>
    <col min="7433" max="7433" width="29.375" style="3203" customWidth="1"/>
    <col min="7434" max="7435" width="10.625" style="3203" customWidth="1"/>
    <col min="7436" max="7436" width="14.375" style="3203" customWidth="1"/>
    <col min="7437" max="7437" width="6.25" style="3203" customWidth="1"/>
    <col min="7438" max="7438" width="7.875" style="3203" customWidth="1"/>
    <col min="7439" max="7680" width="9" style="3203"/>
    <col min="7681" max="7681" width="34.375" style="3203" customWidth="1"/>
    <col min="7682" max="7682" width="6.25" style="3203" customWidth="1"/>
    <col min="7683" max="7683" width="13.875" style="3203" customWidth="1"/>
    <col min="7684" max="7684" width="7.875" style="3203" customWidth="1"/>
    <col min="7685" max="7686" width="13.875" style="3203" customWidth="1"/>
    <col min="7687" max="7687" width="25.75" style="3203" customWidth="1"/>
    <col min="7688" max="7688" width="9" style="3203" customWidth="1"/>
    <col min="7689" max="7689" width="29.375" style="3203" customWidth="1"/>
    <col min="7690" max="7691" width="10.625" style="3203" customWidth="1"/>
    <col min="7692" max="7692" width="14.375" style="3203" customWidth="1"/>
    <col min="7693" max="7693" width="6.25" style="3203" customWidth="1"/>
    <col min="7694" max="7694" width="7.875" style="3203" customWidth="1"/>
    <col min="7695" max="7936" width="9" style="3203"/>
    <col min="7937" max="7937" width="34.375" style="3203" customWidth="1"/>
    <col min="7938" max="7938" width="6.25" style="3203" customWidth="1"/>
    <col min="7939" max="7939" width="13.875" style="3203" customWidth="1"/>
    <col min="7940" max="7940" width="7.875" style="3203" customWidth="1"/>
    <col min="7941" max="7942" width="13.875" style="3203" customWidth="1"/>
    <col min="7943" max="7943" width="25.75" style="3203" customWidth="1"/>
    <col min="7944" max="7944" width="9" style="3203" customWidth="1"/>
    <col min="7945" max="7945" width="29.375" style="3203" customWidth="1"/>
    <col min="7946" max="7947" width="10.625" style="3203" customWidth="1"/>
    <col min="7948" max="7948" width="14.375" style="3203" customWidth="1"/>
    <col min="7949" max="7949" width="6.25" style="3203" customWidth="1"/>
    <col min="7950" max="7950" width="7.875" style="3203" customWidth="1"/>
    <col min="7951" max="8192" width="9" style="3203"/>
    <col min="8193" max="8193" width="34.375" style="3203" customWidth="1"/>
    <col min="8194" max="8194" width="6.25" style="3203" customWidth="1"/>
    <col min="8195" max="8195" width="13.875" style="3203" customWidth="1"/>
    <col min="8196" max="8196" width="7.875" style="3203" customWidth="1"/>
    <col min="8197" max="8198" width="13.875" style="3203" customWidth="1"/>
    <col min="8199" max="8199" width="25.75" style="3203" customWidth="1"/>
    <col min="8200" max="8200" width="9" style="3203" customWidth="1"/>
    <col min="8201" max="8201" width="29.375" style="3203" customWidth="1"/>
    <col min="8202" max="8203" width="10.625" style="3203" customWidth="1"/>
    <col min="8204" max="8204" width="14.375" style="3203" customWidth="1"/>
    <col min="8205" max="8205" width="6.25" style="3203" customWidth="1"/>
    <col min="8206" max="8206" width="7.875" style="3203" customWidth="1"/>
    <col min="8207" max="8448" width="9" style="3203"/>
    <col min="8449" max="8449" width="34.375" style="3203" customWidth="1"/>
    <col min="8450" max="8450" width="6.25" style="3203" customWidth="1"/>
    <col min="8451" max="8451" width="13.875" style="3203" customWidth="1"/>
    <col min="8452" max="8452" width="7.875" style="3203" customWidth="1"/>
    <col min="8453" max="8454" width="13.875" style="3203" customWidth="1"/>
    <col min="8455" max="8455" width="25.75" style="3203" customWidth="1"/>
    <col min="8456" max="8456" width="9" style="3203" customWidth="1"/>
    <col min="8457" max="8457" width="29.375" style="3203" customWidth="1"/>
    <col min="8458" max="8459" width="10.625" style="3203" customWidth="1"/>
    <col min="8460" max="8460" width="14.375" style="3203" customWidth="1"/>
    <col min="8461" max="8461" width="6.25" style="3203" customWidth="1"/>
    <col min="8462" max="8462" width="7.875" style="3203" customWidth="1"/>
    <col min="8463" max="8704" width="9" style="3203"/>
    <col min="8705" max="8705" width="34.375" style="3203" customWidth="1"/>
    <col min="8706" max="8706" width="6.25" style="3203" customWidth="1"/>
    <col min="8707" max="8707" width="13.875" style="3203" customWidth="1"/>
    <col min="8708" max="8708" width="7.875" style="3203" customWidth="1"/>
    <col min="8709" max="8710" width="13.875" style="3203" customWidth="1"/>
    <col min="8711" max="8711" width="25.75" style="3203" customWidth="1"/>
    <col min="8712" max="8712" width="9" style="3203" customWidth="1"/>
    <col min="8713" max="8713" width="29.375" style="3203" customWidth="1"/>
    <col min="8714" max="8715" width="10.625" style="3203" customWidth="1"/>
    <col min="8716" max="8716" width="14.375" style="3203" customWidth="1"/>
    <col min="8717" max="8717" width="6.25" style="3203" customWidth="1"/>
    <col min="8718" max="8718" width="7.875" style="3203" customWidth="1"/>
    <col min="8719" max="8960" width="9" style="3203"/>
    <col min="8961" max="8961" width="34.375" style="3203" customWidth="1"/>
    <col min="8962" max="8962" width="6.25" style="3203" customWidth="1"/>
    <col min="8963" max="8963" width="13.875" style="3203" customWidth="1"/>
    <col min="8964" max="8964" width="7.875" style="3203" customWidth="1"/>
    <col min="8965" max="8966" width="13.875" style="3203" customWidth="1"/>
    <col min="8967" max="8967" width="25.75" style="3203" customWidth="1"/>
    <col min="8968" max="8968" width="9" style="3203" customWidth="1"/>
    <col min="8969" max="8969" width="29.375" style="3203" customWidth="1"/>
    <col min="8970" max="8971" width="10.625" style="3203" customWidth="1"/>
    <col min="8972" max="8972" width="14.375" style="3203" customWidth="1"/>
    <col min="8973" max="8973" width="6.25" style="3203" customWidth="1"/>
    <col min="8974" max="8974" width="7.875" style="3203" customWidth="1"/>
    <col min="8975" max="9216" width="9" style="3203"/>
    <col min="9217" max="9217" width="34.375" style="3203" customWidth="1"/>
    <col min="9218" max="9218" width="6.25" style="3203" customWidth="1"/>
    <col min="9219" max="9219" width="13.875" style="3203" customWidth="1"/>
    <col min="9220" max="9220" width="7.875" style="3203" customWidth="1"/>
    <col min="9221" max="9222" width="13.875" style="3203" customWidth="1"/>
    <col min="9223" max="9223" width="25.75" style="3203" customWidth="1"/>
    <col min="9224" max="9224" width="9" style="3203" customWidth="1"/>
    <col min="9225" max="9225" width="29.375" style="3203" customWidth="1"/>
    <col min="9226" max="9227" width="10.625" style="3203" customWidth="1"/>
    <col min="9228" max="9228" width="14.375" style="3203" customWidth="1"/>
    <col min="9229" max="9229" width="6.25" style="3203" customWidth="1"/>
    <col min="9230" max="9230" width="7.875" style="3203" customWidth="1"/>
    <col min="9231" max="9472" width="9" style="3203"/>
    <col min="9473" max="9473" width="34.375" style="3203" customWidth="1"/>
    <col min="9474" max="9474" width="6.25" style="3203" customWidth="1"/>
    <col min="9475" max="9475" width="13.875" style="3203" customWidth="1"/>
    <col min="9476" max="9476" width="7.875" style="3203" customWidth="1"/>
    <col min="9477" max="9478" width="13.875" style="3203" customWidth="1"/>
    <col min="9479" max="9479" width="25.75" style="3203" customWidth="1"/>
    <col min="9480" max="9480" width="9" style="3203" customWidth="1"/>
    <col min="9481" max="9481" width="29.375" style="3203" customWidth="1"/>
    <col min="9482" max="9483" width="10.625" style="3203" customWidth="1"/>
    <col min="9484" max="9484" width="14.375" style="3203" customWidth="1"/>
    <col min="9485" max="9485" width="6.25" style="3203" customWidth="1"/>
    <col min="9486" max="9486" width="7.875" style="3203" customWidth="1"/>
    <col min="9487" max="9728" width="9" style="3203"/>
    <col min="9729" max="9729" width="34.375" style="3203" customWidth="1"/>
    <col min="9730" max="9730" width="6.25" style="3203" customWidth="1"/>
    <col min="9731" max="9731" width="13.875" style="3203" customWidth="1"/>
    <col min="9732" max="9732" width="7.875" style="3203" customWidth="1"/>
    <col min="9733" max="9734" width="13.875" style="3203" customWidth="1"/>
    <col min="9735" max="9735" width="25.75" style="3203" customWidth="1"/>
    <col min="9736" max="9736" width="9" style="3203" customWidth="1"/>
    <col min="9737" max="9737" width="29.375" style="3203" customWidth="1"/>
    <col min="9738" max="9739" width="10.625" style="3203" customWidth="1"/>
    <col min="9740" max="9740" width="14.375" style="3203" customWidth="1"/>
    <col min="9741" max="9741" width="6.25" style="3203" customWidth="1"/>
    <col min="9742" max="9742" width="7.875" style="3203" customWidth="1"/>
    <col min="9743" max="9984" width="9" style="3203"/>
    <col min="9985" max="9985" width="34.375" style="3203" customWidth="1"/>
    <col min="9986" max="9986" width="6.25" style="3203" customWidth="1"/>
    <col min="9987" max="9987" width="13.875" style="3203" customWidth="1"/>
    <col min="9988" max="9988" width="7.875" style="3203" customWidth="1"/>
    <col min="9989" max="9990" width="13.875" style="3203" customWidth="1"/>
    <col min="9991" max="9991" width="25.75" style="3203" customWidth="1"/>
    <col min="9992" max="9992" width="9" style="3203" customWidth="1"/>
    <col min="9993" max="9993" width="29.375" style="3203" customWidth="1"/>
    <col min="9994" max="9995" width="10.625" style="3203" customWidth="1"/>
    <col min="9996" max="9996" width="14.375" style="3203" customWidth="1"/>
    <col min="9997" max="9997" width="6.25" style="3203" customWidth="1"/>
    <col min="9998" max="9998" width="7.875" style="3203" customWidth="1"/>
    <col min="9999" max="10240" width="9" style="3203"/>
    <col min="10241" max="10241" width="34.375" style="3203" customWidth="1"/>
    <col min="10242" max="10242" width="6.25" style="3203" customWidth="1"/>
    <col min="10243" max="10243" width="13.875" style="3203" customWidth="1"/>
    <col min="10244" max="10244" width="7.875" style="3203" customWidth="1"/>
    <col min="10245" max="10246" width="13.875" style="3203" customWidth="1"/>
    <col min="10247" max="10247" width="25.75" style="3203" customWidth="1"/>
    <col min="10248" max="10248" width="9" style="3203" customWidth="1"/>
    <col min="10249" max="10249" width="29.375" style="3203" customWidth="1"/>
    <col min="10250" max="10251" width="10.625" style="3203" customWidth="1"/>
    <col min="10252" max="10252" width="14.375" style="3203" customWidth="1"/>
    <col min="10253" max="10253" width="6.25" style="3203" customWidth="1"/>
    <col min="10254" max="10254" width="7.875" style="3203" customWidth="1"/>
    <col min="10255" max="10496" width="9" style="3203"/>
    <col min="10497" max="10497" width="34.375" style="3203" customWidth="1"/>
    <col min="10498" max="10498" width="6.25" style="3203" customWidth="1"/>
    <col min="10499" max="10499" width="13.875" style="3203" customWidth="1"/>
    <col min="10500" max="10500" width="7.875" style="3203" customWidth="1"/>
    <col min="10501" max="10502" width="13.875" style="3203" customWidth="1"/>
    <col min="10503" max="10503" width="25.75" style="3203" customWidth="1"/>
    <col min="10504" max="10504" width="9" style="3203" customWidth="1"/>
    <col min="10505" max="10505" width="29.375" style="3203" customWidth="1"/>
    <col min="10506" max="10507" width="10.625" style="3203" customWidth="1"/>
    <col min="10508" max="10508" width="14.375" style="3203" customWidth="1"/>
    <col min="10509" max="10509" width="6.25" style="3203" customWidth="1"/>
    <col min="10510" max="10510" width="7.875" style="3203" customWidth="1"/>
    <col min="10511" max="10752" width="9" style="3203"/>
    <col min="10753" max="10753" width="34.375" style="3203" customWidth="1"/>
    <col min="10754" max="10754" width="6.25" style="3203" customWidth="1"/>
    <col min="10755" max="10755" width="13.875" style="3203" customWidth="1"/>
    <col min="10756" max="10756" width="7.875" style="3203" customWidth="1"/>
    <col min="10757" max="10758" width="13.875" style="3203" customWidth="1"/>
    <col min="10759" max="10759" width="25.75" style="3203" customWidth="1"/>
    <col min="10760" max="10760" width="9" style="3203" customWidth="1"/>
    <col min="10761" max="10761" width="29.375" style="3203" customWidth="1"/>
    <col min="10762" max="10763" width="10.625" style="3203" customWidth="1"/>
    <col min="10764" max="10764" width="14.375" style="3203" customWidth="1"/>
    <col min="10765" max="10765" width="6.25" style="3203" customWidth="1"/>
    <col min="10766" max="10766" width="7.875" style="3203" customWidth="1"/>
    <col min="10767" max="11008" width="9" style="3203"/>
    <col min="11009" max="11009" width="34.375" style="3203" customWidth="1"/>
    <col min="11010" max="11010" width="6.25" style="3203" customWidth="1"/>
    <col min="11011" max="11011" width="13.875" style="3203" customWidth="1"/>
    <col min="11012" max="11012" width="7.875" style="3203" customWidth="1"/>
    <col min="11013" max="11014" width="13.875" style="3203" customWidth="1"/>
    <col min="11015" max="11015" width="25.75" style="3203" customWidth="1"/>
    <col min="11016" max="11016" width="9" style="3203" customWidth="1"/>
    <col min="11017" max="11017" width="29.375" style="3203" customWidth="1"/>
    <col min="11018" max="11019" width="10.625" style="3203" customWidth="1"/>
    <col min="11020" max="11020" width="14.375" style="3203" customWidth="1"/>
    <col min="11021" max="11021" width="6.25" style="3203" customWidth="1"/>
    <col min="11022" max="11022" width="7.875" style="3203" customWidth="1"/>
    <col min="11023" max="11264" width="9" style="3203"/>
    <col min="11265" max="11265" width="34.375" style="3203" customWidth="1"/>
    <col min="11266" max="11266" width="6.25" style="3203" customWidth="1"/>
    <col min="11267" max="11267" width="13.875" style="3203" customWidth="1"/>
    <col min="11268" max="11268" width="7.875" style="3203" customWidth="1"/>
    <col min="11269" max="11270" width="13.875" style="3203" customWidth="1"/>
    <col min="11271" max="11271" width="25.75" style="3203" customWidth="1"/>
    <col min="11272" max="11272" width="9" style="3203" customWidth="1"/>
    <col min="11273" max="11273" width="29.375" style="3203" customWidth="1"/>
    <col min="11274" max="11275" width="10.625" style="3203" customWidth="1"/>
    <col min="11276" max="11276" width="14.375" style="3203" customWidth="1"/>
    <col min="11277" max="11277" width="6.25" style="3203" customWidth="1"/>
    <col min="11278" max="11278" width="7.875" style="3203" customWidth="1"/>
    <col min="11279" max="11520" width="9" style="3203"/>
    <col min="11521" max="11521" width="34.375" style="3203" customWidth="1"/>
    <col min="11522" max="11522" width="6.25" style="3203" customWidth="1"/>
    <col min="11523" max="11523" width="13.875" style="3203" customWidth="1"/>
    <col min="11524" max="11524" width="7.875" style="3203" customWidth="1"/>
    <col min="11525" max="11526" width="13.875" style="3203" customWidth="1"/>
    <col min="11527" max="11527" width="25.75" style="3203" customWidth="1"/>
    <col min="11528" max="11528" width="9" style="3203" customWidth="1"/>
    <col min="11529" max="11529" width="29.375" style="3203" customWidth="1"/>
    <col min="11530" max="11531" width="10.625" style="3203" customWidth="1"/>
    <col min="11532" max="11532" width="14.375" style="3203" customWidth="1"/>
    <col min="11533" max="11533" width="6.25" style="3203" customWidth="1"/>
    <col min="11534" max="11534" width="7.875" style="3203" customWidth="1"/>
    <col min="11535" max="11776" width="9" style="3203"/>
    <col min="11777" max="11777" width="34.375" style="3203" customWidth="1"/>
    <col min="11778" max="11778" width="6.25" style="3203" customWidth="1"/>
    <col min="11779" max="11779" width="13.875" style="3203" customWidth="1"/>
    <col min="11780" max="11780" width="7.875" style="3203" customWidth="1"/>
    <col min="11781" max="11782" width="13.875" style="3203" customWidth="1"/>
    <col min="11783" max="11783" width="25.75" style="3203" customWidth="1"/>
    <col min="11784" max="11784" width="9" style="3203" customWidth="1"/>
    <col min="11785" max="11785" width="29.375" style="3203" customWidth="1"/>
    <col min="11786" max="11787" width="10.625" style="3203" customWidth="1"/>
    <col min="11788" max="11788" width="14.375" style="3203" customWidth="1"/>
    <col min="11789" max="11789" width="6.25" style="3203" customWidth="1"/>
    <col min="11790" max="11790" width="7.875" style="3203" customWidth="1"/>
    <col min="11791" max="12032" width="9" style="3203"/>
    <col min="12033" max="12033" width="34.375" style="3203" customWidth="1"/>
    <col min="12034" max="12034" width="6.25" style="3203" customWidth="1"/>
    <col min="12035" max="12035" width="13.875" style="3203" customWidth="1"/>
    <col min="12036" max="12036" width="7.875" style="3203" customWidth="1"/>
    <col min="12037" max="12038" width="13.875" style="3203" customWidth="1"/>
    <col min="12039" max="12039" width="25.75" style="3203" customWidth="1"/>
    <col min="12040" max="12040" width="9" style="3203" customWidth="1"/>
    <col min="12041" max="12041" width="29.375" style="3203" customWidth="1"/>
    <col min="12042" max="12043" width="10.625" style="3203" customWidth="1"/>
    <col min="12044" max="12044" width="14.375" style="3203" customWidth="1"/>
    <col min="12045" max="12045" width="6.25" style="3203" customWidth="1"/>
    <col min="12046" max="12046" width="7.875" style="3203" customWidth="1"/>
    <col min="12047" max="12288" width="9" style="3203"/>
    <col min="12289" max="12289" width="34.375" style="3203" customWidth="1"/>
    <col min="12290" max="12290" width="6.25" style="3203" customWidth="1"/>
    <col min="12291" max="12291" width="13.875" style="3203" customWidth="1"/>
    <col min="12292" max="12292" width="7.875" style="3203" customWidth="1"/>
    <col min="12293" max="12294" width="13.875" style="3203" customWidth="1"/>
    <col min="12295" max="12295" width="25.75" style="3203" customWidth="1"/>
    <col min="12296" max="12296" width="9" style="3203" customWidth="1"/>
    <col min="12297" max="12297" width="29.375" style="3203" customWidth="1"/>
    <col min="12298" max="12299" width="10.625" style="3203" customWidth="1"/>
    <col min="12300" max="12300" width="14.375" style="3203" customWidth="1"/>
    <col min="12301" max="12301" width="6.25" style="3203" customWidth="1"/>
    <col min="12302" max="12302" width="7.875" style="3203" customWidth="1"/>
    <col min="12303" max="12544" width="9" style="3203"/>
    <col min="12545" max="12545" width="34.375" style="3203" customWidth="1"/>
    <col min="12546" max="12546" width="6.25" style="3203" customWidth="1"/>
    <col min="12547" max="12547" width="13.875" style="3203" customWidth="1"/>
    <col min="12548" max="12548" width="7.875" style="3203" customWidth="1"/>
    <col min="12549" max="12550" width="13.875" style="3203" customWidth="1"/>
    <col min="12551" max="12551" width="25.75" style="3203" customWidth="1"/>
    <col min="12552" max="12552" width="9" style="3203" customWidth="1"/>
    <col min="12553" max="12553" width="29.375" style="3203" customWidth="1"/>
    <col min="12554" max="12555" width="10.625" style="3203" customWidth="1"/>
    <col min="12556" max="12556" width="14.375" style="3203" customWidth="1"/>
    <col min="12557" max="12557" width="6.25" style="3203" customWidth="1"/>
    <col min="12558" max="12558" width="7.875" style="3203" customWidth="1"/>
    <col min="12559" max="12800" width="9" style="3203"/>
    <col min="12801" max="12801" width="34.375" style="3203" customWidth="1"/>
    <col min="12802" max="12802" width="6.25" style="3203" customWidth="1"/>
    <col min="12803" max="12803" width="13.875" style="3203" customWidth="1"/>
    <col min="12804" max="12804" width="7.875" style="3203" customWidth="1"/>
    <col min="12805" max="12806" width="13.875" style="3203" customWidth="1"/>
    <col min="12807" max="12807" width="25.75" style="3203" customWidth="1"/>
    <col min="12808" max="12808" width="9" style="3203" customWidth="1"/>
    <col min="12809" max="12809" width="29.375" style="3203" customWidth="1"/>
    <col min="12810" max="12811" width="10.625" style="3203" customWidth="1"/>
    <col min="12812" max="12812" width="14.375" style="3203" customWidth="1"/>
    <col min="12813" max="12813" width="6.25" style="3203" customWidth="1"/>
    <col min="12814" max="12814" width="7.875" style="3203" customWidth="1"/>
    <col min="12815" max="13056" width="9" style="3203"/>
    <col min="13057" max="13057" width="34.375" style="3203" customWidth="1"/>
    <col min="13058" max="13058" width="6.25" style="3203" customWidth="1"/>
    <col min="13059" max="13059" width="13.875" style="3203" customWidth="1"/>
    <col min="13060" max="13060" width="7.875" style="3203" customWidth="1"/>
    <col min="13061" max="13062" width="13.875" style="3203" customWidth="1"/>
    <col min="13063" max="13063" width="25.75" style="3203" customWidth="1"/>
    <col min="13064" max="13064" width="9" style="3203" customWidth="1"/>
    <col min="13065" max="13065" width="29.375" style="3203" customWidth="1"/>
    <col min="13066" max="13067" width="10.625" style="3203" customWidth="1"/>
    <col min="13068" max="13068" width="14.375" style="3203" customWidth="1"/>
    <col min="13069" max="13069" width="6.25" style="3203" customWidth="1"/>
    <col min="13070" max="13070" width="7.875" style="3203" customWidth="1"/>
    <col min="13071" max="13312" width="9" style="3203"/>
    <col min="13313" max="13313" width="34.375" style="3203" customWidth="1"/>
    <col min="13314" max="13314" width="6.25" style="3203" customWidth="1"/>
    <col min="13315" max="13315" width="13.875" style="3203" customWidth="1"/>
    <col min="13316" max="13316" width="7.875" style="3203" customWidth="1"/>
    <col min="13317" max="13318" width="13.875" style="3203" customWidth="1"/>
    <col min="13319" max="13319" width="25.75" style="3203" customWidth="1"/>
    <col min="13320" max="13320" width="9" style="3203" customWidth="1"/>
    <col min="13321" max="13321" width="29.375" style="3203" customWidth="1"/>
    <col min="13322" max="13323" width="10.625" style="3203" customWidth="1"/>
    <col min="13324" max="13324" width="14.375" style="3203" customWidth="1"/>
    <col min="13325" max="13325" width="6.25" style="3203" customWidth="1"/>
    <col min="13326" max="13326" width="7.875" style="3203" customWidth="1"/>
    <col min="13327" max="13568" width="9" style="3203"/>
    <col min="13569" max="13569" width="34.375" style="3203" customWidth="1"/>
    <col min="13570" max="13570" width="6.25" style="3203" customWidth="1"/>
    <col min="13571" max="13571" width="13.875" style="3203" customWidth="1"/>
    <col min="13572" max="13572" width="7.875" style="3203" customWidth="1"/>
    <col min="13573" max="13574" width="13.875" style="3203" customWidth="1"/>
    <col min="13575" max="13575" width="25.75" style="3203" customWidth="1"/>
    <col min="13576" max="13576" width="9" style="3203" customWidth="1"/>
    <col min="13577" max="13577" width="29.375" style="3203" customWidth="1"/>
    <col min="13578" max="13579" width="10.625" style="3203" customWidth="1"/>
    <col min="13580" max="13580" width="14.375" style="3203" customWidth="1"/>
    <col min="13581" max="13581" width="6.25" style="3203" customWidth="1"/>
    <col min="13582" max="13582" width="7.875" style="3203" customWidth="1"/>
    <col min="13583" max="13824" width="9" style="3203"/>
    <col min="13825" max="13825" width="34.375" style="3203" customWidth="1"/>
    <col min="13826" max="13826" width="6.25" style="3203" customWidth="1"/>
    <col min="13827" max="13827" width="13.875" style="3203" customWidth="1"/>
    <col min="13828" max="13828" width="7.875" style="3203" customWidth="1"/>
    <col min="13829" max="13830" width="13.875" style="3203" customWidth="1"/>
    <col min="13831" max="13831" width="25.75" style="3203" customWidth="1"/>
    <col min="13832" max="13832" width="9" style="3203" customWidth="1"/>
    <col min="13833" max="13833" width="29.375" style="3203" customWidth="1"/>
    <col min="13834" max="13835" width="10.625" style="3203" customWidth="1"/>
    <col min="13836" max="13836" width="14.375" style="3203" customWidth="1"/>
    <col min="13837" max="13837" width="6.25" style="3203" customWidth="1"/>
    <col min="13838" max="13838" width="7.875" style="3203" customWidth="1"/>
    <col min="13839" max="14080" width="9" style="3203"/>
    <col min="14081" max="14081" width="34.375" style="3203" customWidth="1"/>
    <col min="14082" max="14082" width="6.25" style="3203" customWidth="1"/>
    <col min="14083" max="14083" width="13.875" style="3203" customWidth="1"/>
    <col min="14084" max="14084" width="7.875" style="3203" customWidth="1"/>
    <col min="14085" max="14086" width="13.875" style="3203" customWidth="1"/>
    <col min="14087" max="14087" width="25.75" style="3203" customWidth="1"/>
    <col min="14088" max="14088" width="9" style="3203" customWidth="1"/>
    <col min="14089" max="14089" width="29.375" style="3203" customWidth="1"/>
    <col min="14090" max="14091" width="10.625" style="3203" customWidth="1"/>
    <col min="14092" max="14092" width="14.375" style="3203" customWidth="1"/>
    <col min="14093" max="14093" width="6.25" style="3203" customWidth="1"/>
    <col min="14094" max="14094" width="7.875" style="3203" customWidth="1"/>
    <col min="14095" max="14336" width="9" style="3203"/>
    <col min="14337" max="14337" width="34.375" style="3203" customWidth="1"/>
    <col min="14338" max="14338" width="6.25" style="3203" customWidth="1"/>
    <col min="14339" max="14339" width="13.875" style="3203" customWidth="1"/>
    <col min="14340" max="14340" width="7.875" style="3203" customWidth="1"/>
    <col min="14341" max="14342" width="13.875" style="3203" customWidth="1"/>
    <col min="14343" max="14343" width="25.75" style="3203" customWidth="1"/>
    <col min="14344" max="14344" width="9" style="3203" customWidth="1"/>
    <col min="14345" max="14345" width="29.375" style="3203" customWidth="1"/>
    <col min="14346" max="14347" width="10.625" style="3203" customWidth="1"/>
    <col min="14348" max="14348" width="14.375" style="3203" customWidth="1"/>
    <col min="14349" max="14349" width="6.25" style="3203" customWidth="1"/>
    <col min="14350" max="14350" width="7.875" style="3203" customWidth="1"/>
    <col min="14351" max="14592" width="9" style="3203"/>
    <col min="14593" max="14593" width="34.375" style="3203" customWidth="1"/>
    <col min="14594" max="14594" width="6.25" style="3203" customWidth="1"/>
    <col min="14595" max="14595" width="13.875" style="3203" customWidth="1"/>
    <col min="14596" max="14596" width="7.875" style="3203" customWidth="1"/>
    <col min="14597" max="14598" width="13.875" style="3203" customWidth="1"/>
    <col min="14599" max="14599" width="25.75" style="3203" customWidth="1"/>
    <col min="14600" max="14600" width="9" style="3203" customWidth="1"/>
    <col min="14601" max="14601" width="29.375" style="3203" customWidth="1"/>
    <col min="14602" max="14603" width="10.625" style="3203" customWidth="1"/>
    <col min="14604" max="14604" width="14.375" style="3203" customWidth="1"/>
    <col min="14605" max="14605" width="6.25" style="3203" customWidth="1"/>
    <col min="14606" max="14606" width="7.875" style="3203" customWidth="1"/>
    <col min="14607" max="14848" width="9" style="3203"/>
    <col min="14849" max="14849" width="34.375" style="3203" customWidth="1"/>
    <col min="14850" max="14850" width="6.25" style="3203" customWidth="1"/>
    <col min="14851" max="14851" width="13.875" style="3203" customWidth="1"/>
    <col min="14852" max="14852" width="7.875" style="3203" customWidth="1"/>
    <col min="14853" max="14854" width="13.875" style="3203" customWidth="1"/>
    <col min="14855" max="14855" width="25.75" style="3203" customWidth="1"/>
    <col min="14856" max="14856" width="9" style="3203" customWidth="1"/>
    <col min="14857" max="14857" width="29.375" style="3203" customWidth="1"/>
    <col min="14858" max="14859" width="10.625" style="3203" customWidth="1"/>
    <col min="14860" max="14860" width="14.375" style="3203" customWidth="1"/>
    <col min="14861" max="14861" width="6.25" style="3203" customWidth="1"/>
    <col min="14862" max="14862" width="7.875" style="3203" customWidth="1"/>
    <col min="14863" max="15104" width="9" style="3203"/>
    <col min="15105" max="15105" width="34.375" style="3203" customWidth="1"/>
    <col min="15106" max="15106" width="6.25" style="3203" customWidth="1"/>
    <col min="15107" max="15107" width="13.875" style="3203" customWidth="1"/>
    <col min="15108" max="15108" width="7.875" style="3203" customWidth="1"/>
    <col min="15109" max="15110" width="13.875" style="3203" customWidth="1"/>
    <col min="15111" max="15111" width="25.75" style="3203" customWidth="1"/>
    <col min="15112" max="15112" width="9" style="3203" customWidth="1"/>
    <col min="15113" max="15113" width="29.375" style="3203" customWidth="1"/>
    <col min="15114" max="15115" width="10.625" style="3203" customWidth="1"/>
    <col min="15116" max="15116" width="14.375" style="3203" customWidth="1"/>
    <col min="15117" max="15117" width="6.25" style="3203" customWidth="1"/>
    <col min="15118" max="15118" width="7.875" style="3203" customWidth="1"/>
    <col min="15119" max="15360" width="9" style="3203"/>
    <col min="15361" max="15361" width="34.375" style="3203" customWidth="1"/>
    <col min="15362" max="15362" width="6.25" style="3203" customWidth="1"/>
    <col min="15363" max="15363" width="13.875" style="3203" customWidth="1"/>
    <col min="15364" max="15364" width="7.875" style="3203" customWidth="1"/>
    <col min="15365" max="15366" width="13.875" style="3203" customWidth="1"/>
    <col min="15367" max="15367" width="25.75" style="3203" customWidth="1"/>
    <col min="15368" max="15368" width="9" style="3203" customWidth="1"/>
    <col min="15369" max="15369" width="29.375" style="3203" customWidth="1"/>
    <col min="15370" max="15371" width="10.625" style="3203" customWidth="1"/>
    <col min="15372" max="15372" width="14.375" style="3203" customWidth="1"/>
    <col min="15373" max="15373" width="6.25" style="3203" customWidth="1"/>
    <col min="15374" max="15374" width="7.875" style="3203" customWidth="1"/>
    <col min="15375" max="15616" width="9" style="3203"/>
    <col min="15617" max="15617" width="34.375" style="3203" customWidth="1"/>
    <col min="15618" max="15618" width="6.25" style="3203" customWidth="1"/>
    <col min="15619" max="15619" width="13.875" style="3203" customWidth="1"/>
    <col min="15620" max="15620" width="7.875" style="3203" customWidth="1"/>
    <col min="15621" max="15622" width="13.875" style="3203" customWidth="1"/>
    <col min="15623" max="15623" width="25.75" style="3203" customWidth="1"/>
    <col min="15624" max="15624" width="9" style="3203" customWidth="1"/>
    <col min="15625" max="15625" width="29.375" style="3203" customWidth="1"/>
    <col min="15626" max="15627" width="10.625" style="3203" customWidth="1"/>
    <col min="15628" max="15628" width="14.375" style="3203" customWidth="1"/>
    <col min="15629" max="15629" width="6.25" style="3203" customWidth="1"/>
    <col min="15630" max="15630" width="7.875" style="3203" customWidth="1"/>
    <col min="15631" max="15872" width="9" style="3203"/>
    <col min="15873" max="15873" width="34.375" style="3203" customWidth="1"/>
    <col min="15874" max="15874" width="6.25" style="3203" customWidth="1"/>
    <col min="15875" max="15875" width="13.875" style="3203" customWidth="1"/>
    <col min="15876" max="15876" width="7.875" style="3203" customWidth="1"/>
    <col min="15877" max="15878" width="13.875" style="3203" customWidth="1"/>
    <col min="15879" max="15879" width="25.75" style="3203" customWidth="1"/>
    <col min="15880" max="15880" width="9" style="3203" customWidth="1"/>
    <col min="15881" max="15881" width="29.375" style="3203" customWidth="1"/>
    <col min="15882" max="15883" width="10.625" style="3203" customWidth="1"/>
    <col min="15884" max="15884" width="14.375" style="3203" customWidth="1"/>
    <col min="15885" max="15885" width="6.25" style="3203" customWidth="1"/>
    <col min="15886" max="15886" width="7.875" style="3203" customWidth="1"/>
    <col min="15887" max="16128" width="9" style="3203"/>
    <col min="16129" max="16129" width="34.375" style="3203" customWidth="1"/>
    <col min="16130" max="16130" width="6.25" style="3203" customWidth="1"/>
    <col min="16131" max="16131" width="13.875" style="3203" customWidth="1"/>
    <col min="16132" max="16132" width="7.875" style="3203" customWidth="1"/>
    <col min="16133" max="16134" width="13.875" style="3203" customWidth="1"/>
    <col min="16135" max="16135" width="25.75" style="3203" customWidth="1"/>
    <col min="16136" max="16136" width="9" style="3203" customWidth="1"/>
    <col min="16137" max="16137" width="29.375" style="3203" customWidth="1"/>
    <col min="16138" max="16139" width="10.625" style="3203" customWidth="1"/>
    <col min="16140" max="16140" width="14.375" style="3203" customWidth="1"/>
    <col min="16141" max="16141" width="6.25" style="3203" customWidth="1"/>
    <col min="16142" max="16142" width="7.875" style="3203" customWidth="1"/>
    <col min="16143" max="16384" width="9" style="3203"/>
  </cols>
  <sheetData>
    <row r="1" spans="1:14">
      <c r="A1" s="3203" t="s">
        <v>3037</v>
      </c>
      <c r="B1" s="3203" t="s">
        <v>3038</v>
      </c>
      <c r="C1" s="3203" t="s">
        <v>3039</v>
      </c>
      <c r="D1" s="3203" t="s">
        <v>3042</v>
      </c>
      <c r="E1" s="3203" t="s">
        <v>3040</v>
      </c>
      <c r="F1" s="3203" t="s">
        <v>3041</v>
      </c>
      <c r="G1" s="3203" t="s">
        <v>2030</v>
      </c>
      <c r="H1" s="3203" t="s">
        <v>3043</v>
      </c>
      <c r="I1" s="3203" t="s">
        <v>3048</v>
      </c>
      <c r="J1" s="3203" t="s">
        <v>3044</v>
      </c>
      <c r="K1" s="3203" t="s">
        <v>3045</v>
      </c>
      <c r="L1" s="3203" t="s">
        <v>3046</v>
      </c>
      <c r="M1" s="3203" t="s">
        <v>3047</v>
      </c>
      <c r="N1" s="3203" t="s">
        <v>3049</v>
      </c>
    </row>
    <row r="2" spans="1:14">
      <c r="A2" s="3203" t="s">
        <v>3120</v>
      </c>
      <c r="B2" s="3203" t="s">
        <v>3050</v>
      </c>
      <c r="C2" s="3203" t="s">
        <v>3060</v>
      </c>
      <c r="D2" s="3203" t="s">
        <v>3052</v>
      </c>
      <c r="E2" s="3203">
        <v>50420.73</v>
      </c>
      <c r="F2" s="3203">
        <v>165172.6</v>
      </c>
      <c r="G2" s="3203" t="s">
        <v>3121</v>
      </c>
      <c r="H2" s="3203" t="s">
        <v>3122</v>
      </c>
      <c r="I2" s="3203" t="s">
        <v>3102</v>
      </c>
      <c r="J2" s="3203">
        <v>10600</v>
      </c>
      <c r="K2" s="3203">
        <v>10700</v>
      </c>
      <c r="L2" s="3203">
        <v>647.79999999999995</v>
      </c>
      <c r="M2" s="3203">
        <v>0.94</v>
      </c>
      <c r="N2" s="3203" t="s">
        <v>3053</v>
      </c>
    </row>
    <row r="3" spans="1:14">
      <c r="A3" s="3203" t="s">
        <v>3123</v>
      </c>
      <c r="B3" s="3203" t="s">
        <v>3050</v>
      </c>
      <c r="C3" s="3203" t="s">
        <v>3060</v>
      </c>
      <c r="D3" s="3203" t="s">
        <v>3052</v>
      </c>
      <c r="E3" s="3203">
        <v>26785.43</v>
      </c>
      <c r="F3" s="3203">
        <v>77677.75</v>
      </c>
      <c r="G3" s="3203" t="s">
        <v>3124</v>
      </c>
      <c r="H3" s="3203" t="s">
        <v>3125</v>
      </c>
      <c r="I3" s="3203" t="s">
        <v>3114</v>
      </c>
      <c r="J3" s="3203">
        <v>13830</v>
      </c>
      <c r="K3" s="3203">
        <v>13830</v>
      </c>
      <c r="L3" s="3203">
        <v>1780.43</v>
      </c>
      <c r="M3" s="3203">
        <v>0</v>
      </c>
      <c r="N3" s="3203" t="s">
        <v>3087</v>
      </c>
    </row>
    <row r="4" spans="1:14">
      <c r="A4" s="3203" t="s">
        <v>3126</v>
      </c>
      <c r="B4" s="3203" t="s">
        <v>3050</v>
      </c>
      <c r="C4" s="3203" t="s">
        <v>3060</v>
      </c>
      <c r="D4" s="3203" t="s">
        <v>3052</v>
      </c>
      <c r="E4" s="3203">
        <v>27706.94</v>
      </c>
      <c r="F4" s="3203">
        <v>97233.78</v>
      </c>
      <c r="G4" s="3203" t="s">
        <v>3127</v>
      </c>
      <c r="H4" s="3203" t="s">
        <v>3125</v>
      </c>
      <c r="I4" s="3203" t="s">
        <v>3128</v>
      </c>
      <c r="J4" s="3203">
        <v>21550</v>
      </c>
      <c r="K4" s="3203">
        <v>21550</v>
      </c>
      <c r="L4" s="3203">
        <v>2216.3000000000002</v>
      </c>
      <c r="M4" s="3203">
        <v>0</v>
      </c>
      <c r="N4" s="3203" t="s">
        <v>3053</v>
      </c>
    </row>
    <row r="5" spans="1:14">
      <c r="A5" s="3203" t="s">
        <v>3129</v>
      </c>
      <c r="B5" s="3203" t="s">
        <v>3050</v>
      </c>
      <c r="C5" s="3203" t="s">
        <v>3060</v>
      </c>
      <c r="D5" s="3203" t="s">
        <v>3052</v>
      </c>
      <c r="E5" s="3203">
        <v>86841.21</v>
      </c>
      <c r="F5" s="3203">
        <v>277891.90000000002</v>
      </c>
      <c r="G5" s="3203" t="s">
        <v>3106</v>
      </c>
      <c r="H5" s="3203" t="s">
        <v>3130</v>
      </c>
      <c r="I5" s="3203" t="s">
        <v>3131</v>
      </c>
      <c r="J5" s="3203">
        <v>22200</v>
      </c>
      <c r="K5" s="3203">
        <v>22200</v>
      </c>
      <c r="L5" s="3203">
        <v>798.87</v>
      </c>
      <c r="M5" s="3203">
        <v>0</v>
      </c>
      <c r="N5" s="3203" t="s">
        <v>3087</v>
      </c>
    </row>
    <row r="6" spans="1:14">
      <c r="A6" s="3203" t="s">
        <v>3132</v>
      </c>
      <c r="B6" s="3203" t="s">
        <v>3050</v>
      </c>
      <c r="C6" s="3203" t="s">
        <v>3060</v>
      </c>
      <c r="D6" s="3203" t="s">
        <v>3052</v>
      </c>
      <c r="E6" s="3203">
        <v>23709.02</v>
      </c>
      <c r="F6" s="3203">
        <v>71127.06</v>
      </c>
      <c r="G6" s="3203" t="s">
        <v>3113</v>
      </c>
      <c r="H6" s="3203" t="s">
        <v>3130</v>
      </c>
      <c r="I6" s="3203" t="s">
        <v>3133</v>
      </c>
      <c r="J6" s="3203">
        <v>14600</v>
      </c>
      <c r="K6" s="3203">
        <v>18000</v>
      </c>
      <c r="L6" s="3203">
        <v>2530.67</v>
      </c>
      <c r="M6" s="3203">
        <v>23.29</v>
      </c>
      <c r="N6" s="3203" t="s">
        <v>3053</v>
      </c>
    </row>
    <row r="7" spans="1:14" s="3205" customFormat="1">
      <c r="A7" s="3205" t="s">
        <v>3134</v>
      </c>
      <c r="B7" s="3205" t="s">
        <v>3050</v>
      </c>
      <c r="C7" s="3205" t="s">
        <v>3060</v>
      </c>
      <c r="D7" s="3205" t="s">
        <v>3052</v>
      </c>
      <c r="E7" s="3205">
        <v>132394</v>
      </c>
      <c r="F7" s="3205">
        <v>436900.3</v>
      </c>
      <c r="G7" s="3205" t="s">
        <v>3135</v>
      </c>
      <c r="H7" s="3205" t="s">
        <v>3136</v>
      </c>
      <c r="I7" s="3205" t="s">
        <v>3137</v>
      </c>
      <c r="J7" s="3205">
        <v>88000</v>
      </c>
      <c r="K7" s="3205">
        <v>190100</v>
      </c>
      <c r="L7" s="3205">
        <v>4351.1000000000004</v>
      </c>
      <c r="M7" s="3205">
        <v>116.02</v>
      </c>
      <c r="N7" s="3205" t="s">
        <v>3053</v>
      </c>
    </row>
    <row r="8" spans="1:14">
      <c r="A8" s="3203" t="s">
        <v>3138</v>
      </c>
      <c r="B8" s="3203" t="s">
        <v>3050</v>
      </c>
      <c r="C8" s="3203" t="s">
        <v>3051</v>
      </c>
      <c r="D8" s="3203" t="s">
        <v>3052</v>
      </c>
      <c r="E8" s="3203">
        <v>42619.79</v>
      </c>
      <c r="F8" s="3203">
        <v>85239.58</v>
      </c>
      <c r="G8" s="3203" t="s">
        <v>3139</v>
      </c>
      <c r="H8" s="3203" t="s">
        <v>3140</v>
      </c>
      <c r="I8" s="3203" t="s">
        <v>3141</v>
      </c>
      <c r="J8" s="3203">
        <v>13950</v>
      </c>
      <c r="K8" s="3203">
        <v>21650</v>
      </c>
      <c r="L8" s="3203">
        <v>2539.9</v>
      </c>
      <c r="M8" s="3203">
        <v>55.2</v>
      </c>
      <c r="N8" s="3203" t="s">
        <v>3087</v>
      </c>
    </row>
    <row r="9" spans="1:14">
      <c r="A9" s="3203" t="s">
        <v>3142</v>
      </c>
      <c r="B9" s="3203" t="s">
        <v>3050</v>
      </c>
      <c r="C9" s="3203" t="s">
        <v>3060</v>
      </c>
      <c r="D9" s="3203" t="s">
        <v>3052</v>
      </c>
      <c r="E9" s="3203">
        <v>95335.38</v>
      </c>
      <c r="F9" s="3203">
        <v>190670.8</v>
      </c>
      <c r="G9" s="3203" t="s">
        <v>3085</v>
      </c>
      <c r="H9" s="3203" t="s">
        <v>3143</v>
      </c>
      <c r="I9" s="3203" t="s">
        <v>3144</v>
      </c>
      <c r="J9" s="3203">
        <v>45100</v>
      </c>
      <c r="K9" s="3203">
        <v>45100</v>
      </c>
      <c r="L9" s="3203">
        <v>2365.3200000000002</v>
      </c>
      <c r="M9" s="3203">
        <v>0</v>
      </c>
      <c r="N9" s="3203" t="s">
        <v>3087</v>
      </c>
    </row>
    <row r="10" spans="1:14">
      <c r="A10" s="3203" t="s">
        <v>3145</v>
      </c>
      <c r="B10" s="3203" t="s">
        <v>3050</v>
      </c>
      <c r="C10" s="3203" t="s">
        <v>3051</v>
      </c>
      <c r="D10" s="3203" t="s">
        <v>3052</v>
      </c>
      <c r="E10" s="3203">
        <v>108109.7</v>
      </c>
      <c r="F10" s="3203">
        <v>378383.9</v>
      </c>
      <c r="G10" s="3203" t="s">
        <v>3146</v>
      </c>
      <c r="H10" s="3203" t="s">
        <v>3147</v>
      </c>
      <c r="I10" s="3203" t="s">
        <v>3148</v>
      </c>
      <c r="J10" s="3203">
        <v>99050</v>
      </c>
      <c r="K10" s="3203">
        <v>99050</v>
      </c>
      <c r="L10" s="3203">
        <v>2617.71</v>
      </c>
      <c r="M10" s="3203">
        <v>0</v>
      </c>
      <c r="N10" s="3203" t="s">
        <v>3053</v>
      </c>
    </row>
    <row r="11" spans="1:14">
      <c r="A11" s="3203" t="s">
        <v>3149</v>
      </c>
      <c r="B11" s="3203" t="s">
        <v>3050</v>
      </c>
      <c r="C11" s="3203" t="s">
        <v>3060</v>
      </c>
      <c r="D11" s="3203" t="s">
        <v>3052</v>
      </c>
      <c r="E11" s="3203">
        <v>140011.6</v>
      </c>
      <c r="F11" s="3203">
        <v>378031.32</v>
      </c>
      <c r="G11" s="3203" t="s">
        <v>3150</v>
      </c>
      <c r="H11" s="3203" t="s">
        <v>3151</v>
      </c>
      <c r="I11" s="3203" t="s">
        <v>3114</v>
      </c>
      <c r="J11" s="3203">
        <v>53600</v>
      </c>
      <c r="K11" s="3203">
        <v>53600</v>
      </c>
      <c r="L11" s="3203">
        <v>1417.86</v>
      </c>
      <c r="M11" s="3203">
        <v>0</v>
      </c>
      <c r="N11" s="3203" t="s">
        <v>3087</v>
      </c>
    </row>
    <row r="12" spans="1:14">
      <c r="A12" s="3203" t="s">
        <v>3152</v>
      </c>
      <c r="B12" s="3203" t="s">
        <v>3050</v>
      </c>
      <c r="C12" s="3203" t="s">
        <v>3051</v>
      </c>
      <c r="D12" s="3203" t="s">
        <v>3052</v>
      </c>
      <c r="E12" s="3203">
        <v>22693.66</v>
      </c>
      <c r="F12" s="3203">
        <v>63542.25</v>
      </c>
      <c r="G12" s="3203" t="s">
        <v>3153</v>
      </c>
      <c r="H12" s="3203" t="s">
        <v>3154</v>
      </c>
      <c r="I12" s="3203" t="s">
        <v>3088</v>
      </c>
      <c r="J12" s="3203">
        <v>17770</v>
      </c>
      <c r="K12" s="3203">
        <v>17770</v>
      </c>
      <c r="L12" s="3203">
        <v>2796.55</v>
      </c>
      <c r="M12" s="3203">
        <v>0</v>
      </c>
      <c r="N12" s="3203" t="s">
        <v>3053</v>
      </c>
    </row>
    <row r="13" spans="1:14">
      <c r="A13" s="3203" t="s">
        <v>3155</v>
      </c>
      <c r="B13" s="3203" t="s">
        <v>3050</v>
      </c>
      <c r="C13" s="3203" t="s">
        <v>3060</v>
      </c>
      <c r="D13" s="3203" t="s">
        <v>3052</v>
      </c>
      <c r="E13" s="3203">
        <v>20607.93</v>
      </c>
      <c r="F13" s="3203">
        <v>51519.83</v>
      </c>
      <c r="G13" s="3203" t="s">
        <v>3156</v>
      </c>
      <c r="H13" s="3203" t="s">
        <v>3157</v>
      </c>
      <c r="I13" s="3203" t="s">
        <v>3114</v>
      </c>
      <c r="J13" s="3203">
        <v>7960</v>
      </c>
      <c r="K13" s="3203">
        <v>7960</v>
      </c>
      <c r="L13" s="3203">
        <v>1545.03</v>
      </c>
      <c r="M13" s="3203">
        <v>0</v>
      </c>
      <c r="N13" s="3203" t="s">
        <v>3087</v>
      </c>
    </row>
    <row r="14" spans="1:14">
      <c r="A14" s="3203" t="s">
        <v>3158</v>
      </c>
      <c r="B14" s="3203" t="s">
        <v>3050</v>
      </c>
      <c r="C14" s="3203" t="s">
        <v>3060</v>
      </c>
      <c r="D14" s="3203" t="s">
        <v>3052</v>
      </c>
      <c r="E14" s="3203">
        <v>73359</v>
      </c>
      <c r="F14" s="3203">
        <v>212741.1</v>
      </c>
      <c r="G14" s="3203" t="s">
        <v>3159</v>
      </c>
      <c r="H14" s="3203" t="s">
        <v>3160</v>
      </c>
      <c r="I14" s="3203" t="s">
        <v>3161</v>
      </c>
      <c r="J14" s="3203">
        <v>44700</v>
      </c>
      <c r="K14" s="3203">
        <v>44700</v>
      </c>
      <c r="L14" s="3203">
        <v>2101.15</v>
      </c>
      <c r="M14" s="3203">
        <v>0</v>
      </c>
      <c r="N14" s="3203" t="s">
        <v>3053</v>
      </c>
    </row>
    <row r="15" spans="1:14">
      <c r="A15" s="3203" t="s">
        <v>3162</v>
      </c>
      <c r="B15" s="3203" t="s">
        <v>3050</v>
      </c>
      <c r="C15" s="3203" t="s">
        <v>3060</v>
      </c>
      <c r="D15" s="3203" t="s">
        <v>3052</v>
      </c>
      <c r="E15" s="3203">
        <v>171796.2</v>
      </c>
      <c r="F15" s="3203">
        <v>687184.6</v>
      </c>
      <c r="G15" s="3203" t="s">
        <v>3163</v>
      </c>
      <c r="H15" s="3203" t="s">
        <v>3164</v>
      </c>
      <c r="I15" s="3203" t="s">
        <v>3165</v>
      </c>
      <c r="J15" s="3203">
        <v>110500</v>
      </c>
      <c r="K15" s="3203">
        <v>110500</v>
      </c>
      <c r="L15" s="3203">
        <v>1608</v>
      </c>
      <c r="M15" s="3203">
        <v>0</v>
      </c>
      <c r="N15" s="3203" t="s">
        <v>3053</v>
      </c>
    </row>
    <row r="16" spans="1:14">
      <c r="A16" s="3203" t="s">
        <v>3166</v>
      </c>
      <c r="B16" s="3203" t="s">
        <v>3050</v>
      </c>
      <c r="C16" s="3203" t="s">
        <v>3060</v>
      </c>
      <c r="D16" s="3203" t="s">
        <v>3052</v>
      </c>
      <c r="E16" s="3203">
        <v>92592.85</v>
      </c>
      <c r="F16" s="3203">
        <v>268519.3</v>
      </c>
      <c r="G16" s="3203" t="s">
        <v>3167</v>
      </c>
      <c r="H16" s="3203" t="s">
        <v>3168</v>
      </c>
      <c r="I16" s="3203" t="s">
        <v>3169</v>
      </c>
      <c r="J16" s="3203">
        <v>85390</v>
      </c>
      <c r="K16" s="3203">
        <v>85390</v>
      </c>
      <c r="L16" s="3203">
        <v>3180.03</v>
      </c>
      <c r="M16" s="3203">
        <v>0</v>
      </c>
      <c r="N16" s="3203" t="s">
        <v>3087</v>
      </c>
    </row>
    <row r="17" spans="1:14">
      <c r="A17" s="3203" t="s">
        <v>3054</v>
      </c>
      <c r="B17" s="3203" t="s">
        <v>3050</v>
      </c>
      <c r="C17" s="3203" t="s">
        <v>3051</v>
      </c>
      <c r="D17" s="3203" t="s">
        <v>3052</v>
      </c>
      <c r="E17" s="3203">
        <v>42293.14</v>
      </c>
      <c r="F17" s="3203">
        <v>54981.08</v>
      </c>
      <c r="G17" s="3203" t="s">
        <v>3055</v>
      </c>
      <c r="H17" s="3203" t="s">
        <v>3056</v>
      </c>
      <c r="I17" s="3203" t="s">
        <v>3057</v>
      </c>
      <c r="J17" s="3203">
        <v>19000</v>
      </c>
      <c r="K17" s="3203">
        <v>31700</v>
      </c>
      <c r="L17" s="3203">
        <v>5765.61</v>
      </c>
      <c r="M17" s="3203">
        <v>66.84</v>
      </c>
      <c r="N17" s="3203" t="s">
        <v>3058</v>
      </c>
    </row>
    <row r="18" spans="1:14">
      <c r="A18" s="3203" t="s">
        <v>3059</v>
      </c>
      <c r="B18" s="3203" t="s">
        <v>3050</v>
      </c>
      <c r="C18" s="3203" t="s">
        <v>3060</v>
      </c>
      <c r="D18" s="3203" t="s">
        <v>3052</v>
      </c>
      <c r="E18" s="3203">
        <v>56796.86</v>
      </c>
      <c r="F18" s="3203">
        <v>131768.70000000001</v>
      </c>
      <c r="G18" s="3203" t="s">
        <v>3061</v>
      </c>
      <c r="H18" s="3203" t="s">
        <v>3056</v>
      </c>
      <c r="I18" s="3203" t="s">
        <v>3062</v>
      </c>
      <c r="J18" s="3203">
        <v>29800</v>
      </c>
      <c r="K18" s="3203">
        <v>43199.7</v>
      </c>
      <c r="L18" s="3203">
        <v>3278.44</v>
      </c>
      <c r="M18" s="3203">
        <v>44.97</v>
      </c>
      <c r="N18" s="3203" t="s">
        <v>3063</v>
      </c>
    </row>
    <row r="19" spans="1:14">
      <c r="A19" s="3203" t="s">
        <v>3064</v>
      </c>
      <c r="B19" s="3203" t="s">
        <v>3050</v>
      </c>
      <c r="C19" s="3203" t="s">
        <v>3051</v>
      </c>
      <c r="D19" s="3203" t="s">
        <v>3052</v>
      </c>
      <c r="E19" s="3203">
        <v>66908.990000000005</v>
      </c>
      <c r="F19" s="3203">
        <v>167272.5</v>
      </c>
      <c r="G19" s="3203" t="s">
        <v>3065</v>
      </c>
      <c r="H19" s="3203" t="s">
        <v>3056</v>
      </c>
      <c r="I19" s="3203" t="s">
        <v>3066</v>
      </c>
      <c r="J19" s="3203">
        <v>38900</v>
      </c>
      <c r="K19" s="3203">
        <v>50298.83</v>
      </c>
      <c r="L19" s="3203">
        <v>3007</v>
      </c>
      <c r="M19" s="3203">
        <v>29.3</v>
      </c>
      <c r="N19" s="3203" t="s">
        <v>3063</v>
      </c>
    </row>
    <row r="20" spans="1:14" s="3204" customFormat="1">
      <c r="A20" s="3204" t="s">
        <v>3067</v>
      </c>
      <c r="B20" s="3204" t="s">
        <v>3050</v>
      </c>
      <c r="C20" s="3204" t="s">
        <v>3051</v>
      </c>
      <c r="D20" s="3204" t="s">
        <v>3052</v>
      </c>
      <c r="E20" s="3204">
        <v>57959.74</v>
      </c>
      <c r="F20" s="3204">
        <v>143160.6</v>
      </c>
      <c r="G20" s="3204" t="s">
        <v>3068</v>
      </c>
      <c r="H20" s="3204" t="s">
        <v>3069</v>
      </c>
      <c r="I20" s="3204" t="s">
        <v>3070</v>
      </c>
      <c r="J20" s="3204">
        <v>26900</v>
      </c>
      <c r="K20" s="3204">
        <v>59800</v>
      </c>
      <c r="L20" s="3204">
        <v>4177.13</v>
      </c>
      <c r="M20" s="3204">
        <v>122.3</v>
      </c>
      <c r="N20" s="3204" t="s">
        <v>3063</v>
      </c>
    </row>
    <row r="21" spans="1:14">
      <c r="A21" s="3203" t="s">
        <v>3071</v>
      </c>
      <c r="B21" s="3203" t="s">
        <v>3050</v>
      </c>
      <c r="C21" s="3203" t="s">
        <v>3051</v>
      </c>
      <c r="D21" s="3203" t="s">
        <v>3052</v>
      </c>
      <c r="E21" s="3203">
        <v>14923.08</v>
      </c>
      <c r="F21" s="3203">
        <v>41784.620000000003</v>
      </c>
      <c r="G21" s="3203" t="s">
        <v>3072</v>
      </c>
      <c r="H21" s="3203" t="s">
        <v>3069</v>
      </c>
      <c r="I21" s="3203" t="s">
        <v>3073</v>
      </c>
      <c r="J21" s="3203">
        <v>4200</v>
      </c>
      <c r="K21" s="3203">
        <v>4200</v>
      </c>
      <c r="L21" s="3203">
        <v>1005.14</v>
      </c>
      <c r="M21" s="3203">
        <v>0</v>
      </c>
      <c r="N21" s="3203" t="s">
        <v>3063</v>
      </c>
    </row>
    <row r="22" spans="1:14">
      <c r="A22" s="3203" t="s">
        <v>3074</v>
      </c>
      <c r="B22" s="3203" t="s">
        <v>3050</v>
      </c>
      <c r="C22" s="3203" t="s">
        <v>3051</v>
      </c>
      <c r="D22" s="3203" t="s">
        <v>3052</v>
      </c>
      <c r="E22" s="3203">
        <v>9237.73</v>
      </c>
      <c r="F22" s="3203">
        <v>25865.64</v>
      </c>
      <c r="G22" s="3203" t="s">
        <v>3075</v>
      </c>
      <c r="H22" s="3203" t="s">
        <v>3069</v>
      </c>
      <c r="I22" s="3203" t="s">
        <v>3073</v>
      </c>
      <c r="J22" s="3203">
        <v>3500</v>
      </c>
      <c r="K22" s="3203">
        <v>3500</v>
      </c>
      <c r="L22" s="3203">
        <v>1353.15</v>
      </c>
      <c r="M22" s="3203">
        <v>0</v>
      </c>
      <c r="N22" s="3203" t="s">
        <v>3063</v>
      </c>
    </row>
    <row r="23" spans="1:14">
      <c r="A23" s="3203" t="s">
        <v>3076</v>
      </c>
      <c r="B23" s="3203" t="s">
        <v>3050</v>
      </c>
      <c r="C23" s="3203" t="s">
        <v>3051</v>
      </c>
      <c r="D23" s="3203" t="s">
        <v>3052</v>
      </c>
      <c r="E23" s="3203">
        <v>81726.039999999994</v>
      </c>
      <c r="F23" s="3203">
        <v>204315.1</v>
      </c>
      <c r="G23" s="3203" t="s">
        <v>3065</v>
      </c>
      <c r="H23" s="3203" t="s">
        <v>3077</v>
      </c>
      <c r="I23" s="3203" t="s">
        <v>3078</v>
      </c>
      <c r="J23" s="3203">
        <v>25100</v>
      </c>
      <c r="K23" s="3203">
        <v>25100</v>
      </c>
      <c r="L23" s="3203">
        <v>1228.49</v>
      </c>
      <c r="M23" s="3203">
        <v>0</v>
      </c>
      <c r="N23" s="3203" t="s">
        <v>3063</v>
      </c>
    </row>
    <row r="24" spans="1:14">
      <c r="A24" s="3203" t="s">
        <v>3079</v>
      </c>
      <c r="B24" s="3203" t="s">
        <v>3050</v>
      </c>
      <c r="C24" s="3203" t="s">
        <v>3051</v>
      </c>
      <c r="D24" s="3203" t="s">
        <v>3052</v>
      </c>
      <c r="E24" s="3203">
        <v>135087.70000000001</v>
      </c>
      <c r="F24" s="3203">
        <v>360684.3</v>
      </c>
      <c r="G24" s="3203" t="s">
        <v>3080</v>
      </c>
      <c r="H24" s="3203" t="s">
        <v>3081</v>
      </c>
      <c r="I24" s="3203" t="s">
        <v>3082</v>
      </c>
      <c r="J24" s="3203">
        <v>86400</v>
      </c>
      <c r="K24" s="3203">
        <v>86400</v>
      </c>
      <c r="L24" s="3203">
        <v>2395.44</v>
      </c>
      <c r="M24" s="3203">
        <v>0</v>
      </c>
      <c r="N24" s="3203" t="s">
        <v>3063</v>
      </c>
    </row>
    <row r="25" spans="1:14">
      <c r="A25" s="3203" t="s">
        <v>3083</v>
      </c>
      <c r="B25" s="3203" t="s">
        <v>3050</v>
      </c>
      <c r="C25" s="3203" t="s">
        <v>3051</v>
      </c>
      <c r="D25" s="3203" t="s">
        <v>3052</v>
      </c>
      <c r="E25" s="3203">
        <v>104568.2</v>
      </c>
      <c r="F25" s="3203">
        <v>302202.2</v>
      </c>
      <c r="G25" s="3203" t="s">
        <v>3084</v>
      </c>
      <c r="H25" s="3203" t="s">
        <v>3081</v>
      </c>
      <c r="I25" s="3203" t="s">
        <v>3082</v>
      </c>
      <c r="J25" s="3203">
        <v>71600</v>
      </c>
      <c r="K25" s="3203">
        <v>71600</v>
      </c>
      <c r="L25" s="3203">
        <v>2369.2600000000002</v>
      </c>
      <c r="M25" s="3203">
        <v>0</v>
      </c>
      <c r="N25" s="3203" t="s">
        <v>3063</v>
      </c>
    </row>
    <row r="26" spans="1:14">
      <c r="A26" s="3203" t="s">
        <v>3090</v>
      </c>
      <c r="B26" s="3203" t="s">
        <v>3050</v>
      </c>
      <c r="C26" s="3203" t="s">
        <v>3051</v>
      </c>
      <c r="D26" s="3203" t="s">
        <v>3052</v>
      </c>
      <c r="E26" s="3203">
        <v>166674.20000000001</v>
      </c>
      <c r="F26" s="3203">
        <v>433353</v>
      </c>
      <c r="G26" s="3203" t="s">
        <v>3091</v>
      </c>
      <c r="H26" s="3203" t="s">
        <v>3089</v>
      </c>
      <c r="I26" s="3203" t="s">
        <v>3092</v>
      </c>
      <c r="J26" s="3203">
        <v>57800</v>
      </c>
      <c r="K26" s="3203">
        <v>57800</v>
      </c>
      <c r="L26" s="3203">
        <v>1333.78</v>
      </c>
      <c r="M26" s="3203">
        <v>0</v>
      </c>
      <c r="N26" s="3203" t="s">
        <v>3063</v>
      </c>
    </row>
    <row r="27" spans="1:14">
      <c r="A27" s="3203" t="s">
        <v>3093</v>
      </c>
      <c r="B27" s="3203" t="s">
        <v>3050</v>
      </c>
      <c r="C27" s="3203" t="s">
        <v>3051</v>
      </c>
      <c r="D27" s="3203" t="s">
        <v>3052</v>
      </c>
      <c r="E27" s="3203">
        <v>20487.05</v>
      </c>
      <c r="F27" s="3203">
        <v>45071.51</v>
      </c>
      <c r="G27" s="3203" t="s">
        <v>3086</v>
      </c>
      <c r="H27" s="3203" t="s">
        <v>3089</v>
      </c>
      <c r="I27" s="3203" t="s">
        <v>3092</v>
      </c>
      <c r="J27" s="3203">
        <v>6400</v>
      </c>
      <c r="K27" s="3203">
        <v>6400</v>
      </c>
      <c r="L27" s="3203">
        <v>1419.97</v>
      </c>
      <c r="M27" s="3203">
        <v>0</v>
      </c>
      <c r="N27" s="3203" t="s">
        <v>3063</v>
      </c>
    </row>
    <row r="28" spans="1:14">
      <c r="A28" s="3203" t="s">
        <v>3094</v>
      </c>
      <c r="B28" s="3203" t="s">
        <v>3050</v>
      </c>
      <c r="C28" s="3203" t="s">
        <v>3051</v>
      </c>
      <c r="D28" s="3203" t="s">
        <v>3052</v>
      </c>
      <c r="E28" s="3203">
        <v>50126.8</v>
      </c>
      <c r="F28" s="3203">
        <v>100253.6</v>
      </c>
      <c r="G28" s="3203" t="s">
        <v>3095</v>
      </c>
      <c r="H28" s="3203" t="s">
        <v>3096</v>
      </c>
      <c r="I28" s="3203" t="s">
        <v>3097</v>
      </c>
      <c r="J28" s="3203">
        <v>12690</v>
      </c>
      <c r="K28" s="3203">
        <v>12690</v>
      </c>
      <c r="L28" s="3203">
        <v>1265.78</v>
      </c>
      <c r="M28" s="3203">
        <v>0</v>
      </c>
      <c r="N28" s="3203" t="s">
        <v>3063</v>
      </c>
    </row>
    <row r="29" spans="1:14">
      <c r="A29" s="3203" t="s">
        <v>3098</v>
      </c>
      <c r="B29" s="3203" t="s">
        <v>3050</v>
      </c>
      <c r="C29" s="3203" t="s">
        <v>3051</v>
      </c>
      <c r="D29" s="3203" t="s">
        <v>3052</v>
      </c>
      <c r="E29" s="3203">
        <v>146662.20000000001</v>
      </c>
      <c r="F29" s="3203">
        <v>410654.1</v>
      </c>
      <c r="G29" s="3203" t="s">
        <v>3099</v>
      </c>
      <c r="H29" s="3203" t="s">
        <v>3096</v>
      </c>
      <c r="I29" s="3203" t="s">
        <v>3097</v>
      </c>
      <c r="J29" s="3203">
        <v>47100</v>
      </c>
      <c r="K29" s="3203">
        <v>47100</v>
      </c>
      <c r="L29" s="3203">
        <v>1146.95</v>
      </c>
      <c r="M29" s="3203">
        <v>0</v>
      </c>
      <c r="N29" s="3203" t="s">
        <v>3063</v>
      </c>
    </row>
    <row r="30" spans="1:14" s="3204" customFormat="1">
      <c r="A30" s="3204" t="s">
        <v>3103</v>
      </c>
      <c r="B30" s="3204" t="s">
        <v>3050</v>
      </c>
      <c r="C30" s="3204" t="s">
        <v>3060</v>
      </c>
      <c r="D30" s="3204" t="s">
        <v>3052</v>
      </c>
      <c r="E30" s="3204">
        <v>94618.05</v>
      </c>
      <c r="F30" s="3204">
        <v>236545.1</v>
      </c>
      <c r="G30" s="3204" t="s">
        <v>3104</v>
      </c>
      <c r="H30" s="3204" t="s">
        <v>3101</v>
      </c>
      <c r="I30" s="3204" t="s">
        <v>3105</v>
      </c>
      <c r="J30" s="3204">
        <v>39780</v>
      </c>
      <c r="K30" s="3204">
        <v>92380</v>
      </c>
      <c r="L30" s="3204">
        <v>3905.38</v>
      </c>
      <c r="M30" s="3204">
        <v>132.22999999999999</v>
      </c>
      <c r="N30" s="3204" t="s">
        <v>3063</v>
      </c>
    </row>
    <row r="31" spans="1:14">
      <c r="A31" s="3203" t="s">
        <v>3108</v>
      </c>
      <c r="B31" s="3203" t="s">
        <v>3050</v>
      </c>
      <c r="C31" s="3203" t="s">
        <v>3051</v>
      </c>
      <c r="D31" s="3203" t="s">
        <v>3052</v>
      </c>
      <c r="E31" s="3203">
        <v>83286.880000000005</v>
      </c>
      <c r="F31" s="3203">
        <v>166573.79999999999</v>
      </c>
      <c r="G31" s="3203" t="s">
        <v>3109</v>
      </c>
      <c r="H31" s="3203" t="s">
        <v>3107</v>
      </c>
      <c r="I31" s="3203" t="s">
        <v>3110</v>
      </c>
      <c r="J31" s="3203">
        <v>31080</v>
      </c>
      <c r="K31" s="3203">
        <v>97180</v>
      </c>
      <c r="L31" s="3203">
        <v>5834.05</v>
      </c>
      <c r="M31" s="3203">
        <v>212.68</v>
      </c>
      <c r="N31" s="3203" t="s">
        <v>3063</v>
      </c>
    </row>
    <row r="32" spans="1:14">
      <c r="A32" s="3203" t="s">
        <v>3111</v>
      </c>
      <c r="B32" s="3203" t="s">
        <v>3050</v>
      </c>
      <c r="C32" s="3203" t="s">
        <v>3051</v>
      </c>
      <c r="D32" s="3203" t="s">
        <v>3052</v>
      </c>
      <c r="E32" s="3203">
        <v>81597.25</v>
      </c>
      <c r="F32" s="3203">
        <v>203993.1</v>
      </c>
      <c r="G32" s="3203" t="s">
        <v>3100</v>
      </c>
      <c r="H32" s="3203" t="s">
        <v>3112</v>
      </c>
      <c r="I32" s="3203" t="s">
        <v>3066</v>
      </c>
      <c r="J32" s="3203">
        <v>33550</v>
      </c>
      <c r="K32" s="3203">
        <v>33550</v>
      </c>
      <c r="L32" s="3203">
        <v>1644.66</v>
      </c>
      <c r="M32" s="3203">
        <v>0</v>
      </c>
      <c r="N32" s="3203" t="s">
        <v>3063</v>
      </c>
    </row>
    <row r="33" spans="1:14">
      <c r="A33" s="3203" t="s">
        <v>3115</v>
      </c>
      <c r="B33" s="3203" t="s">
        <v>3050</v>
      </c>
      <c r="C33" s="3203" t="s">
        <v>3051</v>
      </c>
      <c r="D33" s="3203" t="s">
        <v>3052</v>
      </c>
      <c r="E33" s="3203">
        <v>17240.73</v>
      </c>
      <c r="F33" s="3203">
        <v>43101.82</v>
      </c>
      <c r="G33" s="3203" t="s">
        <v>3104</v>
      </c>
      <c r="H33" s="3203" t="s">
        <v>3116</v>
      </c>
      <c r="I33" s="3203" t="s">
        <v>3073</v>
      </c>
      <c r="J33" s="3203">
        <v>2670</v>
      </c>
      <c r="K33" s="3203">
        <v>2670</v>
      </c>
      <c r="L33" s="3203">
        <v>619.46</v>
      </c>
      <c r="M33" s="3203">
        <v>0</v>
      </c>
      <c r="N33" s="3203" t="s">
        <v>3058</v>
      </c>
    </row>
    <row r="34" spans="1:14" s="3204" customFormat="1">
      <c r="A34" s="3204" t="s">
        <v>3117</v>
      </c>
      <c r="B34" s="3204" t="s">
        <v>3050</v>
      </c>
      <c r="C34" s="3204" t="s">
        <v>3051</v>
      </c>
      <c r="D34" s="3204" t="s">
        <v>3052</v>
      </c>
      <c r="E34" s="3204">
        <v>94612.57</v>
      </c>
      <c r="F34" s="3204">
        <v>236531.4</v>
      </c>
      <c r="G34" s="3204" t="s">
        <v>3100</v>
      </c>
      <c r="H34" s="3204" t="s">
        <v>3118</v>
      </c>
      <c r="I34" s="3204" t="s">
        <v>3119</v>
      </c>
      <c r="J34" s="3204">
        <v>27450</v>
      </c>
      <c r="K34" s="3204">
        <v>85400</v>
      </c>
      <c r="L34" s="3204">
        <v>3610.51</v>
      </c>
      <c r="M34" s="3204">
        <v>211.11</v>
      </c>
      <c r="N34" s="3204" t="s">
        <v>3063</v>
      </c>
    </row>
    <row r="35" spans="1:14">
      <c r="A35" s="3203" t="s">
        <v>3183</v>
      </c>
      <c r="B35" s="3203" t="s">
        <v>3050</v>
      </c>
      <c r="C35" s="3203" t="s">
        <v>3060</v>
      </c>
      <c r="D35" s="3203" t="s">
        <v>3052</v>
      </c>
      <c r="E35" s="3203">
        <v>80976.61</v>
      </c>
      <c r="F35" s="3203">
        <v>161953.20000000001</v>
      </c>
      <c r="G35" s="3203" t="s">
        <v>3182</v>
      </c>
      <c r="H35" s="3203" t="s">
        <v>3181</v>
      </c>
      <c r="I35" s="3203" t="s">
        <v>3180</v>
      </c>
      <c r="J35" s="3203">
        <v>16550</v>
      </c>
      <c r="K35" s="3203">
        <v>16550</v>
      </c>
      <c r="L35" s="3203">
        <v>1021.89</v>
      </c>
      <c r="M35" s="3203">
        <v>0</v>
      </c>
      <c r="N35" s="3203" t="s">
        <v>3063</v>
      </c>
    </row>
    <row r="36" spans="1:14">
      <c r="A36" s="3203" t="s">
        <v>3179</v>
      </c>
      <c r="B36" s="3203" t="s">
        <v>3050</v>
      </c>
      <c r="C36" s="3203" t="s">
        <v>3051</v>
      </c>
      <c r="D36" s="3203" t="s">
        <v>3052</v>
      </c>
      <c r="E36" s="3203">
        <v>9218.1299999999992</v>
      </c>
      <c r="F36" s="3203">
        <v>27654.39</v>
      </c>
      <c r="G36" s="3203" t="s">
        <v>3178</v>
      </c>
      <c r="H36" s="3203" t="s">
        <v>3177</v>
      </c>
      <c r="I36" s="3203" t="s">
        <v>3170</v>
      </c>
      <c r="J36" s="3203">
        <v>2485</v>
      </c>
      <c r="K36" s="3203">
        <v>2485</v>
      </c>
      <c r="L36" s="3203">
        <v>898.59</v>
      </c>
      <c r="M36" s="3203">
        <v>0</v>
      </c>
      <c r="N36" s="3203" t="s">
        <v>3058</v>
      </c>
    </row>
    <row r="37" spans="1:14">
      <c r="A37" s="3203" t="s">
        <v>3176</v>
      </c>
      <c r="B37" s="3203" t="s">
        <v>3050</v>
      </c>
      <c r="C37" s="3203" t="s">
        <v>3060</v>
      </c>
      <c r="D37" s="3203" t="s">
        <v>3052</v>
      </c>
      <c r="E37" s="3203">
        <v>4765.83</v>
      </c>
      <c r="F37" s="3203">
        <v>9531.66</v>
      </c>
      <c r="G37" s="3203" t="s">
        <v>3175</v>
      </c>
      <c r="H37" s="3203" t="s">
        <v>3171</v>
      </c>
      <c r="I37" s="3203" t="s">
        <v>3170</v>
      </c>
      <c r="J37" s="3203">
        <v>760</v>
      </c>
      <c r="K37" s="3203">
        <v>760</v>
      </c>
      <c r="L37" s="3203">
        <v>797.34</v>
      </c>
      <c r="M37" s="3203">
        <v>0</v>
      </c>
      <c r="N37" s="3203" t="s">
        <v>3058</v>
      </c>
    </row>
    <row r="38" spans="1:14">
      <c r="A38" s="3203" t="s">
        <v>3174</v>
      </c>
      <c r="B38" s="3203" t="s">
        <v>3050</v>
      </c>
      <c r="C38" s="3203" t="s">
        <v>3051</v>
      </c>
      <c r="D38" s="3203" t="s">
        <v>3052</v>
      </c>
      <c r="E38" s="3203">
        <v>23956.53</v>
      </c>
      <c r="F38" s="3203">
        <v>35934.800000000003</v>
      </c>
      <c r="G38" s="3203" t="s">
        <v>3172</v>
      </c>
      <c r="H38" s="3203" t="s">
        <v>3171</v>
      </c>
      <c r="I38" s="3203" t="s">
        <v>3170</v>
      </c>
      <c r="J38" s="3203">
        <v>3050</v>
      </c>
      <c r="K38" s="3203">
        <v>3050</v>
      </c>
      <c r="L38" s="3203">
        <v>848.75</v>
      </c>
      <c r="M38" s="3203">
        <v>0</v>
      </c>
      <c r="N38" s="3203" t="s">
        <v>3058</v>
      </c>
    </row>
    <row r="39" spans="1:14">
      <c r="A39" s="3203" t="s">
        <v>3173</v>
      </c>
      <c r="B39" s="3203" t="s">
        <v>3050</v>
      </c>
      <c r="C39" s="3203" t="s">
        <v>3051</v>
      </c>
      <c r="D39" s="3203" t="s">
        <v>3052</v>
      </c>
      <c r="E39" s="3203">
        <v>11670.74</v>
      </c>
      <c r="F39" s="3203">
        <v>17506.11</v>
      </c>
      <c r="G39" s="3203" t="s">
        <v>3172</v>
      </c>
      <c r="H39" s="3203" t="s">
        <v>3171</v>
      </c>
      <c r="I39" s="3203" t="s">
        <v>3170</v>
      </c>
      <c r="J39" s="3203">
        <v>1460</v>
      </c>
      <c r="K39" s="3203">
        <v>1460</v>
      </c>
      <c r="L39" s="3203">
        <v>833.99</v>
      </c>
      <c r="M39" s="3203">
        <v>0</v>
      </c>
      <c r="N39" s="3203" t="s">
        <v>3058</v>
      </c>
    </row>
  </sheetData>
  <phoneticPr fontId="228" type="noConversion"/>
  <pageMargins left="0.75" right="0.75" top="1" bottom="1" header="0.5" footer="0.5"/>
  <pageSetup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92D050"/>
    <pageSetUpPr fitToPage="1"/>
  </sheetPr>
  <dimension ref="A1:AG76"/>
  <sheetViews>
    <sheetView view="pageBreakPreview" zoomScale="70" zoomScaleNormal="100" zoomScaleSheetLayoutView="70" workbookViewId="0">
      <selection activeCell="F10" sqref="F10"/>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t="s">
        <v>3211</v>
      </c>
      <c r="D1" s="3071" t="s">
        <v>3246</v>
      </c>
      <c r="E1" s="2348" t="s">
        <v>870</v>
      </c>
      <c r="F1" s="2349">
        <f ca="1">J53</f>
        <v>48</v>
      </c>
      <c r="G1" s="773">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467</v>
      </c>
      <c r="B2" s="774">
        <f ca="1">C40+J29+L46</f>
        <v>4186</v>
      </c>
      <c r="C2" s="2039"/>
      <c r="D2" s="2037"/>
      <c r="E2" s="2038"/>
      <c r="F2" s="2038"/>
      <c r="G2" s="1573"/>
      <c r="H2" s="2039"/>
      <c r="I2" s="2039"/>
      <c r="J2" s="2039"/>
      <c r="K2" s="2040"/>
      <c r="L2" s="2039"/>
      <c r="M2" s="2039"/>
    </row>
    <row r="3" spans="1:33" ht="18" customHeight="1" thickBot="1">
      <c r="A3" s="832" t="s">
        <v>519</v>
      </c>
      <c r="B3" s="833">
        <f ca="1">IF(ISERROR(B2*10000/F43),0,ROUND(B2*10000/F43,0))</f>
        <v>1997</v>
      </c>
      <c r="C3" s="2039"/>
      <c r="D3" s="2037"/>
      <c r="E3" s="2038"/>
      <c r="F3" s="2038"/>
      <c r="G3" s="1573"/>
      <c r="H3" s="775" t="s">
        <v>695</v>
      </c>
      <c r="I3" s="1357"/>
      <c r="J3" s="1357"/>
      <c r="K3" s="1574"/>
      <c r="L3" s="1357"/>
      <c r="M3" s="1357"/>
    </row>
    <row r="4" spans="1:33" ht="18" customHeight="1">
      <c r="A4" s="776" t="s">
        <v>698</v>
      </c>
      <c r="B4" s="777" t="s">
        <v>699</v>
      </c>
      <c r="C4" s="777" t="s">
        <v>632</v>
      </c>
      <c r="D4" s="777" t="s">
        <v>633</v>
      </c>
      <c r="E4" s="778" t="s">
        <v>1731</v>
      </c>
      <c r="F4" s="779"/>
      <c r="G4" s="1575"/>
      <c r="H4" s="776" t="s">
        <v>698</v>
      </c>
      <c r="I4" s="777" t="s">
        <v>699</v>
      </c>
      <c r="J4" s="777" t="s">
        <v>632</v>
      </c>
      <c r="K4" s="777" t="s">
        <v>1735</v>
      </c>
      <c r="L4" s="778" t="s">
        <v>1736</v>
      </c>
      <c r="M4" s="779"/>
    </row>
    <row r="5" spans="1:33" ht="18" customHeight="1">
      <c r="A5" s="780">
        <v>1</v>
      </c>
      <c r="B5" s="781" t="s">
        <v>2453</v>
      </c>
      <c r="C5" s="55">
        <f ca="1">C6+C10+C12</f>
        <v>344</v>
      </c>
      <c r="D5" s="2457" t="s">
        <v>2456</v>
      </c>
      <c r="E5" s="2451"/>
      <c r="F5" s="2452"/>
      <c r="G5" s="1575"/>
      <c r="H5" s="780">
        <v>1</v>
      </c>
      <c r="I5" s="781" t="s">
        <v>2453</v>
      </c>
      <c r="J5" s="55">
        <f ca="1">J6+J10+J12</f>
        <v>0</v>
      </c>
      <c r="K5" s="2457" t="s">
        <v>2456</v>
      </c>
      <c r="L5" s="2451"/>
      <c r="M5" s="2452"/>
    </row>
    <row r="6" spans="1:33" ht="18" customHeight="1">
      <c r="A6" s="1812" t="s">
        <v>1824</v>
      </c>
      <c r="B6" s="3554" t="s">
        <v>2458</v>
      </c>
      <c r="C6" s="782">
        <f ca="1">ROUND(F6*F8*F7*(1-F9)/10000,0)</f>
        <v>344</v>
      </c>
      <c r="D6" s="2458" t="s">
        <v>2457</v>
      </c>
      <c r="E6" s="783" t="s">
        <v>1738</v>
      </c>
      <c r="F6" s="784">
        <f ca="1">INDIRECT("'数据-取费表'!u"&amp;$G$1)</f>
        <v>0.5</v>
      </c>
      <c r="G6" s="1575"/>
      <c r="H6" s="2465" t="s">
        <v>2463</v>
      </c>
      <c r="I6" s="3554" t="s">
        <v>2458</v>
      </c>
      <c r="J6" s="782">
        <f ca="1">ROUND(M6*M8*M7*(1-M9)/10000,0)</f>
        <v>0</v>
      </c>
      <c r="K6" s="340" t="s">
        <v>1737</v>
      </c>
      <c r="L6" s="783" t="s">
        <v>1738</v>
      </c>
      <c r="M6" s="784">
        <f ca="1">INDIRECT("'数据-取费表'!z"&amp;$G$1)</f>
        <v>0</v>
      </c>
    </row>
    <row r="7" spans="1:33" ht="18" customHeight="1">
      <c r="A7" s="2461"/>
      <c r="B7" s="3555"/>
      <c r="C7" s="787"/>
      <c r="D7" s="788"/>
      <c r="E7" s="783" t="s">
        <v>1739</v>
      </c>
      <c r="F7" s="784">
        <f ca="1">IF(INDIRECT("'数据-取费表'!ah"&amp;$G$1)="",INDIRECT("'数据-取费表'!k"&amp;$G$1),INDIRECT("'数据-取费表'!ah"&amp;$G$1))</f>
        <v>20961.669999999998</v>
      </c>
      <c r="G7" s="1575"/>
      <c r="H7" s="2450"/>
      <c r="I7" s="3555"/>
      <c r="J7" s="787"/>
      <c r="K7" s="788"/>
      <c r="L7" s="783" t="s">
        <v>1739</v>
      </c>
      <c r="M7" s="784">
        <f ca="1">F7</f>
        <v>20961.669999999998</v>
      </c>
    </row>
    <row r="8" spans="1:33" ht="18" customHeight="1">
      <c r="A8" s="2454"/>
      <c r="B8" s="3556"/>
      <c r="C8" s="787"/>
      <c r="D8" s="788"/>
      <c r="E8" s="783" t="s">
        <v>1740</v>
      </c>
      <c r="F8" s="784">
        <f ca="1">INDIRECT("'数据-取费表'!ai"&amp;$G$1)</f>
        <v>365</v>
      </c>
      <c r="G8" s="1575"/>
      <c r="H8" s="2450"/>
      <c r="I8" s="3556"/>
      <c r="J8" s="787"/>
      <c r="K8" s="788"/>
      <c r="L8" s="783" t="s">
        <v>1740</v>
      </c>
      <c r="M8" s="784">
        <f ca="1">INDIRECT("'数据-取费表'!ai"&amp;$G$1)</f>
        <v>365</v>
      </c>
    </row>
    <row r="9" spans="1:33" ht="18" customHeight="1">
      <c r="A9" s="785"/>
      <c r="B9" s="3557"/>
      <c r="C9" s="787"/>
      <c r="D9" s="788"/>
      <c r="E9" s="783" t="s">
        <v>1741</v>
      </c>
      <c r="F9" s="793">
        <f ca="1">INDIRECT("'数据-取费表'!w"&amp;$G$1)</f>
        <v>0.1</v>
      </c>
      <c r="G9" s="1575"/>
      <c r="H9" s="2466"/>
      <c r="I9" s="3556"/>
      <c r="J9" s="787"/>
      <c r="K9" s="788"/>
      <c r="L9" s="794" t="s">
        <v>1741</v>
      </c>
      <c r="M9" s="795">
        <f ca="1">INDIRECT("'数据-取费表'!ab"&amp;$G$1)</f>
        <v>0</v>
      </c>
    </row>
    <row r="10" spans="1:33" ht="18" customHeight="1">
      <c r="A10" s="1812" t="s">
        <v>2461</v>
      </c>
      <c r="B10" s="2455" t="s">
        <v>2454</v>
      </c>
      <c r="C10" s="798">
        <f ca="1">ROUND(IF(F10="押一",C6/12*F11,IF(F10="押二",C6/12*2*F11,IF(F10="押三",C6/12*3*F11,C11*F11))),0)</f>
        <v>0</v>
      </c>
      <c r="D10" s="2462" t="s">
        <v>2966</v>
      </c>
      <c r="E10" s="2459" t="s">
        <v>2459</v>
      </c>
      <c r="F10" s="3271" t="s">
        <v>3319</v>
      </c>
      <c r="G10" s="1575"/>
      <c r="H10" s="2522" t="s">
        <v>2464</v>
      </c>
      <c r="I10" s="2527" t="s">
        <v>2454</v>
      </c>
      <c r="J10" s="782">
        <f ca="1">ROUND(IF(M10="押一",J6/12*M11,IF(M10="押二",J6/12*2*M11,IF(M10="押三",J6/12*3*M11,J11*M11))),0)</f>
        <v>0</v>
      </c>
      <c r="K10" s="2462" t="s">
        <v>2966</v>
      </c>
      <c r="L10" s="2459" t="s">
        <v>2459</v>
      </c>
      <c r="M10" s="2582"/>
    </row>
    <row r="11" spans="1:33" ht="18" customHeight="1">
      <c r="A11" s="789"/>
      <c r="B11" s="2456" t="s">
        <v>2568</v>
      </c>
      <c r="C11" s="2460"/>
      <c r="D11" s="788"/>
      <c r="E11" s="2459" t="s">
        <v>2460</v>
      </c>
      <c r="F11" s="795">
        <f ca="1">'数据-取费表'!B39</f>
        <v>1.4999999999999999E-2</v>
      </c>
      <c r="G11" s="1575"/>
      <c r="H11" s="2523"/>
      <c r="I11" s="2456" t="s">
        <v>2568</v>
      </c>
      <c r="J11" s="2460"/>
      <c r="K11" s="2524"/>
      <c r="L11" s="2459" t="s">
        <v>2460</v>
      </c>
      <c r="M11" s="2453">
        <f ca="1">'数据-取费表'!B39</f>
        <v>1.4999999999999999E-2</v>
      </c>
    </row>
    <row r="12" spans="1:33" ht="18" customHeight="1" thickBot="1">
      <c r="A12" s="2498" t="s">
        <v>2462</v>
      </c>
      <c r="B12" s="2499" t="s">
        <v>2455</v>
      </c>
      <c r="C12" s="2500"/>
      <c r="D12" s="2501"/>
      <c r="E12" s="2502"/>
      <c r="F12" s="2503"/>
      <c r="G12" s="1575"/>
      <c r="H12" s="2512" t="s">
        <v>2462</v>
      </c>
      <c r="I12" s="2525" t="s">
        <v>2455</v>
      </c>
      <c r="J12" s="2526"/>
      <c r="K12" s="2501"/>
      <c r="L12" s="2502"/>
      <c r="M12" s="2515"/>
    </row>
    <row r="13" spans="1:33" ht="18" customHeight="1" thickTop="1">
      <c r="A13" s="1811">
        <v>2</v>
      </c>
      <c r="B13" s="1809" t="s">
        <v>644</v>
      </c>
      <c r="C13" s="791">
        <f ca="1">ROUND(C29*F13,0)</f>
        <v>6037</v>
      </c>
      <c r="D13" s="1816" t="s">
        <v>2295</v>
      </c>
      <c r="E13" s="1816" t="s">
        <v>1744</v>
      </c>
      <c r="F13" s="2497">
        <f ca="1">INDIRECT("'数据-取费表'!y"&amp;$G$1)</f>
        <v>1</v>
      </c>
      <c r="G13" s="1575"/>
      <c r="H13" s="1811">
        <v>2</v>
      </c>
      <c r="I13" s="1809" t="s">
        <v>644</v>
      </c>
      <c r="J13" s="1801">
        <f ca="1">ROUND(J14*J15,0)</f>
        <v>0</v>
      </c>
      <c r="K13" s="1803" t="s">
        <v>1743</v>
      </c>
      <c r="L13" s="2513"/>
      <c r="M13" s="2514"/>
    </row>
    <row r="14" spans="1:33" ht="18" customHeight="1">
      <c r="A14" s="1630" t="s">
        <v>1884</v>
      </c>
      <c r="B14" s="783" t="s">
        <v>645</v>
      </c>
      <c r="C14" s="803">
        <f ca="1">INDIRECT("'数据-取费表'!m"&amp;$G$1)+INDIRECT("'数据-取费表'!t"&amp;$G$1)</f>
        <v>4285</v>
      </c>
      <c r="D14" s="3207" t="s">
        <v>646</v>
      </c>
      <c r="E14" s="3208"/>
      <c r="F14" s="804"/>
      <c r="G14" s="1575"/>
      <c r="H14" s="1631" t="s">
        <v>1830</v>
      </c>
      <c r="I14" s="2213" t="s">
        <v>2820</v>
      </c>
      <c r="J14" s="53">
        <f ca="1">C29</f>
        <v>6037</v>
      </c>
      <c r="K14" s="26"/>
      <c r="L14" s="800"/>
      <c r="M14" s="801"/>
    </row>
    <row r="15" spans="1:33" s="2046" customFormat="1" ht="18" customHeight="1" thickBot="1">
      <c r="A15" s="1630" t="s">
        <v>1885</v>
      </c>
      <c r="B15" s="783" t="s">
        <v>647</v>
      </c>
      <c r="C15" s="53">
        <f ca="1">ROUND(C14*F15,0)</f>
        <v>214</v>
      </c>
      <c r="D15" s="805" t="s">
        <v>648</v>
      </c>
      <c r="E15" s="805" t="s">
        <v>1747</v>
      </c>
      <c r="F15" s="806">
        <f>'数据-取费表'!B33</f>
        <v>0.05</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3" t="s">
        <v>650</v>
      </c>
      <c r="C16" s="53">
        <f ca="1">ROUND(INDIRECT("'数据-取费表'!m"&amp;$G$1)*F16,0)</f>
        <v>0</v>
      </c>
      <c r="D16" s="783" t="s">
        <v>648</v>
      </c>
      <c r="E16" s="783" t="s">
        <v>1747</v>
      </c>
      <c r="F16" s="808">
        <f ca="1">IF(INDIRECT("'数据-取费表'!c"&amp;$G$1)="住宅",'数据-取费表'!B34,0)</f>
        <v>0</v>
      </c>
      <c r="G16" s="1575"/>
      <c r="H16" s="1811" t="s">
        <v>1748</v>
      </c>
      <c r="I16" s="1809" t="s">
        <v>651</v>
      </c>
      <c r="J16" s="791">
        <f ca="1">ROUND(J17+J22+J23+J24,0)</f>
        <v>600</v>
      </c>
      <c r="K16" s="1803" t="s">
        <v>1750</v>
      </c>
      <c r="L16" s="3209"/>
      <c r="M16" s="2452"/>
    </row>
    <row r="17" spans="1:33" s="2046" customFormat="1" ht="18" customHeight="1">
      <c r="A17" s="1630" t="s">
        <v>1887</v>
      </c>
      <c r="B17" s="783" t="s">
        <v>653</v>
      </c>
      <c r="C17" s="53">
        <f ca="1">ROUND(F17*(F43+INDIRECT("'数据-取费表'!S"&amp;$G$1))/10000,0)</f>
        <v>321</v>
      </c>
      <c r="D17" s="783" t="s">
        <v>1751</v>
      </c>
      <c r="E17" s="783" t="s">
        <v>1752</v>
      </c>
      <c r="F17" s="56">
        <f>'数据-取费表'!B35</f>
        <v>150</v>
      </c>
      <c r="G17" s="1576"/>
      <c r="H17" s="1631" t="s">
        <v>1830</v>
      </c>
      <c r="I17" s="783" t="s">
        <v>656</v>
      </c>
      <c r="J17" s="53">
        <f ca="1">ROUND(IF(项目基本情况!B11="自然人",J6*M17/(1+'数据-取费表'!C42),J18+J19+J20),0)</f>
        <v>509</v>
      </c>
      <c r="K17" s="3207" t="s">
        <v>657</v>
      </c>
      <c r="L17" s="3206" t="s">
        <v>658</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3" t="s">
        <v>659</v>
      </c>
      <c r="C18" s="53">
        <f ca="1">ROUND(C14*F18,0)</f>
        <v>64</v>
      </c>
      <c r="D18" s="783" t="s">
        <v>648</v>
      </c>
      <c r="E18" s="783" t="s">
        <v>1747</v>
      </c>
      <c r="F18" s="808">
        <f>'数据-取费表'!B36</f>
        <v>1.4999999999999999E-2</v>
      </c>
      <c r="G18" s="1576"/>
      <c r="H18" s="1630" t="s">
        <v>1884</v>
      </c>
      <c r="I18" s="783" t="s">
        <v>660</v>
      </c>
      <c r="J18" s="53">
        <f ca="1">ROUND(J6*M18/(1+'数据-取费表'!C42),1)</f>
        <v>0</v>
      </c>
      <c r="K18" s="3206" t="s">
        <v>1756</v>
      </c>
      <c r="L18" s="783" t="s">
        <v>1747</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3" t="s">
        <v>662</v>
      </c>
      <c r="C19" s="53">
        <f ca="1">SUM(C14:C18)</f>
        <v>4884</v>
      </c>
      <c r="D19" s="260" t="s">
        <v>663</v>
      </c>
      <c r="E19" s="3211"/>
      <c r="F19" s="56"/>
      <c r="G19" s="1575"/>
      <c r="H19" s="1630" t="s">
        <v>1885</v>
      </c>
      <c r="I19" s="783" t="s">
        <v>664</v>
      </c>
      <c r="J19" s="53">
        <f ca="1">IF(K19="按租金收入计税",ROUND(J6*M19/(1+'数据-取费表'!C42),1),ROUND(C29*F33*0.7,1))</f>
        <v>507.1</v>
      </c>
      <c r="K19" s="810" t="s">
        <v>665</v>
      </c>
      <c r="L19" s="783" t="s">
        <v>1747</v>
      </c>
      <c r="M19" s="808">
        <f>IF(K19="按租金收入计税",'数据-取费表'!B51,'数据-取费表'!B50)</f>
        <v>1.2E-2</v>
      </c>
    </row>
    <row r="20" spans="1:33" s="2046" customFormat="1" ht="18" customHeight="1">
      <c r="A20" s="1631" t="s">
        <v>1889</v>
      </c>
      <c r="B20" s="783" t="s">
        <v>666</v>
      </c>
      <c r="C20" s="53">
        <f ca="1">ROUND(C19*F20,0)</f>
        <v>147</v>
      </c>
      <c r="D20" s="811" t="s">
        <v>667</v>
      </c>
      <c r="E20" s="783" t="s">
        <v>1747</v>
      </c>
      <c r="F20" s="808">
        <f>'数据-取费表'!B37</f>
        <v>0.03</v>
      </c>
      <c r="G20" s="1576"/>
      <c r="H20" s="1633" t="s">
        <v>1833</v>
      </c>
      <c r="I20" s="340" t="s">
        <v>1760</v>
      </c>
      <c r="J20" s="54">
        <f ca="1">ROUND(M20*M21/10000,0)</f>
        <v>2</v>
      </c>
      <c r="K20" s="813" t="s">
        <v>669</v>
      </c>
      <c r="L20" s="783" t="s">
        <v>1762</v>
      </c>
      <c r="M20" s="639">
        <f>'数据-取费表'!B52</f>
        <v>3</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3" t="s">
        <v>1763</v>
      </c>
      <c r="C21" s="53" t="s">
        <v>1764</v>
      </c>
      <c r="D21" s="811" t="s">
        <v>2296</v>
      </c>
      <c r="E21" s="783" t="s">
        <v>1765</v>
      </c>
      <c r="F21" s="808">
        <f>'数据-取费表'!B38</f>
        <v>0.03</v>
      </c>
      <c r="G21" s="1576"/>
      <c r="H21" s="2467"/>
      <c r="I21" s="792"/>
      <c r="J21" s="69"/>
      <c r="K21" s="815"/>
      <c r="L21" s="783" t="s">
        <v>1766</v>
      </c>
      <c r="M21" s="784">
        <f ca="1">INDIRECT("'数据-取费表'!r"&amp;$G$1)</f>
        <v>5911.5899999999992</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3" t="s">
        <v>1767</v>
      </c>
      <c r="C22" s="53"/>
      <c r="D22" s="2533" t="str">
        <f>IF(F23&lt;=1,"单利计息。","复利计息。")&amp;"建造成本、管理费用、销售费用产生的利息。"</f>
        <v>复利计息。建造成本、管理费用、销售费用产生的利息。</v>
      </c>
      <c r="E22" s="3211"/>
      <c r="F22" s="56"/>
      <c r="G22" s="1575"/>
      <c r="H22" s="1631" t="s">
        <v>1889</v>
      </c>
      <c r="I22" s="783" t="s">
        <v>1768</v>
      </c>
      <c r="J22" s="53">
        <f ca="1">ROUND(J14*M22,0)</f>
        <v>91</v>
      </c>
      <c r="K22" s="3206" t="s">
        <v>1769</v>
      </c>
      <c r="L22" s="783" t="s">
        <v>1747</v>
      </c>
      <c r="M22" s="816">
        <f ca="1">INDIRECT("'数据-取费表'!Ak"&amp;$G$1)</f>
        <v>1.4999999999999999E-2</v>
      </c>
    </row>
    <row r="23" spans="1:33" s="2046" customFormat="1" ht="18" customHeight="1">
      <c r="A23" s="1630" t="s">
        <v>1831</v>
      </c>
      <c r="B23" s="783" t="s">
        <v>2530</v>
      </c>
      <c r="C23" s="53">
        <f ca="1">ROUND(IF('数据-取费表'!B22&lt;=1,(C19+C20)*F24*F23/2,(C19+C20)*(POWER((1+F24),F23/2)-1)),0)</f>
        <v>239</v>
      </c>
      <c r="D23" s="2532" t="str">
        <f>IF(F23&lt;=1,"(建造成本+管理费用)×利率×(建设周期÷2)","(建造成本+管理费用)×((1+利率)^(建设周期÷2)-1)")</f>
        <v>(建造成本+管理费用)×((1+利率)^(建设周期÷2)-1)</v>
      </c>
      <c r="E23" s="783" t="s">
        <v>1770</v>
      </c>
      <c r="F23" s="639">
        <f>'数据-取费表'!B20</f>
        <v>2</v>
      </c>
      <c r="G23" s="1576"/>
      <c r="H23" s="1631" t="s">
        <v>1890</v>
      </c>
      <c r="I23" s="783" t="s">
        <v>679</v>
      </c>
      <c r="J23" s="53">
        <f ca="1">ROUND(J13*M23,0)</f>
        <v>0</v>
      </c>
      <c r="K23" s="3206"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3" t="s">
        <v>1772</v>
      </c>
      <c r="C24" s="53">
        <f ca="1">ROUND(IF('数据-取费表'!B22&lt;=1,F21*F24*F23/2,F21*(POWER((1+F24),F23/2)-1)),4)</f>
        <v>1.4E-3</v>
      </c>
      <c r="D24" s="2532" t="str">
        <f>IF(F23&lt;=1,"销售费用×利率×(建设周期÷2)","销售费用×((1+利率)^(建设周期÷2)-1)")</f>
        <v>销售费用×((1+利率)^(建设周期÷2)-1)</v>
      </c>
      <c r="E24" s="783" t="s">
        <v>1773</v>
      </c>
      <c r="F24" s="818">
        <f ca="1">'数据-取费表'!B40</f>
        <v>4.7500000000000001E-2</v>
      </c>
      <c r="G24" s="1576"/>
      <c r="H24" s="2512" t="s">
        <v>1891</v>
      </c>
      <c r="I24" s="2507" t="s">
        <v>666</v>
      </c>
      <c r="J24" s="2505">
        <f ca="1">ROUND(J5*M24,0)</f>
        <v>0</v>
      </c>
      <c r="K24" s="2506" t="s">
        <v>1774</v>
      </c>
      <c r="L24" s="2507" t="s">
        <v>1747</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3" t="s">
        <v>684</v>
      </c>
      <c r="C25" s="53"/>
      <c r="D25" s="260" t="s">
        <v>1775</v>
      </c>
      <c r="E25" s="3211"/>
      <c r="F25" s="56"/>
      <c r="G25" s="1575"/>
      <c r="H25" s="1811" t="s">
        <v>1776</v>
      </c>
      <c r="I25" s="2958" t="s">
        <v>2817</v>
      </c>
      <c r="J25" s="791">
        <f ca="1">J5-J16</f>
        <v>-600</v>
      </c>
      <c r="K25" s="2509" t="s">
        <v>1777</v>
      </c>
      <c r="L25" s="2510"/>
      <c r="M25" s="2511"/>
    </row>
    <row r="26" spans="1:33" ht="18" customHeight="1">
      <c r="A26" s="1630" t="s">
        <v>1831</v>
      </c>
      <c r="B26" s="783" t="s">
        <v>2433</v>
      </c>
      <c r="C26" s="53">
        <f ca="1">ROUND((C19+C20)*F26,0)</f>
        <v>252</v>
      </c>
      <c r="D26" s="811" t="s">
        <v>1778</v>
      </c>
      <c r="E26" s="794" t="s">
        <v>702</v>
      </c>
      <c r="F26" s="793">
        <f ca="1">INDIRECT("'数据-取费表'!q"&amp;$G$1)</f>
        <v>0.05</v>
      </c>
      <c r="G26" s="1575"/>
      <c r="H26" s="2463" t="s">
        <v>1780</v>
      </c>
      <c r="I26" s="2214" t="s">
        <v>2822</v>
      </c>
      <c r="J26" s="782">
        <f ca="1">IF(J5&lt;&gt;0,ROUND(J25*(1-((1+M28)/(1+M26))^M27)/(M26-M28),0),0)</f>
        <v>0</v>
      </c>
      <c r="K26" s="813" t="s">
        <v>704</v>
      </c>
      <c r="L26" s="783" t="s">
        <v>2415</v>
      </c>
      <c r="M26" s="793">
        <f ca="1">INDIRECT("'数据-取费表'!I"&amp;$G$1)</f>
        <v>4.4999999999999998E-2</v>
      </c>
    </row>
    <row r="27" spans="1:33" ht="18" customHeight="1">
      <c r="A27" s="1630" t="s">
        <v>1832</v>
      </c>
      <c r="B27" s="783" t="s">
        <v>686</v>
      </c>
      <c r="C27" s="53">
        <f ca="1">ROUND(F21*F26,4)</f>
        <v>1.5E-3</v>
      </c>
      <c r="D27" s="811" t="s">
        <v>1782</v>
      </c>
      <c r="E27" s="805"/>
      <c r="F27" s="806"/>
      <c r="G27" s="1575"/>
      <c r="H27" s="2464"/>
      <c r="I27" s="786"/>
      <c r="J27" s="787"/>
      <c r="K27" s="820" t="s">
        <v>1783</v>
      </c>
      <c r="L27" s="783" t="s">
        <v>1784</v>
      </c>
      <c r="M27" s="821">
        <f ca="1">INDIRECT("'数据-取费表'!ag"&amp;$G$1)</f>
        <v>0</v>
      </c>
    </row>
    <row r="28" spans="1:33" s="2046" customFormat="1" ht="18" customHeight="1">
      <c r="A28" s="1632" t="s">
        <v>1841</v>
      </c>
      <c r="B28" s="783" t="s">
        <v>687</v>
      </c>
      <c r="C28" s="53">
        <f>ROUND(F28/(1+'数据-取费表'!C42),4)</f>
        <v>5.2400000000000002E-2</v>
      </c>
      <c r="D28" s="811" t="s">
        <v>2297</v>
      </c>
      <c r="E28" s="783" t="s">
        <v>1785</v>
      </c>
      <c r="F28" s="808">
        <f>'数据-取费表'!B41</f>
        <v>5.5000000000000007E-2</v>
      </c>
      <c r="G28" s="1576"/>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6037</v>
      </c>
      <c r="D29" s="2506"/>
      <c r="E29" s="2507"/>
      <c r="F29" s="2508"/>
      <c r="G29" s="1576"/>
      <c r="H29" s="822" t="s">
        <v>1787</v>
      </c>
      <c r="I29" s="823" t="s">
        <v>1788</v>
      </c>
      <c r="J29" s="824">
        <f ca="1">ROUND(J26/(1+F40)^F41,0)</f>
        <v>0</v>
      </c>
      <c r="K29" s="825" t="s">
        <v>1789</v>
      </c>
      <c r="L29" s="826"/>
      <c r="M29" s="827">
        <f ca="1">INDIRECT("'数据-取费表'!k"&amp;$G$1)</f>
        <v>20961.669999999998</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651</v>
      </c>
      <c r="C30" s="791">
        <f ca="1">ROUND(C31+C36+C37+C38,0)</f>
        <v>162</v>
      </c>
      <c r="D30" s="1803" t="s">
        <v>1791</v>
      </c>
      <c r="E30" s="3209"/>
      <c r="F30" s="2452"/>
      <c r="G30" s="2044"/>
      <c r="H30" s="2047"/>
      <c r="I30" s="2048"/>
      <c r="J30" s="2049"/>
      <c r="K30" s="2050"/>
      <c r="L30" s="2051"/>
      <c r="M30" s="2052"/>
    </row>
    <row r="31" spans="1:33" ht="18" customHeight="1">
      <c r="A31" s="1631" t="s">
        <v>1830</v>
      </c>
      <c r="B31" s="783" t="s">
        <v>656</v>
      </c>
      <c r="C31" s="53">
        <f ca="1">ROUND(IF(项目基本情况!B11="自然人",C6*F31/(1+'数据-取费表'!C42),C32+C33+C34),1)</f>
        <v>59.1</v>
      </c>
      <c r="D31" s="3207" t="s">
        <v>657</v>
      </c>
      <c r="E31" s="3206"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3" t="s">
        <v>660</v>
      </c>
      <c r="C32" s="53">
        <f ca="1">ROUND(C6*F32/(1+'数据-取费表'!C42),1)</f>
        <v>18</v>
      </c>
      <c r="D32" s="3206" t="s">
        <v>1756</v>
      </c>
      <c r="E32" s="783" t="s">
        <v>1796</v>
      </c>
      <c r="F32" s="808">
        <f>'数据-取费表'!B41</f>
        <v>5.5000000000000007E-2</v>
      </c>
      <c r="G32" s="2044"/>
      <c r="H32" s="2053"/>
      <c r="I32" s="2054"/>
      <c r="J32" s="2055"/>
      <c r="K32" s="2056"/>
      <c r="L32" s="2057"/>
      <c r="M32" s="2058"/>
    </row>
    <row r="33" spans="1:18" ht="18" customHeight="1">
      <c r="A33" s="1630" t="s">
        <v>1832</v>
      </c>
      <c r="B33" s="783" t="s">
        <v>1797</v>
      </c>
      <c r="C33" s="3257">
        <f ca="1">IF(D33="按租金收入计税",ROUND(C6*F33/(1+'数据-取费表'!C42),1),IF(D33="按房产原值计税",ROUND(C29*F33*0.7,1),INDIRECT("'数据-取费表'!Aj"&amp;$G$1)))</f>
        <v>39.299999999999997</v>
      </c>
      <c r="D33" s="810" t="s">
        <v>3209</v>
      </c>
      <c r="E33" s="783" t="s">
        <v>1796</v>
      </c>
      <c r="F33" s="808">
        <f>IF(D33="按租金收入计税",'数据-取费表'!B51,'数据-取费表'!B50)</f>
        <v>0.12</v>
      </c>
      <c r="G33" s="2044"/>
      <c r="H33" s="2059"/>
      <c r="I33" s="2059"/>
      <c r="J33" s="2059"/>
      <c r="K33" s="2060"/>
      <c r="L33" s="2059"/>
      <c r="M33" s="2059"/>
    </row>
    <row r="34" spans="1:18" ht="18" customHeight="1">
      <c r="A34" s="1633" t="s">
        <v>1833</v>
      </c>
      <c r="B34" s="340" t="s">
        <v>1798</v>
      </c>
      <c r="C34" s="3258">
        <f ca="1">ROUND(F34*F35/10000,1)</f>
        <v>1.8</v>
      </c>
      <c r="D34" s="813" t="s">
        <v>1799</v>
      </c>
      <c r="E34" s="783" t="s">
        <v>1800</v>
      </c>
      <c r="F34" s="639">
        <f>'数据-取费表'!B52</f>
        <v>3</v>
      </c>
      <c r="G34" s="2044"/>
      <c r="H34" s="2047"/>
      <c r="I34" s="834" t="s">
        <v>1813</v>
      </c>
      <c r="J34" s="835"/>
      <c r="K34" s="2062"/>
      <c r="L34" s="2061"/>
      <c r="M34" s="2061"/>
    </row>
    <row r="35" spans="1:18" ht="18" customHeight="1">
      <c r="A35" s="814"/>
      <c r="B35" s="792"/>
      <c r="C35" s="69"/>
      <c r="D35" s="815"/>
      <c r="E35" s="783" t="s">
        <v>674</v>
      </c>
      <c r="F35" s="784">
        <f ca="1">INDIRECT("'数据-取费表'!r"&amp;$G$1)</f>
        <v>5911.5899999999992</v>
      </c>
      <c r="G35" s="2044"/>
      <c r="H35" s="2047"/>
      <c r="I35" s="836" t="s">
        <v>1814</v>
      </c>
      <c r="J35" s="837">
        <f ca="1">ROUND(C13*J36,0)</f>
        <v>483</v>
      </c>
      <c r="K35" s="2060"/>
      <c r="L35" s="2059"/>
      <c r="M35" s="2059"/>
    </row>
    <row r="36" spans="1:18" ht="18" customHeight="1">
      <c r="A36" s="1631" t="s">
        <v>1889</v>
      </c>
      <c r="B36" s="783" t="s">
        <v>1802</v>
      </c>
      <c r="C36" s="53">
        <f ca="1">ROUND(C29*F36,1)</f>
        <v>90.6</v>
      </c>
      <c r="D36" s="3206" t="s">
        <v>1803</v>
      </c>
      <c r="E36" s="783" t="s">
        <v>1796</v>
      </c>
      <c r="F36" s="816">
        <f ca="1">INDIRECT("'数据-取费表'!Ak"&amp;$G$1)</f>
        <v>1.4999999999999999E-2</v>
      </c>
      <c r="G36" s="2044"/>
      <c r="H36" s="2059"/>
      <c r="I36" s="838" t="s">
        <v>1815</v>
      </c>
      <c r="J36" s="839">
        <f ca="1">INDIRECT("'数据-取费表'!j"&amp;$G$1)</f>
        <v>0.08</v>
      </c>
      <c r="K36" s="2064"/>
      <c r="L36" s="2059"/>
      <c r="M36" s="2059"/>
    </row>
    <row r="37" spans="1:18" ht="18" customHeight="1">
      <c r="A37" s="1631" t="s">
        <v>1890</v>
      </c>
      <c r="B37" s="783" t="s">
        <v>679</v>
      </c>
      <c r="C37" s="53">
        <f ca="1">ROUND(C13*F37,1)</f>
        <v>9.1</v>
      </c>
      <c r="D37" s="3206" t="s">
        <v>1804</v>
      </c>
      <c r="E37" s="783" t="s">
        <v>1796</v>
      </c>
      <c r="F37" s="817">
        <f ca="1">INDIRECT("'数据-取费表'!Al"&amp;$G$1)</f>
        <v>1.5E-3</v>
      </c>
      <c r="G37" s="2044"/>
      <c r="H37" s="2059"/>
      <c r="I37" s="840" t="s">
        <v>1816</v>
      </c>
      <c r="J37" s="841"/>
      <c r="K37" s="2064"/>
      <c r="L37" s="2059"/>
      <c r="M37" s="2059"/>
    </row>
    <row r="38" spans="1:18" ht="18" customHeight="1" thickBot="1">
      <c r="A38" s="2512" t="s">
        <v>1891</v>
      </c>
      <c r="B38" s="2507" t="s">
        <v>666</v>
      </c>
      <c r="C38" s="2505">
        <f ca="1">ROUND(C5*F38,1)</f>
        <v>3.4</v>
      </c>
      <c r="D38" s="2506" t="s">
        <v>1805</v>
      </c>
      <c r="E38" s="2507" t="s">
        <v>1796</v>
      </c>
      <c r="F38" s="2503">
        <f ca="1">INDIRECT("'数据-取费表'!Am"&amp;$G$1)</f>
        <v>0.01</v>
      </c>
      <c r="G38" s="2044"/>
      <c r="H38" s="2059"/>
      <c r="I38" s="842" t="s">
        <v>1817</v>
      </c>
      <c r="J38" s="843"/>
      <c r="K38" s="2065"/>
      <c r="L38" s="2059"/>
      <c r="M38" s="2059"/>
    </row>
    <row r="39" spans="1:18" ht="24.6" customHeight="1" thickTop="1">
      <c r="A39" s="1811" t="s">
        <v>1776</v>
      </c>
      <c r="B39" s="2958" t="s">
        <v>2817</v>
      </c>
      <c r="C39" s="791">
        <f ca="1">C5-C30</f>
        <v>182</v>
      </c>
      <c r="D39" s="2509" t="s">
        <v>1806</v>
      </c>
      <c r="E39" s="2510"/>
      <c r="F39" s="2511"/>
      <c r="G39" s="2044"/>
      <c r="H39" s="2059"/>
      <c r="I39" s="836" t="s">
        <v>1818</v>
      </c>
      <c r="J39" s="844">
        <f ca="1">ROUND(J35/C39,3)</f>
        <v>2.6539999999999999</v>
      </c>
      <c r="K39" s="2065"/>
      <c r="L39" s="2059"/>
      <c r="M39" s="2059"/>
    </row>
    <row r="40" spans="1:18" ht="18" customHeight="1">
      <c r="A40" s="780" t="s">
        <v>1780</v>
      </c>
      <c r="B40" s="2214" t="s">
        <v>2299</v>
      </c>
      <c r="C40" s="782">
        <f ca="1">ROUND(C39*(1-((1+F42)/(1+F40))^F41)/(F40-F42),0)</f>
        <v>4186</v>
      </c>
      <c r="D40" s="813" t="s">
        <v>1807</v>
      </c>
      <c r="E40" s="783" t="s">
        <v>2415</v>
      </c>
      <c r="F40" s="793">
        <f ca="1">INDIRECT("'数据-取费表'!I"&amp;$G$1)</f>
        <v>4.4999999999999998E-2</v>
      </c>
      <c r="G40" s="2044"/>
      <c r="H40" s="2044"/>
      <c r="I40" s="836" t="s">
        <v>1819</v>
      </c>
      <c r="J40" s="844">
        <f ca="1">1-J39</f>
        <v>-1.6539999999999999</v>
      </c>
      <c r="K40" s="2065"/>
      <c r="L40" s="2044"/>
      <c r="M40" s="2044"/>
    </row>
    <row r="41" spans="1:18" ht="18" customHeight="1">
      <c r="A41" s="785"/>
      <c r="B41" s="786"/>
      <c r="C41" s="787"/>
      <c r="D41" s="820" t="s">
        <v>1808</v>
      </c>
      <c r="E41" s="783" t="s">
        <v>1784</v>
      </c>
      <c r="F41" s="821">
        <f ca="1">IF(INDIRECT("'数据-取费表'!af"&amp;$G$1)=0,INDIRECT("'数据-取费表'!ae"&amp;$G$1),INDIRECT("'数据-取费表'!af"&amp;$G$1))</f>
        <v>48</v>
      </c>
      <c r="G41" s="2044"/>
      <c r="H41" s="1970"/>
      <c r="I41" s="842" t="s">
        <v>1820</v>
      </c>
      <c r="J41" s="845"/>
      <c r="K41" s="2064"/>
      <c r="L41" s="1970"/>
      <c r="M41" s="1970"/>
    </row>
    <row r="42" spans="1:18" ht="18" customHeight="1">
      <c r="A42" s="789"/>
      <c r="B42" s="790"/>
      <c r="C42" s="791"/>
      <c r="D42" s="815"/>
      <c r="E42" s="783" t="s">
        <v>1809</v>
      </c>
      <c r="F42" s="793">
        <f ca="1">INDIRECT("'数据-取费表'!v"&amp;$G$1)</f>
        <v>0.01</v>
      </c>
      <c r="G42" s="2044"/>
      <c r="H42" s="1970"/>
      <c r="I42" s="846" t="s">
        <v>1821</v>
      </c>
      <c r="J42" s="844">
        <f ca="1">ROUND(C13/C40,3)</f>
        <v>1.4419999999999999</v>
      </c>
      <c r="K42" s="2064"/>
      <c r="L42" s="1970"/>
      <c r="M42" s="1970"/>
    </row>
    <row r="43" spans="1:18" ht="18" customHeight="1" thickBot="1">
      <c r="A43" s="822" t="s">
        <v>1787</v>
      </c>
      <c r="B43" s="823" t="s">
        <v>1810</v>
      </c>
      <c r="C43" s="824">
        <f ca="1">ROUND(C40*10000/F43,0)</f>
        <v>1997</v>
      </c>
      <c r="D43" s="825" t="s">
        <v>1811</v>
      </c>
      <c r="E43" s="826" t="s">
        <v>1812</v>
      </c>
      <c r="F43" s="827">
        <f ca="1">INDIRECT("'数据-取费表'!k"&amp;$G$1)</f>
        <v>20961.669999999998</v>
      </c>
      <c r="G43" s="2044"/>
      <c r="H43" s="1970"/>
      <c r="I43" s="846" t="s">
        <v>1822</v>
      </c>
      <c r="J43" s="847">
        <f ca="1">1-J42</f>
        <v>-0.44199999999999995</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-6179</v>
      </c>
      <c r="D46" s="2067"/>
      <c r="E46" s="2067"/>
      <c r="F46" s="2067"/>
      <c r="I46" s="2339" t="s">
        <v>2339</v>
      </c>
      <c r="J46" s="2340"/>
      <c r="K46" s="2341"/>
      <c r="L46" s="3102">
        <f>IF(OR(M47="住宅",D1="土地（套用方法）"),0,IF(L48&gt;J51,L60,J60))</f>
        <v>0</v>
      </c>
      <c r="O46" s="2355" t="s">
        <v>2406</v>
      </c>
      <c r="P46" s="1575"/>
      <c r="Q46" s="1586"/>
      <c r="R46" s="1575"/>
    </row>
    <row r="47" spans="1:18" s="2041" customFormat="1" ht="18" customHeight="1" thickBot="1">
      <c r="A47" s="2333">
        <v>1</v>
      </c>
      <c r="B47" s="2334" t="s">
        <v>635</v>
      </c>
      <c r="C47" s="2535">
        <f ca="1">C48+C52+C54</f>
        <v>0</v>
      </c>
      <c r="D47" s="2067"/>
      <c r="E47" s="2067"/>
      <c r="F47" s="2067"/>
      <c r="I47" s="3093" t="s">
        <v>2340</v>
      </c>
      <c r="J47" s="2342" t="s">
        <v>3036</v>
      </c>
      <c r="K47" s="3099" t="s">
        <v>2345</v>
      </c>
      <c r="L47" s="3103">
        <f ca="1">INDIRECT("'数据-取费表'!d"&amp;$G$1)</f>
        <v>50</v>
      </c>
      <c r="M47" s="1586" t="str">
        <f>IF(ISNUMBER(FIND("住宅",C1)),"住宅","非住宅")</f>
        <v>非住宅</v>
      </c>
      <c r="O47" s="2356" t="s">
        <v>2371</v>
      </c>
      <c r="P47" s="2357" t="s">
        <v>2372</v>
      </c>
      <c r="Q47" s="2358" t="s">
        <v>2373</v>
      </c>
      <c r="R47" s="2357" t="s">
        <v>2374</v>
      </c>
    </row>
    <row r="48" spans="1:18" s="2041" customFormat="1" ht="18" customHeight="1" thickBot="1">
      <c r="A48" s="2603" t="s">
        <v>2512</v>
      </c>
      <c r="B48" s="2604" t="s">
        <v>2533</v>
      </c>
      <c r="C48" s="2335">
        <f ca="1">ROUND(F48*F50*F49*(1-F51)/10000,0)</f>
        <v>0</v>
      </c>
      <c r="D48" s="2336" t="s">
        <v>636</v>
      </c>
      <c r="E48" s="2337" t="s">
        <v>2294</v>
      </c>
      <c r="F48" s="2338"/>
      <c r="G48" s="2072"/>
      <c r="I48" s="3072" t="s">
        <v>2341</v>
      </c>
      <c r="J48" s="2343" t="s">
        <v>2346</v>
      </c>
      <c r="K48" s="3100" t="s">
        <v>2347</v>
      </c>
      <c r="L48" s="1890">
        <f ca="1">INDIRECT("'数据-取费表'!f"&amp;$G$1)</f>
        <v>50</v>
      </c>
      <c r="O48" s="2359" t="s">
        <v>2375</v>
      </c>
      <c r="P48" s="2360" t="s">
        <v>2401</v>
      </c>
      <c r="Q48" s="2361">
        <f ca="1">C40+J29</f>
        <v>4186</v>
      </c>
      <c r="R48" s="2360" t="s">
        <v>2376</v>
      </c>
    </row>
    <row r="49" spans="1:18" s="2041" customFormat="1" ht="18" customHeight="1" thickBot="1">
      <c r="A49" s="785"/>
      <c r="B49" s="786"/>
      <c r="C49" s="787"/>
      <c r="D49" s="788"/>
      <c r="E49" s="783" t="s">
        <v>1739</v>
      </c>
      <c r="F49" s="784">
        <f ca="1">F7</f>
        <v>20961.669999999998</v>
      </c>
      <c r="G49" s="2072"/>
      <c r="H49" s="2075"/>
      <c r="I49" s="3072" t="s">
        <v>2342</v>
      </c>
      <c r="J49" s="2344">
        <v>2020</v>
      </c>
      <c r="K49" s="3101" t="s">
        <v>2348</v>
      </c>
      <c r="L49" s="2345"/>
      <c r="O49" s="2359" t="s">
        <v>2377</v>
      </c>
      <c r="P49" s="2360" t="s">
        <v>2402</v>
      </c>
      <c r="Q49" s="2361" t="str">
        <f ca="1">J60</f>
        <v>0</v>
      </c>
      <c r="R49" s="2360" t="s">
        <v>2378</v>
      </c>
    </row>
    <row r="50" spans="1:18" s="2041" customFormat="1" ht="18" customHeight="1" thickBot="1">
      <c r="A50" s="785"/>
      <c r="B50" s="786"/>
      <c r="C50" s="787"/>
      <c r="D50" s="788"/>
      <c r="E50" s="783" t="s">
        <v>1740</v>
      </c>
      <c r="F50" s="784">
        <f ca="1">F8</f>
        <v>365</v>
      </c>
      <c r="G50" s="2077"/>
      <c r="H50" s="2075"/>
      <c r="I50" s="3072" t="s">
        <v>2343</v>
      </c>
      <c r="J50" s="3097">
        <f>SUMPRODUCT((I63:I65=J47)*(J62:L62=J48)*(J63:L65))</f>
        <v>60</v>
      </c>
      <c r="K50" s="3101" t="s">
        <v>2349</v>
      </c>
      <c r="L50" s="2345"/>
      <c r="O50" s="2362" t="s">
        <v>2379</v>
      </c>
      <c r="P50" s="2360" t="s">
        <v>2403</v>
      </c>
      <c r="Q50" s="2361">
        <f ca="1">C29</f>
        <v>6037</v>
      </c>
      <c r="R50" s="2360" t="s">
        <v>2376</v>
      </c>
    </row>
    <row r="51" spans="1:18" s="2041" customFormat="1" ht="18" customHeight="1" thickBot="1">
      <c r="A51" s="785"/>
      <c r="B51" s="786"/>
      <c r="C51" s="787"/>
      <c r="D51" s="788"/>
      <c r="E51" s="783" t="s">
        <v>640</v>
      </c>
      <c r="F51" s="2332"/>
      <c r="H51" s="2075"/>
      <c r="I51" s="3094" t="s">
        <v>2344</v>
      </c>
      <c r="J51" s="3098">
        <f>IF(J49="",J50,J49+J50-YEAR('数据-取费表'!B2))</f>
        <v>61</v>
      </c>
      <c r="K51" s="3072" t="s">
        <v>2350</v>
      </c>
      <c r="L51" s="3104">
        <f ca="1">ROUND(-PV(INDIRECT("'数据-取费表'!h"&amp;$G$1),L48,(C39-C13*J36),0),0)</f>
        <v>-6465</v>
      </c>
      <c r="O51" s="2362" t="s">
        <v>2380</v>
      </c>
      <c r="P51" s="2360" t="s">
        <v>2381</v>
      </c>
      <c r="Q51" s="2363" t="e">
        <f ca="1">J58</f>
        <v>#VALUE!</v>
      </c>
      <c r="R51" s="2364"/>
    </row>
    <row r="52" spans="1:18" s="2041" customFormat="1" ht="18" customHeight="1" thickBot="1">
      <c r="A52" s="780" t="s">
        <v>2531</v>
      </c>
      <c r="B52" s="2455" t="s">
        <v>2454</v>
      </c>
      <c r="C52" s="798">
        <f ca="1">ROUND(IF(F52="押一",C48/12*F11,IF(F52="押二",C48/12*2*F11,IF(F52="押三",C48/12*3*F11,C53*F11))),0)</f>
        <v>0</v>
      </c>
      <c r="D52" s="2462" t="s">
        <v>2967</v>
      </c>
      <c r="E52" s="2459" t="s">
        <v>2459</v>
      </c>
      <c r="F52" s="2582"/>
      <c r="I52" s="3095" t="s">
        <v>2417</v>
      </c>
      <c r="J52" s="2346">
        <v>8.5000000000000006E-2</v>
      </c>
      <c r="K52" s="3095" t="s">
        <v>2416</v>
      </c>
      <c r="L52" s="2346"/>
      <c r="O52" s="2362" t="s">
        <v>2382</v>
      </c>
      <c r="P52" s="2360" t="s">
        <v>2383</v>
      </c>
      <c r="Q52" s="2363">
        <f>J52</f>
        <v>8.5000000000000006E-2</v>
      </c>
      <c r="R52" s="2364"/>
    </row>
    <row r="53" spans="1:18" s="2041" customFormat="1" ht="39.75" customHeight="1" thickBot="1">
      <c r="A53" s="785"/>
      <c r="B53" s="2456" t="s">
        <v>2568</v>
      </c>
      <c r="C53" s="2460"/>
      <c r="D53" s="2462"/>
      <c r="E53" s="2459"/>
      <c r="F53" s="799"/>
      <c r="I53" s="3096" t="s">
        <v>2970</v>
      </c>
      <c r="J53" s="3175">
        <f ca="1">IF(M47="住宅",IF(D1="——",MAX(J51,L48),MAX(J51,L48-'数据-取费表'!B20)),IF(D1="——",MIN(J51,L48),MIN(J51,L48-'数据-取费表'!B20)))</f>
        <v>48</v>
      </c>
      <c r="K53" s="3586" t="s">
        <v>2958</v>
      </c>
      <c r="L53" s="3587"/>
      <c r="O53" s="2362" t="s">
        <v>2384</v>
      </c>
      <c r="P53" s="2360" t="s">
        <v>2385</v>
      </c>
      <c r="Q53" s="2361">
        <f ca="1">J53</f>
        <v>48</v>
      </c>
      <c r="R53" s="2360" t="s">
        <v>2386</v>
      </c>
    </row>
    <row r="54" spans="1:18" s="2041" customFormat="1" ht="18" customHeight="1" thickBot="1">
      <c r="A54" s="2498" t="s">
        <v>2462</v>
      </c>
      <c r="B54" s="2499" t="s">
        <v>2455</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2387</v>
      </c>
      <c r="P54" s="2360" t="s">
        <v>2404</v>
      </c>
      <c r="Q54" s="2361">
        <f ca="1">Q48+Q49</f>
        <v>4186</v>
      </c>
      <c r="R54" s="2364" t="s">
        <v>2388</v>
      </c>
    </row>
    <row r="55" spans="1:18" s="2041" customFormat="1" ht="18" customHeight="1" thickTop="1" thickBot="1">
      <c r="A55" s="796">
        <v>2</v>
      </c>
      <c r="B55" s="797" t="s">
        <v>644</v>
      </c>
      <c r="C55" s="798">
        <f ca="1">C13</f>
        <v>6037</v>
      </c>
      <c r="D55" s="794"/>
      <c r="E55" s="794"/>
      <c r="F55" s="799"/>
      <c r="I55" s="3107" t="s">
        <v>2351</v>
      </c>
      <c r="J55" s="3047" t="e">
        <f ca="1">ROUND(IF(J47="钢混",J57/J50,1-(1-2%)*(J50-J57)/J50),3)</f>
        <v>#VALUE!</v>
      </c>
      <c r="K55" s="3108" t="s">
        <v>2352</v>
      </c>
      <c r="L55" s="2347"/>
      <c r="O55" s="2365" t="s">
        <v>2407</v>
      </c>
      <c r="P55" s="1575"/>
      <c r="Q55" s="1586"/>
      <c r="R55" s="1575"/>
    </row>
    <row r="56" spans="1:18" s="2041" customFormat="1" ht="42.75" customHeight="1" thickBot="1">
      <c r="A56" s="1632"/>
      <c r="B56" s="2213" t="s">
        <v>2298</v>
      </c>
      <c r="C56" s="53">
        <f ca="1">C29</f>
        <v>6037</v>
      </c>
      <c r="D56" s="3206"/>
      <c r="E56" s="783"/>
      <c r="F56" s="808"/>
      <c r="I56" s="3109" t="s">
        <v>2353</v>
      </c>
      <c r="J56" s="3119" t="s">
        <v>1678</v>
      </c>
      <c r="K56" s="3072" t="s">
        <v>2358</v>
      </c>
      <c r="L56" s="1890" t="str">
        <f ca="1">IF(L48&lt;J51,"——",L48-J51)</f>
        <v>——</v>
      </c>
      <c r="O56" s="2356" t="s">
        <v>2371</v>
      </c>
      <c r="P56" s="2357" t="s">
        <v>2372</v>
      </c>
      <c r="Q56" s="2358" t="s">
        <v>2373</v>
      </c>
      <c r="R56" s="2357" t="s">
        <v>2374</v>
      </c>
    </row>
    <row r="57" spans="1:18" s="2041" customFormat="1" ht="28.5" customHeight="1" thickBot="1">
      <c r="A57" s="796" t="s">
        <v>1748</v>
      </c>
      <c r="B57" s="797" t="s">
        <v>651</v>
      </c>
      <c r="C57" s="798">
        <f ca="1">ROUND(C58+C63+C64+C65,0)</f>
        <v>102</v>
      </c>
      <c r="D57" s="26" t="s">
        <v>1750</v>
      </c>
      <c r="E57" s="3211"/>
      <c r="F57" s="56"/>
      <c r="I57" s="3110" t="s">
        <v>2354</v>
      </c>
      <c r="J57" s="3111" t="str">
        <f ca="1">IF(OR(M47="住宅",J51&lt;L48,J56="是"),"——",J51-L48)</f>
        <v>——</v>
      </c>
      <c r="K57" s="3072" t="s">
        <v>2359</v>
      </c>
      <c r="L57" s="1890" t="str">
        <f ca="1">IF(L48&lt;J51,"——",IF(L55="比较法",L49,IF(L55="基准地价",L50,L51)))</f>
        <v>——</v>
      </c>
      <c r="O57" s="2359" t="s">
        <v>2375</v>
      </c>
      <c r="P57" s="2360" t="s">
        <v>2401</v>
      </c>
      <c r="Q57" s="2361">
        <f ca="1">C40+J29</f>
        <v>4186</v>
      </c>
      <c r="R57" s="2360" t="s">
        <v>2376</v>
      </c>
    </row>
    <row r="58" spans="1:18" s="2041" customFormat="1" ht="28.5" customHeight="1" thickBot="1">
      <c r="A58" s="1631" t="s">
        <v>1824</v>
      </c>
      <c r="B58" s="783" t="s">
        <v>656</v>
      </c>
      <c r="C58" s="53">
        <f ca="1">ROUND(IF(项目基本情况!B11="自然人",C47*F58,C59+C60+C61),1)</f>
        <v>1.8</v>
      </c>
      <c r="D58" s="3207" t="s">
        <v>657</v>
      </c>
      <c r="E58" s="3206" t="s">
        <v>690</v>
      </c>
      <c r="F58" s="809" t="str">
        <f ca="1">IF(项目基本情况!B11="企业","",IF(INDIRECT("'数据-取费表'!c"&amp;$G$1)="住宅",5%,IF(F48*F49*F50/12/(1+'数据-取费表'!C42)&gt;20000,12%,7%)))</f>
        <v/>
      </c>
      <c r="I58" s="3110" t="s">
        <v>2355</v>
      </c>
      <c r="J58" s="3048" t="e">
        <f ca="1">IF(J55&lt;0.4,0.4,J55)</f>
        <v>#VALUE!</v>
      </c>
      <c r="K58" s="3072" t="s">
        <v>2360</v>
      </c>
      <c r="L58" s="1890" t="e">
        <f ca="1">ROUND(POWER(1+L52,L47-L48)*(POWER(1+L52,L48)-1)/(POWER(1+L52,L47)-1),4)</f>
        <v>#DIV/0!</v>
      </c>
      <c r="O58" s="2359" t="s">
        <v>2377</v>
      </c>
      <c r="P58" s="2360" t="s">
        <v>2408</v>
      </c>
      <c r="Q58" s="2361">
        <f ca="1">L60</f>
        <v>0</v>
      </c>
      <c r="R58" s="2364" t="s">
        <v>2410</v>
      </c>
    </row>
    <row r="59" spans="1:18" s="2041" customFormat="1" ht="28.5" customHeight="1" thickBot="1">
      <c r="A59" s="1630" t="s">
        <v>1831</v>
      </c>
      <c r="B59" s="783" t="s">
        <v>660</v>
      </c>
      <c r="C59" s="53">
        <f ca="1">ROUND(C47*F59/1.05,1)</f>
        <v>0</v>
      </c>
      <c r="D59" s="3206" t="s">
        <v>1756</v>
      </c>
      <c r="E59" s="783" t="s">
        <v>1747</v>
      </c>
      <c r="F59" s="808">
        <f t="shared" ref="F59:F65" si="0">F32</f>
        <v>5.5000000000000007E-2</v>
      </c>
      <c r="I59" s="3110" t="s">
        <v>2356</v>
      </c>
      <c r="J59" s="3111"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2379</v>
      </c>
      <c r="P59" s="2360" t="s">
        <v>2409</v>
      </c>
      <c r="Q59" s="2361">
        <f>IF(L55="比较法",L49,IF(L55="基准地价",L50,0))</f>
        <v>0</v>
      </c>
      <c r="R59" s="2360" t="s">
        <v>2376</v>
      </c>
    </row>
    <row r="60" spans="1:18" s="2041" customFormat="1" ht="18" customHeight="1" thickBot="1">
      <c r="A60" s="1630" t="s">
        <v>1832</v>
      </c>
      <c r="B60" s="783" t="s">
        <v>664</v>
      </c>
      <c r="C60" s="53">
        <f ca="1">IF(D60="按租金收入计税",ROUND(C47*F60,1),IF(D60="按房产原值计税",ROUND(C56*F60*0.7,1),INDIRECT("'数据-取费表'!Aj"&amp;$G$1)))</f>
        <v>0</v>
      </c>
      <c r="D60" s="3206" t="str">
        <f>D33</f>
        <v>按租金收入计税</v>
      </c>
      <c r="E60" s="783" t="s">
        <v>1747</v>
      </c>
      <c r="F60" s="808">
        <f t="shared" si="0"/>
        <v>0.12</v>
      </c>
      <c r="I60" s="3112" t="s">
        <v>2357</v>
      </c>
      <c r="J60" s="3113" t="str">
        <f ca="1">IF(OR(M47="住宅",J51&lt;L48,J56="是"),"0",ROUND(J59/(1+J52)^J53,0))</f>
        <v>0</v>
      </c>
      <c r="K60" s="3114" t="s">
        <v>2362</v>
      </c>
      <c r="L60" s="3113">
        <f ca="1">IF(OR(M47="住宅",L48&lt;J51),0,ROUND(L57*(L58/L59-1),0))</f>
        <v>0</v>
      </c>
      <c r="O60" s="2362" t="s">
        <v>2380</v>
      </c>
      <c r="P60" s="2360" t="s">
        <v>2389</v>
      </c>
      <c r="Q60" s="2363">
        <f>L52</f>
        <v>0</v>
      </c>
      <c r="R60" s="2364"/>
    </row>
    <row r="61" spans="1:18" s="2041" customFormat="1" ht="18" customHeight="1" thickBot="1">
      <c r="A61" s="1633" t="s">
        <v>1833</v>
      </c>
      <c r="B61" s="340" t="s">
        <v>668</v>
      </c>
      <c r="C61" s="54">
        <f ca="1">ROUND(F61*F62/10000,1)</f>
        <v>1.8</v>
      </c>
      <c r="D61" s="813" t="s">
        <v>669</v>
      </c>
      <c r="E61" s="783" t="s">
        <v>670</v>
      </c>
      <c r="F61" s="639">
        <f t="shared" si="0"/>
        <v>3</v>
      </c>
      <c r="K61" s="2068"/>
      <c r="O61" s="2362" t="s">
        <v>2382</v>
      </c>
      <c r="P61" s="2360" t="s">
        <v>2390</v>
      </c>
      <c r="Q61" s="2361" t="e">
        <f ca="1">L58</f>
        <v>#DIV/0!</v>
      </c>
      <c r="R61" s="2364" t="s">
        <v>2391</v>
      </c>
    </row>
    <row r="62" spans="1:18" s="2041" customFormat="1" ht="15.75" thickBot="1">
      <c r="A62" s="814"/>
      <c r="B62" s="792"/>
      <c r="C62" s="69"/>
      <c r="D62" s="815"/>
      <c r="E62" s="783" t="s">
        <v>674</v>
      </c>
      <c r="F62" s="784">
        <f t="shared" ca="1" si="0"/>
        <v>5911.5899999999992</v>
      </c>
      <c r="I62" s="3115" t="s">
        <v>2363</v>
      </c>
      <c r="J62" s="3116" t="s">
        <v>2364</v>
      </c>
      <c r="K62" s="3116" t="s">
        <v>2365</v>
      </c>
      <c r="L62" s="3116" t="s">
        <v>2346</v>
      </c>
      <c r="M62" s="3117" t="s">
        <v>2935</v>
      </c>
      <c r="O62" s="2362" t="s">
        <v>2384</v>
      </c>
      <c r="P62" s="2360" t="str">
        <f>K59</f>
        <v>建设期及建筑物耐用年限下的土地年期修正系数Kn</v>
      </c>
      <c r="Q62" s="2361" t="e">
        <f ca="1">L59</f>
        <v>#DIV/0!</v>
      </c>
      <c r="R62" s="2364" t="s">
        <v>2393</v>
      </c>
    </row>
    <row r="63" spans="1:18" s="2041" customFormat="1" ht="15.75" thickBot="1">
      <c r="A63" s="1631" t="s">
        <v>1889</v>
      </c>
      <c r="B63" s="783" t="s">
        <v>676</v>
      </c>
      <c r="C63" s="53">
        <f ca="1">ROUND(C56*F63,1)</f>
        <v>90.6</v>
      </c>
      <c r="D63" s="3206" t="s">
        <v>1803</v>
      </c>
      <c r="E63" s="783" t="s">
        <v>1747</v>
      </c>
      <c r="F63" s="816">
        <f t="shared" ca="1" si="0"/>
        <v>1.4999999999999999E-2</v>
      </c>
      <c r="I63" s="3115" t="s">
        <v>2366</v>
      </c>
      <c r="J63" s="3116">
        <v>70</v>
      </c>
      <c r="K63" s="3116">
        <v>50</v>
      </c>
      <c r="L63" s="3116">
        <v>80</v>
      </c>
      <c r="M63" s="3118">
        <v>0.02</v>
      </c>
      <c r="O63" s="2359" t="s">
        <v>2387</v>
      </c>
      <c r="P63" s="2360" t="s">
        <v>2404</v>
      </c>
      <c r="Q63" s="2361">
        <f ca="1">Q57+Q58</f>
        <v>4186</v>
      </c>
      <c r="R63" s="2364" t="s">
        <v>2388</v>
      </c>
    </row>
    <row r="64" spans="1:18" s="2041" customFormat="1" ht="16.5" thickBot="1">
      <c r="A64" s="1631" t="s">
        <v>1890</v>
      </c>
      <c r="B64" s="783" t="s">
        <v>679</v>
      </c>
      <c r="C64" s="53">
        <f ca="1">ROUND(C55*F64,1)</f>
        <v>9.1</v>
      </c>
      <c r="D64" s="3206" t="s">
        <v>680</v>
      </c>
      <c r="E64" s="783" t="s">
        <v>1747</v>
      </c>
      <c r="F64" s="817">
        <f t="shared" ca="1" si="0"/>
        <v>1.5E-3</v>
      </c>
      <c r="I64" s="3115" t="s">
        <v>2367</v>
      </c>
      <c r="J64" s="3116">
        <v>50</v>
      </c>
      <c r="K64" s="3116">
        <v>35</v>
      </c>
      <c r="L64" s="3116">
        <v>60</v>
      </c>
      <c r="M64" s="845">
        <v>0</v>
      </c>
      <c r="O64" s="2365" t="s">
        <v>2411</v>
      </c>
      <c r="P64" s="1575"/>
      <c r="Q64" s="1586"/>
      <c r="R64" s="1575"/>
    </row>
    <row r="65" spans="1:18" s="2041" customFormat="1" ht="15.75" thickBot="1">
      <c r="A65" s="1631" t="s">
        <v>1891</v>
      </c>
      <c r="B65" s="783" t="s">
        <v>666</v>
      </c>
      <c r="C65" s="53">
        <f ca="1">ROUND(C47*F65,1)</f>
        <v>0</v>
      </c>
      <c r="D65" s="3206" t="s">
        <v>683</v>
      </c>
      <c r="E65" s="783" t="s">
        <v>1747</v>
      </c>
      <c r="F65" s="793">
        <f t="shared" ca="1" si="0"/>
        <v>0.01</v>
      </c>
      <c r="I65" s="3115" t="s">
        <v>2368</v>
      </c>
      <c r="J65" s="3116">
        <v>40</v>
      </c>
      <c r="K65" s="3116">
        <v>30</v>
      </c>
      <c r="L65" s="3116">
        <v>50</v>
      </c>
      <c r="M65" s="3118">
        <v>0.02</v>
      </c>
      <c r="O65" s="2356" t="s">
        <v>2371</v>
      </c>
      <c r="P65" s="2357" t="s">
        <v>2372</v>
      </c>
      <c r="Q65" s="2358" t="s">
        <v>2373</v>
      </c>
      <c r="R65" s="2357" t="s">
        <v>2374</v>
      </c>
    </row>
    <row r="66" spans="1:18" s="2041" customFormat="1" ht="24.75" thickBot="1">
      <c r="A66" s="796" t="s">
        <v>1776</v>
      </c>
      <c r="B66" s="2959" t="s">
        <v>2817</v>
      </c>
      <c r="C66" s="798">
        <f ca="1">C47-C57</f>
        <v>-102</v>
      </c>
      <c r="D66" s="3207" t="s">
        <v>700</v>
      </c>
      <c r="E66" s="3210"/>
      <c r="F66" s="819"/>
      <c r="K66" s="2068"/>
      <c r="O66" s="2359" t="s">
        <v>2375</v>
      </c>
      <c r="P66" s="2360" t="s">
        <v>2401</v>
      </c>
      <c r="Q66" s="2361">
        <f ca="1">C40+J29</f>
        <v>4186</v>
      </c>
      <c r="R66" s="2360" t="s">
        <v>2376</v>
      </c>
    </row>
    <row r="67" spans="1:18" s="2041" customFormat="1" ht="20.25" thickBot="1">
      <c r="A67" s="780" t="s">
        <v>1780</v>
      </c>
      <c r="B67" s="2214" t="s">
        <v>2299</v>
      </c>
      <c r="C67" s="782">
        <f ca="1">ROUND(C66*(1-((1+F69)/(1+F67))^F68)/(F67-F69),0)</f>
        <v>-1993</v>
      </c>
      <c r="D67" s="813" t="s">
        <v>704</v>
      </c>
      <c r="E67" s="783" t="s">
        <v>705</v>
      </c>
      <c r="F67" s="793">
        <f ca="1">F40</f>
        <v>4.4999999999999998E-2</v>
      </c>
      <c r="K67" s="2068"/>
      <c r="O67" s="2359" t="s">
        <v>2377</v>
      </c>
      <c r="P67" s="2360" t="s">
        <v>2408</v>
      </c>
      <c r="Q67" s="2361">
        <f ca="1">L60</f>
        <v>0</v>
      </c>
      <c r="R67" s="2364" t="s">
        <v>2410</v>
      </c>
    </row>
    <row r="68" spans="1:18" ht="21.75" thickBot="1">
      <c r="A68" s="785"/>
      <c r="B68" s="786"/>
      <c r="C68" s="787"/>
      <c r="D68" s="820" t="s">
        <v>1808</v>
      </c>
      <c r="E68" s="783" t="s">
        <v>1784</v>
      </c>
      <c r="F68" s="821">
        <f ca="1">F41</f>
        <v>48</v>
      </c>
      <c r="O68" s="2362" t="s">
        <v>2379</v>
      </c>
      <c r="P68" s="2360" t="s">
        <v>2409</v>
      </c>
      <c r="Q68" s="2366">
        <f ca="1">L51</f>
        <v>-6465</v>
      </c>
      <c r="R68" s="2367" t="s">
        <v>2412</v>
      </c>
    </row>
    <row r="69" spans="1:18" ht="20.25" thickBot="1">
      <c r="A69" s="789"/>
      <c r="B69" s="790"/>
      <c r="C69" s="791"/>
      <c r="D69" s="815"/>
      <c r="E69" s="783" t="s">
        <v>710</v>
      </c>
      <c r="F69" s="2332"/>
      <c r="O69" s="2362" t="s">
        <v>2380</v>
      </c>
      <c r="P69" s="2368" t="s">
        <v>2394</v>
      </c>
      <c r="Q69" s="2361">
        <f ca="1">ROUND(Q70-Q71*Q72,0)</f>
        <v>-301</v>
      </c>
      <c r="R69" s="2364"/>
    </row>
    <row r="70" spans="1:18" ht="15.75" thickBot="1">
      <c r="A70" s="822" t="s">
        <v>1787</v>
      </c>
      <c r="B70" s="823" t="s">
        <v>1810</v>
      </c>
      <c r="C70" s="824">
        <f ca="1">ROUND(C67*10000/F70,0)</f>
        <v>-951</v>
      </c>
      <c r="D70" s="825" t="s">
        <v>1811</v>
      </c>
      <c r="E70" s="826" t="s">
        <v>1812</v>
      </c>
      <c r="F70" s="827">
        <f ca="1">F43</f>
        <v>20961.669999999998</v>
      </c>
      <c r="O70" s="2362" t="s">
        <v>2395</v>
      </c>
      <c r="P70" s="2368" t="s">
        <v>2396</v>
      </c>
      <c r="Q70" s="2361">
        <f ca="1">C39</f>
        <v>182</v>
      </c>
      <c r="R70" s="2360" t="s">
        <v>2376</v>
      </c>
    </row>
    <row r="71" spans="1:18" ht="15.75" thickBot="1">
      <c r="O71" s="2362" t="s">
        <v>2397</v>
      </c>
      <c r="P71" s="2368" t="s">
        <v>2398</v>
      </c>
      <c r="Q71" s="2361">
        <f ca="1">C13</f>
        <v>6037</v>
      </c>
      <c r="R71" s="2360" t="s">
        <v>2376</v>
      </c>
    </row>
    <row r="72" spans="1:18" ht="15.75" thickBot="1">
      <c r="O72" s="2362" t="s">
        <v>2399</v>
      </c>
      <c r="P72" s="2368" t="s">
        <v>2400</v>
      </c>
      <c r="Q72" s="2363">
        <f ca="1">J36</f>
        <v>0.08</v>
      </c>
      <c r="R72" s="2364"/>
    </row>
    <row r="73" spans="1:18" ht="15.75" thickBot="1">
      <c r="O73" s="2362" t="s">
        <v>2382</v>
      </c>
      <c r="P73" s="2360" t="s">
        <v>2389</v>
      </c>
      <c r="Q73" s="2363">
        <f>L52</f>
        <v>0</v>
      </c>
      <c r="R73" s="2364"/>
    </row>
    <row r="74" spans="1:18" ht="20.25" thickBot="1">
      <c r="O74" s="2362" t="s">
        <v>2384</v>
      </c>
      <c r="P74" s="2360" t="s">
        <v>2390</v>
      </c>
      <c r="Q74" s="2361" t="e">
        <f ca="1">L58</f>
        <v>#DIV/0!</v>
      </c>
      <c r="R74" s="2364" t="s">
        <v>2391</v>
      </c>
    </row>
    <row r="75" spans="1:18" ht="15.75" thickBot="1">
      <c r="O75" s="2362" t="s">
        <v>2413</v>
      </c>
      <c r="P75" s="2360" t="str">
        <f>K59</f>
        <v>建设期及建筑物耐用年限下的土地年期修正系数Kn</v>
      </c>
      <c r="Q75" s="2361" t="e">
        <f ca="1">L59</f>
        <v>#DIV/0!</v>
      </c>
      <c r="R75" s="2364" t="s">
        <v>2393</v>
      </c>
    </row>
    <row r="76" spans="1:18" ht="15.75" thickBot="1">
      <c r="O76" s="2359" t="s">
        <v>2387</v>
      </c>
      <c r="P76" s="2360" t="s">
        <v>2404</v>
      </c>
      <c r="Q76" s="2361">
        <f ca="1">Q66+Q67</f>
        <v>4186</v>
      </c>
      <c r="R76" s="2364" t="s">
        <v>2388</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outlinePr summaryBelow="0" summaryRight="0"/>
    <pageSetUpPr autoPageBreaks="0" fitToPage="1"/>
  </sheetPr>
  <dimension ref="A1:N12"/>
  <sheetViews>
    <sheetView topLeftCell="E1" workbookViewId="0">
      <selection activeCell="A5" sqref="A5:XFD5"/>
    </sheetView>
  </sheetViews>
  <sheetFormatPr defaultRowHeight="12.75"/>
  <cols>
    <col min="1" max="1" width="38.5" style="3203" customWidth="1"/>
    <col min="2" max="2" width="6.25" style="3203" customWidth="1"/>
    <col min="3" max="3" width="13.875" style="3203" customWidth="1"/>
    <col min="4" max="4" width="7.875" style="3203" customWidth="1"/>
    <col min="5" max="6" width="13.875" style="3203" customWidth="1"/>
    <col min="7" max="7" width="24" style="3203" customWidth="1"/>
    <col min="8" max="8" width="9" style="3203" customWidth="1"/>
    <col min="9" max="9" width="56.875" style="3203" customWidth="1"/>
    <col min="10" max="11" width="10.625" style="3203" customWidth="1"/>
    <col min="12" max="12" width="14.375" style="3203" customWidth="1"/>
    <col min="13" max="13" width="6.25" style="3203" customWidth="1"/>
    <col min="14" max="14" width="7.875" style="3203" customWidth="1"/>
    <col min="15" max="256" width="9" style="3203"/>
    <col min="257" max="257" width="38.5" style="3203" customWidth="1"/>
    <col min="258" max="258" width="6.25" style="3203" customWidth="1"/>
    <col min="259" max="259" width="13.875" style="3203" customWidth="1"/>
    <col min="260" max="260" width="7.875" style="3203" customWidth="1"/>
    <col min="261" max="262" width="13.875" style="3203" customWidth="1"/>
    <col min="263" max="263" width="24" style="3203" customWidth="1"/>
    <col min="264" max="264" width="9" style="3203" customWidth="1"/>
    <col min="265" max="265" width="56.875" style="3203" customWidth="1"/>
    <col min="266" max="267" width="10.625" style="3203" customWidth="1"/>
    <col min="268" max="268" width="14.375" style="3203" customWidth="1"/>
    <col min="269" max="269" width="6.25" style="3203" customWidth="1"/>
    <col min="270" max="270" width="7.875" style="3203" customWidth="1"/>
    <col min="271" max="512" width="9" style="3203"/>
    <col min="513" max="513" width="38.5" style="3203" customWidth="1"/>
    <col min="514" max="514" width="6.25" style="3203" customWidth="1"/>
    <col min="515" max="515" width="13.875" style="3203" customWidth="1"/>
    <col min="516" max="516" width="7.875" style="3203" customWidth="1"/>
    <col min="517" max="518" width="13.875" style="3203" customWidth="1"/>
    <col min="519" max="519" width="24" style="3203" customWidth="1"/>
    <col min="520" max="520" width="9" style="3203" customWidth="1"/>
    <col min="521" max="521" width="56.875" style="3203" customWidth="1"/>
    <col min="522" max="523" width="10.625" style="3203" customWidth="1"/>
    <col min="524" max="524" width="14.375" style="3203" customWidth="1"/>
    <col min="525" max="525" width="6.25" style="3203" customWidth="1"/>
    <col min="526" max="526" width="7.875" style="3203" customWidth="1"/>
    <col min="527" max="768" width="9" style="3203"/>
    <col min="769" max="769" width="38.5" style="3203" customWidth="1"/>
    <col min="770" max="770" width="6.25" style="3203" customWidth="1"/>
    <col min="771" max="771" width="13.875" style="3203" customWidth="1"/>
    <col min="772" max="772" width="7.875" style="3203" customWidth="1"/>
    <col min="773" max="774" width="13.875" style="3203" customWidth="1"/>
    <col min="775" max="775" width="24" style="3203" customWidth="1"/>
    <col min="776" max="776" width="9" style="3203" customWidth="1"/>
    <col min="777" max="777" width="56.875" style="3203" customWidth="1"/>
    <col min="778" max="779" width="10.625" style="3203" customWidth="1"/>
    <col min="780" max="780" width="14.375" style="3203" customWidth="1"/>
    <col min="781" max="781" width="6.25" style="3203" customWidth="1"/>
    <col min="782" max="782" width="7.875" style="3203" customWidth="1"/>
    <col min="783" max="1024" width="9" style="3203"/>
    <col min="1025" max="1025" width="38.5" style="3203" customWidth="1"/>
    <col min="1026" max="1026" width="6.25" style="3203" customWidth="1"/>
    <col min="1027" max="1027" width="13.875" style="3203" customWidth="1"/>
    <col min="1028" max="1028" width="7.875" style="3203" customWidth="1"/>
    <col min="1029" max="1030" width="13.875" style="3203" customWidth="1"/>
    <col min="1031" max="1031" width="24" style="3203" customWidth="1"/>
    <col min="1032" max="1032" width="9" style="3203" customWidth="1"/>
    <col min="1033" max="1033" width="56.875" style="3203" customWidth="1"/>
    <col min="1034" max="1035" width="10.625" style="3203" customWidth="1"/>
    <col min="1036" max="1036" width="14.375" style="3203" customWidth="1"/>
    <col min="1037" max="1037" width="6.25" style="3203" customWidth="1"/>
    <col min="1038" max="1038" width="7.875" style="3203" customWidth="1"/>
    <col min="1039" max="1280" width="9" style="3203"/>
    <col min="1281" max="1281" width="38.5" style="3203" customWidth="1"/>
    <col min="1282" max="1282" width="6.25" style="3203" customWidth="1"/>
    <col min="1283" max="1283" width="13.875" style="3203" customWidth="1"/>
    <col min="1284" max="1284" width="7.875" style="3203" customWidth="1"/>
    <col min="1285" max="1286" width="13.875" style="3203" customWidth="1"/>
    <col min="1287" max="1287" width="24" style="3203" customWidth="1"/>
    <col min="1288" max="1288" width="9" style="3203" customWidth="1"/>
    <col min="1289" max="1289" width="56.875" style="3203" customWidth="1"/>
    <col min="1290" max="1291" width="10.625" style="3203" customWidth="1"/>
    <col min="1292" max="1292" width="14.375" style="3203" customWidth="1"/>
    <col min="1293" max="1293" width="6.25" style="3203" customWidth="1"/>
    <col min="1294" max="1294" width="7.875" style="3203" customWidth="1"/>
    <col min="1295" max="1536" width="9" style="3203"/>
    <col min="1537" max="1537" width="38.5" style="3203" customWidth="1"/>
    <col min="1538" max="1538" width="6.25" style="3203" customWidth="1"/>
    <col min="1539" max="1539" width="13.875" style="3203" customWidth="1"/>
    <col min="1540" max="1540" width="7.875" style="3203" customWidth="1"/>
    <col min="1541" max="1542" width="13.875" style="3203" customWidth="1"/>
    <col min="1543" max="1543" width="24" style="3203" customWidth="1"/>
    <col min="1544" max="1544" width="9" style="3203" customWidth="1"/>
    <col min="1545" max="1545" width="56.875" style="3203" customWidth="1"/>
    <col min="1546" max="1547" width="10.625" style="3203" customWidth="1"/>
    <col min="1548" max="1548" width="14.375" style="3203" customWidth="1"/>
    <col min="1549" max="1549" width="6.25" style="3203" customWidth="1"/>
    <col min="1550" max="1550" width="7.875" style="3203" customWidth="1"/>
    <col min="1551" max="1792" width="9" style="3203"/>
    <col min="1793" max="1793" width="38.5" style="3203" customWidth="1"/>
    <col min="1794" max="1794" width="6.25" style="3203" customWidth="1"/>
    <col min="1795" max="1795" width="13.875" style="3203" customWidth="1"/>
    <col min="1796" max="1796" width="7.875" style="3203" customWidth="1"/>
    <col min="1797" max="1798" width="13.875" style="3203" customWidth="1"/>
    <col min="1799" max="1799" width="24" style="3203" customWidth="1"/>
    <col min="1800" max="1800" width="9" style="3203" customWidth="1"/>
    <col min="1801" max="1801" width="56.875" style="3203" customWidth="1"/>
    <col min="1802" max="1803" width="10.625" style="3203" customWidth="1"/>
    <col min="1804" max="1804" width="14.375" style="3203" customWidth="1"/>
    <col min="1805" max="1805" width="6.25" style="3203" customWidth="1"/>
    <col min="1806" max="1806" width="7.875" style="3203" customWidth="1"/>
    <col min="1807" max="2048" width="9" style="3203"/>
    <col min="2049" max="2049" width="38.5" style="3203" customWidth="1"/>
    <col min="2050" max="2050" width="6.25" style="3203" customWidth="1"/>
    <col min="2051" max="2051" width="13.875" style="3203" customWidth="1"/>
    <col min="2052" max="2052" width="7.875" style="3203" customWidth="1"/>
    <col min="2053" max="2054" width="13.875" style="3203" customWidth="1"/>
    <col min="2055" max="2055" width="24" style="3203" customWidth="1"/>
    <col min="2056" max="2056" width="9" style="3203" customWidth="1"/>
    <col min="2057" max="2057" width="56.875" style="3203" customWidth="1"/>
    <col min="2058" max="2059" width="10.625" style="3203" customWidth="1"/>
    <col min="2060" max="2060" width="14.375" style="3203" customWidth="1"/>
    <col min="2061" max="2061" width="6.25" style="3203" customWidth="1"/>
    <col min="2062" max="2062" width="7.875" style="3203" customWidth="1"/>
    <col min="2063" max="2304" width="9" style="3203"/>
    <col min="2305" max="2305" width="38.5" style="3203" customWidth="1"/>
    <col min="2306" max="2306" width="6.25" style="3203" customWidth="1"/>
    <col min="2307" max="2307" width="13.875" style="3203" customWidth="1"/>
    <col min="2308" max="2308" width="7.875" style="3203" customWidth="1"/>
    <col min="2309" max="2310" width="13.875" style="3203" customWidth="1"/>
    <col min="2311" max="2311" width="24" style="3203" customWidth="1"/>
    <col min="2312" max="2312" width="9" style="3203" customWidth="1"/>
    <col min="2313" max="2313" width="56.875" style="3203" customWidth="1"/>
    <col min="2314" max="2315" width="10.625" style="3203" customWidth="1"/>
    <col min="2316" max="2316" width="14.375" style="3203" customWidth="1"/>
    <col min="2317" max="2317" width="6.25" style="3203" customWidth="1"/>
    <col min="2318" max="2318" width="7.875" style="3203" customWidth="1"/>
    <col min="2319" max="2560" width="9" style="3203"/>
    <col min="2561" max="2561" width="38.5" style="3203" customWidth="1"/>
    <col min="2562" max="2562" width="6.25" style="3203" customWidth="1"/>
    <col min="2563" max="2563" width="13.875" style="3203" customWidth="1"/>
    <col min="2564" max="2564" width="7.875" style="3203" customWidth="1"/>
    <col min="2565" max="2566" width="13.875" style="3203" customWidth="1"/>
    <col min="2567" max="2567" width="24" style="3203" customWidth="1"/>
    <col min="2568" max="2568" width="9" style="3203" customWidth="1"/>
    <col min="2569" max="2569" width="56.875" style="3203" customWidth="1"/>
    <col min="2570" max="2571" width="10.625" style="3203" customWidth="1"/>
    <col min="2572" max="2572" width="14.375" style="3203" customWidth="1"/>
    <col min="2573" max="2573" width="6.25" style="3203" customWidth="1"/>
    <col min="2574" max="2574" width="7.875" style="3203" customWidth="1"/>
    <col min="2575" max="2816" width="9" style="3203"/>
    <col min="2817" max="2817" width="38.5" style="3203" customWidth="1"/>
    <col min="2818" max="2818" width="6.25" style="3203" customWidth="1"/>
    <col min="2819" max="2819" width="13.875" style="3203" customWidth="1"/>
    <col min="2820" max="2820" width="7.875" style="3203" customWidth="1"/>
    <col min="2821" max="2822" width="13.875" style="3203" customWidth="1"/>
    <col min="2823" max="2823" width="24" style="3203" customWidth="1"/>
    <col min="2824" max="2824" width="9" style="3203" customWidth="1"/>
    <col min="2825" max="2825" width="56.875" style="3203" customWidth="1"/>
    <col min="2826" max="2827" width="10.625" style="3203" customWidth="1"/>
    <col min="2828" max="2828" width="14.375" style="3203" customWidth="1"/>
    <col min="2829" max="2829" width="6.25" style="3203" customWidth="1"/>
    <col min="2830" max="2830" width="7.875" style="3203" customWidth="1"/>
    <col min="2831" max="3072" width="9" style="3203"/>
    <col min="3073" max="3073" width="38.5" style="3203" customWidth="1"/>
    <col min="3074" max="3074" width="6.25" style="3203" customWidth="1"/>
    <col min="3075" max="3075" width="13.875" style="3203" customWidth="1"/>
    <col min="3076" max="3076" width="7.875" style="3203" customWidth="1"/>
    <col min="3077" max="3078" width="13.875" style="3203" customWidth="1"/>
    <col min="3079" max="3079" width="24" style="3203" customWidth="1"/>
    <col min="3080" max="3080" width="9" style="3203" customWidth="1"/>
    <col min="3081" max="3081" width="56.875" style="3203" customWidth="1"/>
    <col min="3082" max="3083" width="10.625" style="3203" customWidth="1"/>
    <col min="3084" max="3084" width="14.375" style="3203" customWidth="1"/>
    <col min="3085" max="3085" width="6.25" style="3203" customWidth="1"/>
    <col min="3086" max="3086" width="7.875" style="3203" customWidth="1"/>
    <col min="3087" max="3328" width="9" style="3203"/>
    <col min="3329" max="3329" width="38.5" style="3203" customWidth="1"/>
    <col min="3330" max="3330" width="6.25" style="3203" customWidth="1"/>
    <col min="3331" max="3331" width="13.875" style="3203" customWidth="1"/>
    <col min="3332" max="3332" width="7.875" style="3203" customWidth="1"/>
    <col min="3333" max="3334" width="13.875" style="3203" customWidth="1"/>
    <col min="3335" max="3335" width="24" style="3203" customWidth="1"/>
    <col min="3336" max="3336" width="9" style="3203" customWidth="1"/>
    <col min="3337" max="3337" width="56.875" style="3203" customWidth="1"/>
    <col min="3338" max="3339" width="10.625" style="3203" customWidth="1"/>
    <col min="3340" max="3340" width="14.375" style="3203" customWidth="1"/>
    <col min="3341" max="3341" width="6.25" style="3203" customWidth="1"/>
    <col min="3342" max="3342" width="7.875" style="3203" customWidth="1"/>
    <col min="3343" max="3584" width="9" style="3203"/>
    <col min="3585" max="3585" width="38.5" style="3203" customWidth="1"/>
    <col min="3586" max="3586" width="6.25" style="3203" customWidth="1"/>
    <col min="3587" max="3587" width="13.875" style="3203" customWidth="1"/>
    <col min="3588" max="3588" width="7.875" style="3203" customWidth="1"/>
    <col min="3589" max="3590" width="13.875" style="3203" customWidth="1"/>
    <col min="3591" max="3591" width="24" style="3203" customWidth="1"/>
    <col min="3592" max="3592" width="9" style="3203" customWidth="1"/>
    <col min="3593" max="3593" width="56.875" style="3203" customWidth="1"/>
    <col min="3594" max="3595" width="10.625" style="3203" customWidth="1"/>
    <col min="3596" max="3596" width="14.375" style="3203" customWidth="1"/>
    <col min="3597" max="3597" width="6.25" style="3203" customWidth="1"/>
    <col min="3598" max="3598" width="7.875" style="3203" customWidth="1"/>
    <col min="3599" max="3840" width="9" style="3203"/>
    <col min="3841" max="3841" width="38.5" style="3203" customWidth="1"/>
    <col min="3842" max="3842" width="6.25" style="3203" customWidth="1"/>
    <col min="3843" max="3843" width="13.875" style="3203" customWidth="1"/>
    <col min="3844" max="3844" width="7.875" style="3203" customWidth="1"/>
    <col min="3845" max="3846" width="13.875" style="3203" customWidth="1"/>
    <col min="3847" max="3847" width="24" style="3203" customWidth="1"/>
    <col min="3848" max="3848" width="9" style="3203" customWidth="1"/>
    <col min="3849" max="3849" width="56.875" style="3203" customWidth="1"/>
    <col min="3850" max="3851" width="10.625" style="3203" customWidth="1"/>
    <col min="3852" max="3852" width="14.375" style="3203" customWidth="1"/>
    <col min="3853" max="3853" width="6.25" style="3203" customWidth="1"/>
    <col min="3854" max="3854" width="7.875" style="3203" customWidth="1"/>
    <col min="3855" max="4096" width="9" style="3203"/>
    <col min="4097" max="4097" width="38.5" style="3203" customWidth="1"/>
    <col min="4098" max="4098" width="6.25" style="3203" customWidth="1"/>
    <col min="4099" max="4099" width="13.875" style="3203" customWidth="1"/>
    <col min="4100" max="4100" width="7.875" style="3203" customWidth="1"/>
    <col min="4101" max="4102" width="13.875" style="3203" customWidth="1"/>
    <col min="4103" max="4103" width="24" style="3203" customWidth="1"/>
    <col min="4104" max="4104" width="9" style="3203" customWidth="1"/>
    <col min="4105" max="4105" width="56.875" style="3203" customWidth="1"/>
    <col min="4106" max="4107" width="10.625" style="3203" customWidth="1"/>
    <col min="4108" max="4108" width="14.375" style="3203" customWidth="1"/>
    <col min="4109" max="4109" width="6.25" style="3203" customWidth="1"/>
    <col min="4110" max="4110" width="7.875" style="3203" customWidth="1"/>
    <col min="4111" max="4352" width="9" style="3203"/>
    <col min="4353" max="4353" width="38.5" style="3203" customWidth="1"/>
    <col min="4354" max="4354" width="6.25" style="3203" customWidth="1"/>
    <col min="4355" max="4355" width="13.875" style="3203" customWidth="1"/>
    <col min="4356" max="4356" width="7.875" style="3203" customWidth="1"/>
    <col min="4357" max="4358" width="13.875" style="3203" customWidth="1"/>
    <col min="4359" max="4359" width="24" style="3203" customWidth="1"/>
    <col min="4360" max="4360" width="9" style="3203" customWidth="1"/>
    <col min="4361" max="4361" width="56.875" style="3203" customWidth="1"/>
    <col min="4362" max="4363" width="10.625" style="3203" customWidth="1"/>
    <col min="4364" max="4364" width="14.375" style="3203" customWidth="1"/>
    <col min="4365" max="4365" width="6.25" style="3203" customWidth="1"/>
    <col min="4366" max="4366" width="7.875" style="3203" customWidth="1"/>
    <col min="4367" max="4608" width="9" style="3203"/>
    <col min="4609" max="4609" width="38.5" style="3203" customWidth="1"/>
    <col min="4610" max="4610" width="6.25" style="3203" customWidth="1"/>
    <col min="4611" max="4611" width="13.875" style="3203" customWidth="1"/>
    <col min="4612" max="4612" width="7.875" style="3203" customWidth="1"/>
    <col min="4613" max="4614" width="13.875" style="3203" customWidth="1"/>
    <col min="4615" max="4615" width="24" style="3203" customWidth="1"/>
    <col min="4616" max="4616" width="9" style="3203" customWidth="1"/>
    <col min="4617" max="4617" width="56.875" style="3203" customWidth="1"/>
    <col min="4618" max="4619" width="10.625" style="3203" customWidth="1"/>
    <col min="4620" max="4620" width="14.375" style="3203" customWidth="1"/>
    <col min="4621" max="4621" width="6.25" style="3203" customWidth="1"/>
    <col min="4622" max="4622" width="7.875" style="3203" customWidth="1"/>
    <col min="4623" max="4864" width="9" style="3203"/>
    <col min="4865" max="4865" width="38.5" style="3203" customWidth="1"/>
    <col min="4866" max="4866" width="6.25" style="3203" customWidth="1"/>
    <col min="4867" max="4867" width="13.875" style="3203" customWidth="1"/>
    <col min="4868" max="4868" width="7.875" style="3203" customWidth="1"/>
    <col min="4869" max="4870" width="13.875" style="3203" customWidth="1"/>
    <col min="4871" max="4871" width="24" style="3203" customWidth="1"/>
    <col min="4872" max="4872" width="9" style="3203" customWidth="1"/>
    <col min="4873" max="4873" width="56.875" style="3203" customWidth="1"/>
    <col min="4874" max="4875" width="10.625" style="3203" customWidth="1"/>
    <col min="4876" max="4876" width="14.375" style="3203" customWidth="1"/>
    <col min="4877" max="4877" width="6.25" style="3203" customWidth="1"/>
    <col min="4878" max="4878" width="7.875" style="3203" customWidth="1"/>
    <col min="4879" max="5120" width="9" style="3203"/>
    <col min="5121" max="5121" width="38.5" style="3203" customWidth="1"/>
    <col min="5122" max="5122" width="6.25" style="3203" customWidth="1"/>
    <col min="5123" max="5123" width="13.875" style="3203" customWidth="1"/>
    <col min="5124" max="5124" width="7.875" style="3203" customWidth="1"/>
    <col min="5125" max="5126" width="13.875" style="3203" customWidth="1"/>
    <col min="5127" max="5127" width="24" style="3203" customWidth="1"/>
    <col min="5128" max="5128" width="9" style="3203" customWidth="1"/>
    <col min="5129" max="5129" width="56.875" style="3203" customWidth="1"/>
    <col min="5130" max="5131" width="10.625" style="3203" customWidth="1"/>
    <col min="5132" max="5132" width="14.375" style="3203" customWidth="1"/>
    <col min="5133" max="5133" width="6.25" style="3203" customWidth="1"/>
    <col min="5134" max="5134" width="7.875" style="3203" customWidth="1"/>
    <col min="5135" max="5376" width="9" style="3203"/>
    <col min="5377" max="5377" width="38.5" style="3203" customWidth="1"/>
    <col min="5378" max="5378" width="6.25" style="3203" customWidth="1"/>
    <col min="5379" max="5379" width="13.875" style="3203" customWidth="1"/>
    <col min="5380" max="5380" width="7.875" style="3203" customWidth="1"/>
    <col min="5381" max="5382" width="13.875" style="3203" customWidth="1"/>
    <col min="5383" max="5383" width="24" style="3203" customWidth="1"/>
    <col min="5384" max="5384" width="9" style="3203" customWidth="1"/>
    <col min="5385" max="5385" width="56.875" style="3203" customWidth="1"/>
    <col min="5386" max="5387" width="10.625" style="3203" customWidth="1"/>
    <col min="5388" max="5388" width="14.375" style="3203" customWidth="1"/>
    <col min="5389" max="5389" width="6.25" style="3203" customWidth="1"/>
    <col min="5390" max="5390" width="7.875" style="3203" customWidth="1"/>
    <col min="5391" max="5632" width="9" style="3203"/>
    <col min="5633" max="5633" width="38.5" style="3203" customWidth="1"/>
    <col min="5634" max="5634" width="6.25" style="3203" customWidth="1"/>
    <col min="5635" max="5635" width="13.875" style="3203" customWidth="1"/>
    <col min="5636" max="5636" width="7.875" style="3203" customWidth="1"/>
    <col min="5637" max="5638" width="13.875" style="3203" customWidth="1"/>
    <col min="5639" max="5639" width="24" style="3203" customWidth="1"/>
    <col min="5640" max="5640" width="9" style="3203" customWidth="1"/>
    <col min="5641" max="5641" width="56.875" style="3203" customWidth="1"/>
    <col min="5642" max="5643" width="10.625" style="3203" customWidth="1"/>
    <col min="5644" max="5644" width="14.375" style="3203" customWidth="1"/>
    <col min="5645" max="5645" width="6.25" style="3203" customWidth="1"/>
    <col min="5646" max="5646" width="7.875" style="3203" customWidth="1"/>
    <col min="5647" max="5888" width="9" style="3203"/>
    <col min="5889" max="5889" width="38.5" style="3203" customWidth="1"/>
    <col min="5890" max="5890" width="6.25" style="3203" customWidth="1"/>
    <col min="5891" max="5891" width="13.875" style="3203" customWidth="1"/>
    <col min="5892" max="5892" width="7.875" style="3203" customWidth="1"/>
    <col min="5893" max="5894" width="13.875" style="3203" customWidth="1"/>
    <col min="5895" max="5895" width="24" style="3203" customWidth="1"/>
    <col min="5896" max="5896" width="9" style="3203" customWidth="1"/>
    <col min="5897" max="5897" width="56.875" style="3203" customWidth="1"/>
    <col min="5898" max="5899" width="10.625" style="3203" customWidth="1"/>
    <col min="5900" max="5900" width="14.375" style="3203" customWidth="1"/>
    <col min="5901" max="5901" width="6.25" style="3203" customWidth="1"/>
    <col min="5902" max="5902" width="7.875" style="3203" customWidth="1"/>
    <col min="5903" max="6144" width="9" style="3203"/>
    <col min="6145" max="6145" width="38.5" style="3203" customWidth="1"/>
    <col min="6146" max="6146" width="6.25" style="3203" customWidth="1"/>
    <col min="6147" max="6147" width="13.875" style="3203" customWidth="1"/>
    <col min="6148" max="6148" width="7.875" style="3203" customWidth="1"/>
    <col min="6149" max="6150" width="13.875" style="3203" customWidth="1"/>
    <col min="6151" max="6151" width="24" style="3203" customWidth="1"/>
    <col min="6152" max="6152" width="9" style="3203" customWidth="1"/>
    <col min="6153" max="6153" width="56.875" style="3203" customWidth="1"/>
    <col min="6154" max="6155" width="10.625" style="3203" customWidth="1"/>
    <col min="6156" max="6156" width="14.375" style="3203" customWidth="1"/>
    <col min="6157" max="6157" width="6.25" style="3203" customWidth="1"/>
    <col min="6158" max="6158" width="7.875" style="3203" customWidth="1"/>
    <col min="6159" max="6400" width="9" style="3203"/>
    <col min="6401" max="6401" width="38.5" style="3203" customWidth="1"/>
    <col min="6402" max="6402" width="6.25" style="3203" customWidth="1"/>
    <col min="6403" max="6403" width="13.875" style="3203" customWidth="1"/>
    <col min="6404" max="6404" width="7.875" style="3203" customWidth="1"/>
    <col min="6405" max="6406" width="13.875" style="3203" customWidth="1"/>
    <col min="6407" max="6407" width="24" style="3203" customWidth="1"/>
    <col min="6408" max="6408" width="9" style="3203" customWidth="1"/>
    <col min="6409" max="6409" width="56.875" style="3203" customWidth="1"/>
    <col min="6410" max="6411" width="10.625" style="3203" customWidth="1"/>
    <col min="6412" max="6412" width="14.375" style="3203" customWidth="1"/>
    <col min="6413" max="6413" width="6.25" style="3203" customWidth="1"/>
    <col min="6414" max="6414" width="7.875" style="3203" customWidth="1"/>
    <col min="6415" max="6656" width="9" style="3203"/>
    <col min="6657" max="6657" width="38.5" style="3203" customWidth="1"/>
    <col min="6658" max="6658" width="6.25" style="3203" customWidth="1"/>
    <col min="6659" max="6659" width="13.875" style="3203" customWidth="1"/>
    <col min="6660" max="6660" width="7.875" style="3203" customWidth="1"/>
    <col min="6661" max="6662" width="13.875" style="3203" customWidth="1"/>
    <col min="6663" max="6663" width="24" style="3203" customWidth="1"/>
    <col min="6664" max="6664" width="9" style="3203" customWidth="1"/>
    <col min="6665" max="6665" width="56.875" style="3203" customWidth="1"/>
    <col min="6666" max="6667" width="10.625" style="3203" customWidth="1"/>
    <col min="6668" max="6668" width="14.375" style="3203" customWidth="1"/>
    <col min="6669" max="6669" width="6.25" style="3203" customWidth="1"/>
    <col min="6670" max="6670" width="7.875" style="3203" customWidth="1"/>
    <col min="6671" max="6912" width="9" style="3203"/>
    <col min="6913" max="6913" width="38.5" style="3203" customWidth="1"/>
    <col min="6914" max="6914" width="6.25" style="3203" customWidth="1"/>
    <col min="6915" max="6915" width="13.875" style="3203" customWidth="1"/>
    <col min="6916" max="6916" width="7.875" style="3203" customWidth="1"/>
    <col min="6917" max="6918" width="13.875" style="3203" customWidth="1"/>
    <col min="6919" max="6919" width="24" style="3203" customWidth="1"/>
    <col min="6920" max="6920" width="9" style="3203" customWidth="1"/>
    <col min="6921" max="6921" width="56.875" style="3203" customWidth="1"/>
    <col min="6922" max="6923" width="10.625" style="3203" customWidth="1"/>
    <col min="6924" max="6924" width="14.375" style="3203" customWidth="1"/>
    <col min="6925" max="6925" width="6.25" style="3203" customWidth="1"/>
    <col min="6926" max="6926" width="7.875" style="3203" customWidth="1"/>
    <col min="6927" max="7168" width="9" style="3203"/>
    <col min="7169" max="7169" width="38.5" style="3203" customWidth="1"/>
    <col min="7170" max="7170" width="6.25" style="3203" customWidth="1"/>
    <col min="7171" max="7171" width="13.875" style="3203" customWidth="1"/>
    <col min="7172" max="7172" width="7.875" style="3203" customWidth="1"/>
    <col min="7173" max="7174" width="13.875" style="3203" customWidth="1"/>
    <col min="7175" max="7175" width="24" style="3203" customWidth="1"/>
    <col min="7176" max="7176" width="9" style="3203" customWidth="1"/>
    <col min="7177" max="7177" width="56.875" style="3203" customWidth="1"/>
    <col min="7178" max="7179" width="10.625" style="3203" customWidth="1"/>
    <col min="7180" max="7180" width="14.375" style="3203" customWidth="1"/>
    <col min="7181" max="7181" width="6.25" style="3203" customWidth="1"/>
    <col min="7182" max="7182" width="7.875" style="3203" customWidth="1"/>
    <col min="7183" max="7424" width="9" style="3203"/>
    <col min="7425" max="7425" width="38.5" style="3203" customWidth="1"/>
    <col min="7426" max="7426" width="6.25" style="3203" customWidth="1"/>
    <col min="7427" max="7427" width="13.875" style="3203" customWidth="1"/>
    <col min="7428" max="7428" width="7.875" style="3203" customWidth="1"/>
    <col min="7429" max="7430" width="13.875" style="3203" customWidth="1"/>
    <col min="7431" max="7431" width="24" style="3203" customWidth="1"/>
    <col min="7432" max="7432" width="9" style="3203" customWidth="1"/>
    <col min="7433" max="7433" width="56.875" style="3203" customWidth="1"/>
    <col min="7434" max="7435" width="10.625" style="3203" customWidth="1"/>
    <col min="7436" max="7436" width="14.375" style="3203" customWidth="1"/>
    <col min="7437" max="7437" width="6.25" style="3203" customWidth="1"/>
    <col min="7438" max="7438" width="7.875" style="3203" customWidth="1"/>
    <col min="7439" max="7680" width="9" style="3203"/>
    <col min="7681" max="7681" width="38.5" style="3203" customWidth="1"/>
    <col min="7682" max="7682" width="6.25" style="3203" customWidth="1"/>
    <col min="7683" max="7683" width="13.875" style="3203" customWidth="1"/>
    <col min="7684" max="7684" width="7.875" style="3203" customWidth="1"/>
    <col min="7685" max="7686" width="13.875" style="3203" customWidth="1"/>
    <col min="7687" max="7687" width="24" style="3203" customWidth="1"/>
    <col min="7688" max="7688" width="9" style="3203" customWidth="1"/>
    <col min="7689" max="7689" width="56.875" style="3203" customWidth="1"/>
    <col min="7690" max="7691" width="10.625" style="3203" customWidth="1"/>
    <col min="7692" max="7692" width="14.375" style="3203" customWidth="1"/>
    <col min="7693" max="7693" width="6.25" style="3203" customWidth="1"/>
    <col min="7694" max="7694" width="7.875" style="3203" customWidth="1"/>
    <col min="7695" max="7936" width="9" style="3203"/>
    <col min="7937" max="7937" width="38.5" style="3203" customWidth="1"/>
    <col min="7938" max="7938" width="6.25" style="3203" customWidth="1"/>
    <col min="7939" max="7939" width="13.875" style="3203" customWidth="1"/>
    <col min="7940" max="7940" width="7.875" style="3203" customWidth="1"/>
    <col min="7941" max="7942" width="13.875" style="3203" customWidth="1"/>
    <col min="7943" max="7943" width="24" style="3203" customWidth="1"/>
    <col min="7944" max="7944" width="9" style="3203" customWidth="1"/>
    <col min="7945" max="7945" width="56.875" style="3203" customWidth="1"/>
    <col min="7946" max="7947" width="10.625" style="3203" customWidth="1"/>
    <col min="7948" max="7948" width="14.375" style="3203" customWidth="1"/>
    <col min="7949" max="7949" width="6.25" style="3203" customWidth="1"/>
    <col min="7950" max="7950" width="7.875" style="3203" customWidth="1"/>
    <col min="7951" max="8192" width="9" style="3203"/>
    <col min="8193" max="8193" width="38.5" style="3203" customWidth="1"/>
    <col min="8194" max="8194" width="6.25" style="3203" customWidth="1"/>
    <col min="8195" max="8195" width="13.875" style="3203" customWidth="1"/>
    <col min="8196" max="8196" width="7.875" style="3203" customWidth="1"/>
    <col min="8197" max="8198" width="13.875" style="3203" customWidth="1"/>
    <col min="8199" max="8199" width="24" style="3203" customWidth="1"/>
    <col min="8200" max="8200" width="9" style="3203" customWidth="1"/>
    <col min="8201" max="8201" width="56.875" style="3203" customWidth="1"/>
    <col min="8202" max="8203" width="10.625" style="3203" customWidth="1"/>
    <col min="8204" max="8204" width="14.375" style="3203" customWidth="1"/>
    <col min="8205" max="8205" width="6.25" style="3203" customWidth="1"/>
    <col min="8206" max="8206" width="7.875" style="3203" customWidth="1"/>
    <col min="8207" max="8448" width="9" style="3203"/>
    <col min="8449" max="8449" width="38.5" style="3203" customWidth="1"/>
    <col min="8450" max="8450" width="6.25" style="3203" customWidth="1"/>
    <col min="8451" max="8451" width="13.875" style="3203" customWidth="1"/>
    <col min="8452" max="8452" width="7.875" style="3203" customWidth="1"/>
    <col min="8453" max="8454" width="13.875" style="3203" customWidth="1"/>
    <col min="8455" max="8455" width="24" style="3203" customWidth="1"/>
    <col min="8456" max="8456" width="9" style="3203" customWidth="1"/>
    <col min="8457" max="8457" width="56.875" style="3203" customWidth="1"/>
    <col min="8458" max="8459" width="10.625" style="3203" customWidth="1"/>
    <col min="8460" max="8460" width="14.375" style="3203" customWidth="1"/>
    <col min="8461" max="8461" width="6.25" style="3203" customWidth="1"/>
    <col min="8462" max="8462" width="7.875" style="3203" customWidth="1"/>
    <col min="8463" max="8704" width="9" style="3203"/>
    <col min="8705" max="8705" width="38.5" style="3203" customWidth="1"/>
    <col min="8706" max="8706" width="6.25" style="3203" customWidth="1"/>
    <col min="8707" max="8707" width="13.875" style="3203" customWidth="1"/>
    <col min="8708" max="8708" width="7.875" style="3203" customWidth="1"/>
    <col min="8709" max="8710" width="13.875" style="3203" customWidth="1"/>
    <col min="8711" max="8711" width="24" style="3203" customWidth="1"/>
    <col min="8712" max="8712" width="9" style="3203" customWidth="1"/>
    <col min="8713" max="8713" width="56.875" style="3203" customWidth="1"/>
    <col min="8714" max="8715" width="10.625" style="3203" customWidth="1"/>
    <col min="8716" max="8716" width="14.375" style="3203" customWidth="1"/>
    <col min="8717" max="8717" width="6.25" style="3203" customWidth="1"/>
    <col min="8718" max="8718" width="7.875" style="3203" customWidth="1"/>
    <col min="8719" max="8960" width="9" style="3203"/>
    <col min="8961" max="8961" width="38.5" style="3203" customWidth="1"/>
    <col min="8962" max="8962" width="6.25" style="3203" customWidth="1"/>
    <col min="8963" max="8963" width="13.875" style="3203" customWidth="1"/>
    <col min="8964" max="8964" width="7.875" style="3203" customWidth="1"/>
    <col min="8965" max="8966" width="13.875" style="3203" customWidth="1"/>
    <col min="8967" max="8967" width="24" style="3203" customWidth="1"/>
    <col min="8968" max="8968" width="9" style="3203" customWidth="1"/>
    <col min="8969" max="8969" width="56.875" style="3203" customWidth="1"/>
    <col min="8970" max="8971" width="10.625" style="3203" customWidth="1"/>
    <col min="8972" max="8972" width="14.375" style="3203" customWidth="1"/>
    <col min="8973" max="8973" width="6.25" style="3203" customWidth="1"/>
    <col min="8974" max="8974" width="7.875" style="3203" customWidth="1"/>
    <col min="8975" max="9216" width="9" style="3203"/>
    <col min="9217" max="9217" width="38.5" style="3203" customWidth="1"/>
    <col min="9218" max="9218" width="6.25" style="3203" customWidth="1"/>
    <col min="9219" max="9219" width="13.875" style="3203" customWidth="1"/>
    <col min="9220" max="9220" width="7.875" style="3203" customWidth="1"/>
    <col min="9221" max="9222" width="13.875" style="3203" customWidth="1"/>
    <col min="9223" max="9223" width="24" style="3203" customWidth="1"/>
    <col min="9224" max="9224" width="9" style="3203" customWidth="1"/>
    <col min="9225" max="9225" width="56.875" style="3203" customWidth="1"/>
    <col min="9226" max="9227" width="10.625" style="3203" customWidth="1"/>
    <col min="9228" max="9228" width="14.375" style="3203" customWidth="1"/>
    <col min="9229" max="9229" width="6.25" style="3203" customWidth="1"/>
    <col min="9230" max="9230" width="7.875" style="3203" customWidth="1"/>
    <col min="9231" max="9472" width="9" style="3203"/>
    <col min="9473" max="9473" width="38.5" style="3203" customWidth="1"/>
    <col min="9474" max="9474" width="6.25" style="3203" customWidth="1"/>
    <col min="9475" max="9475" width="13.875" style="3203" customWidth="1"/>
    <col min="9476" max="9476" width="7.875" style="3203" customWidth="1"/>
    <col min="9477" max="9478" width="13.875" style="3203" customWidth="1"/>
    <col min="9479" max="9479" width="24" style="3203" customWidth="1"/>
    <col min="9480" max="9480" width="9" style="3203" customWidth="1"/>
    <col min="9481" max="9481" width="56.875" style="3203" customWidth="1"/>
    <col min="9482" max="9483" width="10.625" style="3203" customWidth="1"/>
    <col min="9484" max="9484" width="14.375" style="3203" customWidth="1"/>
    <col min="9485" max="9485" width="6.25" style="3203" customWidth="1"/>
    <col min="9486" max="9486" width="7.875" style="3203" customWidth="1"/>
    <col min="9487" max="9728" width="9" style="3203"/>
    <col min="9729" max="9729" width="38.5" style="3203" customWidth="1"/>
    <col min="9730" max="9730" width="6.25" style="3203" customWidth="1"/>
    <col min="9731" max="9731" width="13.875" style="3203" customWidth="1"/>
    <col min="9732" max="9732" width="7.875" style="3203" customWidth="1"/>
    <col min="9733" max="9734" width="13.875" style="3203" customWidth="1"/>
    <col min="9735" max="9735" width="24" style="3203" customWidth="1"/>
    <col min="9736" max="9736" width="9" style="3203" customWidth="1"/>
    <col min="9737" max="9737" width="56.875" style="3203" customWidth="1"/>
    <col min="9738" max="9739" width="10.625" style="3203" customWidth="1"/>
    <col min="9740" max="9740" width="14.375" style="3203" customWidth="1"/>
    <col min="9741" max="9741" width="6.25" style="3203" customWidth="1"/>
    <col min="9742" max="9742" width="7.875" style="3203" customWidth="1"/>
    <col min="9743" max="9984" width="9" style="3203"/>
    <col min="9985" max="9985" width="38.5" style="3203" customWidth="1"/>
    <col min="9986" max="9986" width="6.25" style="3203" customWidth="1"/>
    <col min="9987" max="9987" width="13.875" style="3203" customWidth="1"/>
    <col min="9988" max="9988" width="7.875" style="3203" customWidth="1"/>
    <col min="9989" max="9990" width="13.875" style="3203" customWidth="1"/>
    <col min="9991" max="9991" width="24" style="3203" customWidth="1"/>
    <col min="9992" max="9992" width="9" style="3203" customWidth="1"/>
    <col min="9993" max="9993" width="56.875" style="3203" customWidth="1"/>
    <col min="9994" max="9995" width="10.625" style="3203" customWidth="1"/>
    <col min="9996" max="9996" width="14.375" style="3203" customWidth="1"/>
    <col min="9997" max="9997" width="6.25" style="3203" customWidth="1"/>
    <col min="9998" max="9998" width="7.875" style="3203" customWidth="1"/>
    <col min="9999" max="10240" width="9" style="3203"/>
    <col min="10241" max="10241" width="38.5" style="3203" customWidth="1"/>
    <col min="10242" max="10242" width="6.25" style="3203" customWidth="1"/>
    <col min="10243" max="10243" width="13.875" style="3203" customWidth="1"/>
    <col min="10244" max="10244" width="7.875" style="3203" customWidth="1"/>
    <col min="10245" max="10246" width="13.875" style="3203" customWidth="1"/>
    <col min="10247" max="10247" width="24" style="3203" customWidth="1"/>
    <col min="10248" max="10248" width="9" style="3203" customWidth="1"/>
    <col min="10249" max="10249" width="56.875" style="3203" customWidth="1"/>
    <col min="10250" max="10251" width="10.625" style="3203" customWidth="1"/>
    <col min="10252" max="10252" width="14.375" style="3203" customWidth="1"/>
    <col min="10253" max="10253" width="6.25" style="3203" customWidth="1"/>
    <col min="10254" max="10254" width="7.875" style="3203" customWidth="1"/>
    <col min="10255" max="10496" width="9" style="3203"/>
    <col min="10497" max="10497" width="38.5" style="3203" customWidth="1"/>
    <col min="10498" max="10498" width="6.25" style="3203" customWidth="1"/>
    <col min="10499" max="10499" width="13.875" style="3203" customWidth="1"/>
    <col min="10500" max="10500" width="7.875" style="3203" customWidth="1"/>
    <col min="10501" max="10502" width="13.875" style="3203" customWidth="1"/>
    <col min="10503" max="10503" width="24" style="3203" customWidth="1"/>
    <col min="10504" max="10504" width="9" style="3203" customWidth="1"/>
    <col min="10505" max="10505" width="56.875" style="3203" customWidth="1"/>
    <col min="10506" max="10507" width="10.625" style="3203" customWidth="1"/>
    <col min="10508" max="10508" width="14.375" style="3203" customWidth="1"/>
    <col min="10509" max="10509" width="6.25" style="3203" customWidth="1"/>
    <col min="10510" max="10510" width="7.875" style="3203" customWidth="1"/>
    <col min="10511" max="10752" width="9" style="3203"/>
    <col min="10753" max="10753" width="38.5" style="3203" customWidth="1"/>
    <col min="10754" max="10754" width="6.25" style="3203" customWidth="1"/>
    <col min="10755" max="10755" width="13.875" style="3203" customWidth="1"/>
    <col min="10756" max="10756" width="7.875" style="3203" customWidth="1"/>
    <col min="10757" max="10758" width="13.875" style="3203" customWidth="1"/>
    <col min="10759" max="10759" width="24" style="3203" customWidth="1"/>
    <col min="10760" max="10760" width="9" style="3203" customWidth="1"/>
    <col min="10761" max="10761" width="56.875" style="3203" customWidth="1"/>
    <col min="10762" max="10763" width="10.625" style="3203" customWidth="1"/>
    <col min="10764" max="10764" width="14.375" style="3203" customWidth="1"/>
    <col min="10765" max="10765" width="6.25" style="3203" customWidth="1"/>
    <col min="10766" max="10766" width="7.875" style="3203" customWidth="1"/>
    <col min="10767" max="11008" width="9" style="3203"/>
    <col min="11009" max="11009" width="38.5" style="3203" customWidth="1"/>
    <col min="11010" max="11010" width="6.25" style="3203" customWidth="1"/>
    <col min="11011" max="11011" width="13.875" style="3203" customWidth="1"/>
    <col min="11012" max="11012" width="7.875" style="3203" customWidth="1"/>
    <col min="11013" max="11014" width="13.875" style="3203" customWidth="1"/>
    <col min="11015" max="11015" width="24" style="3203" customWidth="1"/>
    <col min="11016" max="11016" width="9" style="3203" customWidth="1"/>
    <col min="11017" max="11017" width="56.875" style="3203" customWidth="1"/>
    <col min="11018" max="11019" width="10.625" style="3203" customWidth="1"/>
    <col min="11020" max="11020" width="14.375" style="3203" customWidth="1"/>
    <col min="11021" max="11021" width="6.25" style="3203" customWidth="1"/>
    <col min="11022" max="11022" width="7.875" style="3203" customWidth="1"/>
    <col min="11023" max="11264" width="9" style="3203"/>
    <col min="11265" max="11265" width="38.5" style="3203" customWidth="1"/>
    <col min="11266" max="11266" width="6.25" style="3203" customWidth="1"/>
    <col min="11267" max="11267" width="13.875" style="3203" customWidth="1"/>
    <col min="11268" max="11268" width="7.875" style="3203" customWidth="1"/>
    <col min="11269" max="11270" width="13.875" style="3203" customWidth="1"/>
    <col min="11271" max="11271" width="24" style="3203" customWidth="1"/>
    <col min="11272" max="11272" width="9" style="3203" customWidth="1"/>
    <col min="11273" max="11273" width="56.875" style="3203" customWidth="1"/>
    <col min="11274" max="11275" width="10.625" style="3203" customWidth="1"/>
    <col min="11276" max="11276" width="14.375" style="3203" customWidth="1"/>
    <col min="11277" max="11277" width="6.25" style="3203" customWidth="1"/>
    <col min="11278" max="11278" width="7.875" style="3203" customWidth="1"/>
    <col min="11279" max="11520" width="9" style="3203"/>
    <col min="11521" max="11521" width="38.5" style="3203" customWidth="1"/>
    <col min="11522" max="11522" width="6.25" style="3203" customWidth="1"/>
    <col min="11523" max="11523" width="13.875" style="3203" customWidth="1"/>
    <col min="11524" max="11524" width="7.875" style="3203" customWidth="1"/>
    <col min="11525" max="11526" width="13.875" style="3203" customWidth="1"/>
    <col min="11527" max="11527" width="24" style="3203" customWidth="1"/>
    <col min="11528" max="11528" width="9" style="3203" customWidth="1"/>
    <col min="11529" max="11529" width="56.875" style="3203" customWidth="1"/>
    <col min="11530" max="11531" width="10.625" style="3203" customWidth="1"/>
    <col min="11532" max="11532" width="14.375" style="3203" customWidth="1"/>
    <col min="11533" max="11533" width="6.25" style="3203" customWidth="1"/>
    <col min="11534" max="11534" width="7.875" style="3203" customWidth="1"/>
    <col min="11535" max="11776" width="9" style="3203"/>
    <col min="11777" max="11777" width="38.5" style="3203" customWidth="1"/>
    <col min="11778" max="11778" width="6.25" style="3203" customWidth="1"/>
    <col min="11779" max="11779" width="13.875" style="3203" customWidth="1"/>
    <col min="11780" max="11780" width="7.875" style="3203" customWidth="1"/>
    <col min="11781" max="11782" width="13.875" style="3203" customWidth="1"/>
    <col min="11783" max="11783" width="24" style="3203" customWidth="1"/>
    <col min="11784" max="11784" width="9" style="3203" customWidth="1"/>
    <col min="11785" max="11785" width="56.875" style="3203" customWidth="1"/>
    <col min="11786" max="11787" width="10.625" style="3203" customWidth="1"/>
    <col min="11788" max="11788" width="14.375" style="3203" customWidth="1"/>
    <col min="11789" max="11789" width="6.25" style="3203" customWidth="1"/>
    <col min="11790" max="11790" width="7.875" style="3203" customWidth="1"/>
    <col min="11791" max="12032" width="9" style="3203"/>
    <col min="12033" max="12033" width="38.5" style="3203" customWidth="1"/>
    <col min="12034" max="12034" width="6.25" style="3203" customWidth="1"/>
    <col min="12035" max="12035" width="13.875" style="3203" customWidth="1"/>
    <col min="12036" max="12036" width="7.875" style="3203" customWidth="1"/>
    <col min="12037" max="12038" width="13.875" style="3203" customWidth="1"/>
    <col min="12039" max="12039" width="24" style="3203" customWidth="1"/>
    <col min="12040" max="12040" width="9" style="3203" customWidth="1"/>
    <col min="12041" max="12041" width="56.875" style="3203" customWidth="1"/>
    <col min="12042" max="12043" width="10.625" style="3203" customWidth="1"/>
    <col min="12044" max="12044" width="14.375" style="3203" customWidth="1"/>
    <col min="12045" max="12045" width="6.25" style="3203" customWidth="1"/>
    <col min="12046" max="12046" width="7.875" style="3203" customWidth="1"/>
    <col min="12047" max="12288" width="9" style="3203"/>
    <col min="12289" max="12289" width="38.5" style="3203" customWidth="1"/>
    <col min="12290" max="12290" width="6.25" style="3203" customWidth="1"/>
    <col min="12291" max="12291" width="13.875" style="3203" customWidth="1"/>
    <col min="12292" max="12292" width="7.875" style="3203" customWidth="1"/>
    <col min="12293" max="12294" width="13.875" style="3203" customWidth="1"/>
    <col min="12295" max="12295" width="24" style="3203" customWidth="1"/>
    <col min="12296" max="12296" width="9" style="3203" customWidth="1"/>
    <col min="12297" max="12297" width="56.875" style="3203" customWidth="1"/>
    <col min="12298" max="12299" width="10.625" style="3203" customWidth="1"/>
    <col min="12300" max="12300" width="14.375" style="3203" customWidth="1"/>
    <col min="12301" max="12301" width="6.25" style="3203" customWidth="1"/>
    <col min="12302" max="12302" width="7.875" style="3203" customWidth="1"/>
    <col min="12303" max="12544" width="9" style="3203"/>
    <col min="12545" max="12545" width="38.5" style="3203" customWidth="1"/>
    <col min="12546" max="12546" width="6.25" style="3203" customWidth="1"/>
    <col min="12547" max="12547" width="13.875" style="3203" customWidth="1"/>
    <col min="12548" max="12548" width="7.875" style="3203" customWidth="1"/>
    <col min="12549" max="12550" width="13.875" style="3203" customWidth="1"/>
    <col min="12551" max="12551" width="24" style="3203" customWidth="1"/>
    <col min="12552" max="12552" width="9" style="3203" customWidth="1"/>
    <col min="12553" max="12553" width="56.875" style="3203" customWidth="1"/>
    <col min="12554" max="12555" width="10.625" style="3203" customWidth="1"/>
    <col min="12556" max="12556" width="14.375" style="3203" customWidth="1"/>
    <col min="12557" max="12557" width="6.25" style="3203" customWidth="1"/>
    <col min="12558" max="12558" width="7.875" style="3203" customWidth="1"/>
    <col min="12559" max="12800" width="9" style="3203"/>
    <col min="12801" max="12801" width="38.5" style="3203" customWidth="1"/>
    <col min="12802" max="12802" width="6.25" style="3203" customWidth="1"/>
    <col min="12803" max="12803" width="13.875" style="3203" customWidth="1"/>
    <col min="12804" max="12804" width="7.875" style="3203" customWidth="1"/>
    <col min="12805" max="12806" width="13.875" style="3203" customWidth="1"/>
    <col min="12807" max="12807" width="24" style="3203" customWidth="1"/>
    <col min="12808" max="12808" width="9" style="3203" customWidth="1"/>
    <col min="12809" max="12809" width="56.875" style="3203" customWidth="1"/>
    <col min="12810" max="12811" width="10.625" style="3203" customWidth="1"/>
    <col min="12812" max="12812" width="14.375" style="3203" customWidth="1"/>
    <col min="12813" max="12813" width="6.25" style="3203" customWidth="1"/>
    <col min="12814" max="12814" width="7.875" style="3203" customWidth="1"/>
    <col min="12815" max="13056" width="9" style="3203"/>
    <col min="13057" max="13057" width="38.5" style="3203" customWidth="1"/>
    <col min="13058" max="13058" width="6.25" style="3203" customWidth="1"/>
    <col min="13059" max="13059" width="13.875" style="3203" customWidth="1"/>
    <col min="13060" max="13060" width="7.875" style="3203" customWidth="1"/>
    <col min="13061" max="13062" width="13.875" style="3203" customWidth="1"/>
    <col min="13063" max="13063" width="24" style="3203" customWidth="1"/>
    <col min="13064" max="13064" width="9" style="3203" customWidth="1"/>
    <col min="13065" max="13065" width="56.875" style="3203" customWidth="1"/>
    <col min="13066" max="13067" width="10.625" style="3203" customWidth="1"/>
    <col min="13068" max="13068" width="14.375" style="3203" customWidth="1"/>
    <col min="13069" max="13069" width="6.25" style="3203" customWidth="1"/>
    <col min="13070" max="13070" width="7.875" style="3203" customWidth="1"/>
    <col min="13071" max="13312" width="9" style="3203"/>
    <col min="13313" max="13313" width="38.5" style="3203" customWidth="1"/>
    <col min="13314" max="13314" width="6.25" style="3203" customWidth="1"/>
    <col min="13315" max="13315" width="13.875" style="3203" customWidth="1"/>
    <col min="13316" max="13316" width="7.875" style="3203" customWidth="1"/>
    <col min="13317" max="13318" width="13.875" style="3203" customWidth="1"/>
    <col min="13319" max="13319" width="24" style="3203" customWidth="1"/>
    <col min="13320" max="13320" width="9" style="3203" customWidth="1"/>
    <col min="13321" max="13321" width="56.875" style="3203" customWidth="1"/>
    <col min="13322" max="13323" width="10.625" style="3203" customWidth="1"/>
    <col min="13324" max="13324" width="14.375" style="3203" customWidth="1"/>
    <col min="13325" max="13325" width="6.25" style="3203" customWidth="1"/>
    <col min="13326" max="13326" width="7.875" style="3203" customWidth="1"/>
    <col min="13327" max="13568" width="9" style="3203"/>
    <col min="13569" max="13569" width="38.5" style="3203" customWidth="1"/>
    <col min="13570" max="13570" width="6.25" style="3203" customWidth="1"/>
    <col min="13571" max="13571" width="13.875" style="3203" customWidth="1"/>
    <col min="13572" max="13572" width="7.875" style="3203" customWidth="1"/>
    <col min="13573" max="13574" width="13.875" style="3203" customWidth="1"/>
    <col min="13575" max="13575" width="24" style="3203" customWidth="1"/>
    <col min="13576" max="13576" width="9" style="3203" customWidth="1"/>
    <col min="13577" max="13577" width="56.875" style="3203" customWidth="1"/>
    <col min="13578" max="13579" width="10.625" style="3203" customWidth="1"/>
    <col min="13580" max="13580" width="14.375" style="3203" customWidth="1"/>
    <col min="13581" max="13581" width="6.25" style="3203" customWidth="1"/>
    <col min="13582" max="13582" width="7.875" style="3203" customWidth="1"/>
    <col min="13583" max="13824" width="9" style="3203"/>
    <col min="13825" max="13825" width="38.5" style="3203" customWidth="1"/>
    <col min="13826" max="13826" width="6.25" style="3203" customWidth="1"/>
    <col min="13827" max="13827" width="13.875" style="3203" customWidth="1"/>
    <col min="13828" max="13828" width="7.875" style="3203" customWidth="1"/>
    <col min="13829" max="13830" width="13.875" style="3203" customWidth="1"/>
    <col min="13831" max="13831" width="24" style="3203" customWidth="1"/>
    <col min="13832" max="13832" width="9" style="3203" customWidth="1"/>
    <col min="13833" max="13833" width="56.875" style="3203" customWidth="1"/>
    <col min="13834" max="13835" width="10.625" style="3203" customWidth="1"/>
    <col min="13836" max="13836" width="14.375" style="3203" customWidth="1"/>
    <col min="13837" max="13837" width="6.25" style="3203" customWidth="1"/>
    <col min="13838" max="13838" width="7.875" style="3203" customWidth="1"/>
    <col min="13839" max="14080" width="9" style="3203"/>
    <col min="14081" max="14081" width="38.5" style="3203" customWidth="1"/>
    <col min="14082" max="14082" width="6.25" style="3203" customWidth="1"/>
    <col min="14083" max="14083" width="13.875" style="3203" customWidth="1"/>
    <col min="14084" max="14084" width="7.875" style="3203" customWidth="1"/>
    <col min="14085" max="14086" width="13.875" style="3203" customWidth="1"/>
    <col min="14087" max="14087" width="24" style="3203" customWidth="1"/>
    <col min="14088" max="14088" width="9" style="3203" customWidth="1"/>
    <col min="14089" max="14089" width="56.875" style="3203" customWidth="1"/>
    <col min="14090" max="14091" width="10.625" style="3203" customWidth="1"/>
    <col min="14092" max="14092" width="14.375" style="3203" customWidth="1"/>
    <col min="14093" max="14093" width="6.25" style="3203" customWidth="1"/>
    <col min="14094" max="14094" width="7.875" style="3203" customWidth="1"/>
    <col min="14095" max="14336" width="9" style="3203"/>
    <col min="14337" max="14337" width="38.5" style="3203" customWidth="1"/>
    <col min="14338" max="14338" width="6.25" style="3203" customWidth="1"/>
    <col min="14339" max="14339" width="13.875" style="3203" customWidth="1"/>
    <col min="14340" max="14340" width="7.875" style="3203" customWidth="1"/>
    <col min="14341" max="14342" width="13.875" style="3203" customWidth="1"/>
    <col min="14343" max="14343" width="24" style="3203" customWidth="1"/>
    <col min="14344" max="14344" width="9" style="3203" customWidth="1"/>
    <col min="14345" max="14345" width="56.875" style="3203" customWidth="1"/>
    <col min="14346" max="14347" width="10.625" style="3203" customWidth="1"/>
    <col min="14348" max="14348" width="14.375" style="3203" customWidth="1"/>
    <col min="14349" max="14349" width="6.25" style="3203" customWidth="1"/>
    <col min="14350" max="14350" width="7.875" style="3203" customWidth="1"/>
    <col min="14351" max="14592" width="9" style="3203"/>
    <col min="14593" max="14593" width="38.5" style="3203" customWidth="1"/>
    <col min="14594" max="14594" width="6.25" style="3203" customWidth="1"/>
    <col min="14595" max="14595" width="13.875" style="3203" customWidth="1"/>
    <col min="14596" max="14596" width="7.875" style="3203" customWidth="1"/>
    <col min="14597" max="14598" width="13.875" style="3203" customWidth="1"/>
    <col min="14599" max="14599" width="24" style="3203" customWidth="1"/>
    <col min="14600" max="14600" width="9" style="3203" customWidth="1"/>
    <col min="14601" max="14601" width="56.875" style="3203" customWidth="1"/>
    <col min="14602" max="14603" width="10.625" style="3203" customWidth="1"/>
    <col min="14604" max="14604" width="14.375" style="3203" customWidth="1"/>
    <col min="14605" max="14605" width="6.25" style="3203" customWidth="1"/>
    <col min="14606" max="14606" width="7.875" style="3203" customWidth="1"/>
    <col min="14607" max="14848" width="9" style="3203"/>
    <col min="14849" max="14849" width="38.5" style="3203" customWidth="1"/>
    <col min="14850" max="14850" width="6.25" style="3203" customWidth="1"/>
    <col min="14851" max="14851" width="13.875" style="3203" customWidth="1"/>
    <col min="14852" max="14852" width="7.875" style="3203" customWidth="1"/>
    <col min="14853" max="14854" width="13.875" style="3203" customWidth="1"/>
    <col min="14855" max="14855" width="24" style="3203" customWidth="1"/>
    <col min="14856" max="14856" width="9" style="3203" customWidth="1"/>
    <col min="14857" max="14857" width="56.875" style="3203" customWidth="1"/>
    <col min="14858" max="14859" width="10.625" style="3203" customWidth="1"/>
    <col min="14860" max="14860" width="14.375" style="3203" customWidth="1"/>
    <col min="14861" max="14861" width="6.25" style="3203" customWidth="1"/>
    <col min="14862" max="14862" width="7.875" style="3203" customWidth="1"/>
    <col min="14863" max="15104" width="9" style="3203"/>
    <col min="15105" max="15105" width="38.5" style="3203" customWidth="1"/>
    <col min="15106" max="15106" width="6.25" style="3203" customWidth="1"/>
    <col min="15107" max="15107" width="13.875" style="3203" customWidth="1"/>
    <col min="15108" max="15108" width="7.875" style="3203" customWidth="1"/>
    <col min="15109" max="15110" width="13.875" style="3203" customWidth="1"/>
    <col min="15111" max="15111" width="24" style="3203" customWidth="1"/>
    <col min="15112" max="15112" width="9" style="3203" customWidth="1"/>
    <col min="15113" max="15113" width="56.875" style="3203" customWidth="1"/>
    <col min="15114" max="15115" width="10.625" style="3203" customWidth="1"/>
    <col min="15116" max="15116" width="14.375" style="3203" customWidth="1"/>
    <col min="15117" max="15117" width="6.25" style="3203" customWidth="1"/>
    <col min="15118" max="15118" width="7.875" style="3203" customWidth="1"/>
    <col min="15119" max="15360" width="9" style="3203"/>
    <col min="15361" max="15361" width="38.5" style="3203" customWidth="1"/>
    <col min="15362" max="15362" width="6.25" style="3203" customWidth="1"/>
    <col min="15363" max="15363" width="13.875" style="3203" customWidth="1"/>
    <col min="15364" max="15364" width="7.875" style="3203" customWidth="1"/>
    <col min="15365" max="15366" width="13.875" style="3203" customWidth="1"/>
    <col min="15367" max="15367" width="24" style="3203" customWidth="1"/>
    <col min="15368" max="15368" width="9" style="3203" customWidth="1"/>
    <col min="15369" max="15369" width="56.875" style="3203" customWidth="1"/>
    <col min="15370" max="15371" width="10.625" style="3203" customWidth="1"/>
    <col min="15372" max="15372" width="14.375" style="3203" customWidth="1"/>
    <col min="15373" max="15373" width="6.25" style="3203" customWidth="1"/>
    <col min="15374" max="15374" width="7.875" style="3203" customWidth="1"/>
    <col min="15375" max="15616" width="9" style="3203"/>
    <col min="15617" max="15617" width="38.5" style="3203" customWidth="1"/>
    <col min="15618" max="15618" width="6.25" style="3203" customWidth="1"/>
    <col min="15619" max="15619" width="13.875" style="3203" customWidth="1"/>
    <col min="15620" max="15620" width="7.875" style="3203" customWidth="1"/>
    <col min="15621" max="15622" width="13.875" style="3203" customWidth="1"/>
    <col min="15623" max="15623" width="24" style="3203" customWidth="1"/>
    <col min="15624" max="15624" width="9" style="3203" customWidth="1"/>
    <col min="15625" max="15625" width="56.875" style="3203" customWidth="1"/>
    <col min="15626" max="15627" width="10.625" style="3203" customWidth="1"/>
    <col min="15628" max="15628" width="14.375" style="3203" customWidth="1"/>
    <col min="15629" max="15629" width="6.25" style="3203" customWidth="1"/>
    <col min="15630" max="15630" width="7.875" style="3203" customWidth="1"/>
    <col min="15631" max="15872" width="9" style="3203"/>
    <col min="15873" max="15873" width="38.5" style="3203" customWidth="1"/>
    <col min="15874" max="15874" width="6.25" style="3203" customWidth="1"/>
    <col min="15875" max="15875" width="13.875" style="3203" customWidth="1"/>
    <col min="15876" max="15876" width="7.875" style="3203" customWidth="1"/>
    <col min="15877" max="15878" width="13.875" style="3203" customWidth="1"/>
    <col min="15879" max="15879" width="24" style="3203" customWidth="1"/>
    <col min="15880" max="15880" width="9" style="3203" customWidth="1"/>
    <col min="15881" max="15881" width="56.875" style="3203" customWidth="1"/>
    <col min="15882" max="15883" width="10.625" style="3203" customWidth="1"/>
    <col min="15884" max="15884" width="14.375" style="3203" customWidth="1"/>
    <col min="15885" max="15885" width="6.25" style="3203" customWidth="1"/>
    <col min="15886" max="15886" width="7.875" style="3203" customWidth="1"/>
    <col min="15887" max="16128" width="9" style="3203"/>
    <col min="16129" max="16129" width="38.5" style="3203" customWidth="1"/>
    <col min="16130" max="16130" width="6.25" style="3203" customWidth="1"/>
    <col min="16131" max="16131" width="13.875" style="3203" customWidth="1"/>
    <col min="16132" max="16132" width="7.875" style="3203" customWidth="1"/>
    <col min="16133" max="16134" width="13.875" style="3203" customWidth="1"/>
    <col min="16135" max="16135" width="24" style="3203" customWidth="1"/>
    <col min="16136" max="16136" width="9" style="3203" customWidth="1"/>
    <col min="16137" max="16137" width="56.875" style="3203" customWidth="1"/>
    <col min="16138" max="16139" width="10.625" style="3203" customWidth="1"/>
    <col min="16140" max="16140" width="14.375" style="3203" customWidth="1"/>
    <col min="16141" max="16141" width="6.25" style="3203" customWidth="1"/>
    <col min="16142" max="16142" width="7.875" style="3203" customWidth="1"/>
    <col min="16143" max="16384" width="9" style="3203"/>
  </cols>
  <sheetData>
    <row r="1" spans="1:14">
      <c r="A1" s="3203" t="s">
        <v>3037</v>
      </c>
      <c r="B1" s="3203" t="s">
        <v>3038</v>
      </c>
      <c r="C1" s="3203" t="s">
        <v>3039</v>
      </c>
      <c r="D1" s="3203" t="s">
        <v>3042</v>
      </c>
      <c r="E1" s="3203" t="s">
        <v>3040</v>
      </c>
      <c r="F1" s="3203" t="s">
        <v>3041</v>
      </c>
      <c r="G1" s="3203" t="s">
        <v>2030</v>
      </c>
      <c r="H1" s="3203" t="s">
        <v>3043</v>
      </c>
      <c r="I1" s="3203" t="s">
        <v>3048</v>
      </c>
      <c r="J1" s="3203" t="s">
        <v>3044</v>
      </c>
      <c r="K1" s="3203" t="s">
        <v>3045</v>
      </c>
      <c r="L1" s="3203" t="s">
        <v>3046</v>
      </c>
      <c r="M1" s="3203" t="s">
        <v>3047</v>
      </c>
      <c r="N1" s="3203" t="s">
        <v>3049</v>
      </c>
    </row>
    <row r="2" spans="1:14">
      <c r="A2" s="3203" t="s">
        <v>3186</v>
      </c>
      <c r="B2" s="3203" t="s">
        <v>3050</v>
      </c>
      <c r="C2" s="3203" t="s">
        <v>3051</v>
      </c>
      <c r="D2" s="3203" t="s">
        <v>3052</v>
      </c>
      <c r="E2" s="3203">
        <v>115161.8</v>
      </c>
      <c r="F2" s="3203">
        <v>287904.40000000002</v>
      </c>
      <c r="G2" s="3203" t="s">
        <v>3065</v>
      </c>
      <c r="H2" s="3203" t="s">
        <v>3187</v>
      </c>
      <c r="I2" s="3203" t="s">
        <v>3188</v>
      </c>
      <c r="J2" s="3203">
        <v>54700</v>
      </c>
      <c r="K2" s="3203">
        <v>54700</v>
      </c>
      <c r="L2" s="3203">
        <v>1899.94</v>
      </c>
      <c r="M2" s="3203">
        <v>0</v>
      </c>
      <c r="N2" s="3203" t="s">
        <v>3058</v>
      </c>
    </row>
    <row r="3" spans="1:14">
      <c r="A3" s="3203" t="s">
        <v>3189</v>
      </c>
      <c r="B3" s="3203" t="s">
        <v>3050</v>
      </c>
      <c r="C3" s="3203" t="s">
        <v>3051</v>
      </c>
      <c r="D3" s="3203" t="s">
        <v>3052</v>
      </c>
      <c r="E3" s="3203">
        <v>112460.3</v>
      </c>
      <c r="F3" s="3203">
        <v>281150.7</v>
      </c>
      <c r="G3" s="3203" t="s">
        <v>3100</v>
      </c>
      <c r="H3" s="3203" t="s">
        <v>3101</v>
      </c>
      <c r="I3" s="3203" t="s">
        <v>3102</v>
      </c>
      <c r="J3" s="3203">
        <v>62950</v>
      </c>
      <c r="K3" s="3203">
        <v>62950</v>
      </c>
      <c r="L3" s="3203">
        <v>2239.0100000000002</v>
      </c>
      <c r="M3" s="3203">
        <v>0</v>
      </c>
      <c r="N3" s="3203" t="s">
        <v>3087</v>
      </c>
    </row>
    <row r="4" spans="1:14">
      <c r="A4" s="3203" t="s">
        <v>3123</v>
      </c>
      <c r="B4" s="3203" t="s">
        <v>3050</v>
      </c>
      <c r="C4" s="3203" t="s">
        <v>3060</v>
      </c>
      <c r="D4" s="3203" t="s">
        <v>3052</v>
      </c>
      <c r="E4" s="3203">
        <v>26785.43</v>
      </c>
      <c r="F4" s="3203">
        <v>77677.75</v>
      </c>
      <c r="G4" s="3203" t="s">
        <v>3124</v>
      </c>
      <c r="H4" s="3203" t="s">
        <v>3125</v>
      </c>
      <c r="I4" s="3203" t="s">
        <v>3114</v>
      </c>
      <c r="J4" s="3203">
        <v>13830</v>
      </c>
      <c r="K4" s="3203">
        <v>13830</v>
      </c>
      <c r="L4" s="3203">
        <v>1780.43</v>
      </c>
      <c r="M4" s="3203">
        <v>0</v>
      </c>
      <c r="N4" s="3203" t="s">
        <v>3087</v>
      </c>
    </row>
    <row r="5" spans="1:14">
      <c r="A5" s="3203" t="s">
        <v>3190</v>
      </c>
      <c r="B5" s="3203" t="s">
        <v>3050</v>
      </c>
      <c r="C5" s="3203" t="s">
        <v>3060</v>
      </c>
      <c r="D5" s="3203" t="s">
        <v>3052</v>
      </c>
      <c r="E5" s="3203">
        <v>83093</v>
      </c>
      <c r="F5" s="3203">
        <v>217204.7</v>
      </c>
      <c r="G5" s="3203" t="s">
        <v>3191</v>
      </c>
      <c r="H5" s="3203" t="s">
        <v>3192</v>
      </c>
      <c r="I5" s="3203" t="s">
        <v>3193</v>
      </c>
      <c r="J5" s="3203">
        <v>33110</v>
      </c>
      <c r="K5" s="3203">
        <v>33110</v>
      </c>
      <c r="L5" s="3203">
        <v>1524.36</v>
      </c>
      <c r="M5" s="3203">
        <v>0</v>
      </c>
      <c r="N5" s="3203" t="s">
        <v>3087</v>
      </c>
    </row>
    <row r="6" spans="1:14">
      <c r="A6" s="3203" t="s">
        <v>3138</v>
      </c>
      <c r="B6" s="3203" t="s">
        <v>3050</v>
      </c>
      <c r="C6" s="3203" t="s">
        <v>3051</v>
      </c>
      <c r="D6" s="3203" t="s">
        <v>3052</v>
      </c>
      <c r="E6" s="3203">
        <v>42619.79</v>
      </c>
      <c r="F6" s="3203">
        <v>85239.58</v>
      </c>
      <c r="G6" s="3203" t="s">
        <v>3139</v>
      </c>
      <c r="H6" s="3203" t="s">
        <v>3140</v>
      </c>
      <c r="I6" s="3203" t="s">
        <v>3141</v>
      </c>
      <c r="J6" s="3203">
        <v>13950</v>
      </c>
      <c r="K6" s="3203">
        <v>21650</v>
      </c>
      <c r="L6" s="3203">
        <v>2539.9</v>
      </c>
      <c r="M6" s="3203">
        <v>55.2</v>
      </c>
      <c r="N6" s="3203" t="s">
        <v>3087</v>
      </c>
    </row>
    <row r="7" spans="1:14">
      <c r="A7" s="3203" t="s">
        <v>3149</v>
      </c>
      <c r="B7" s="3203" t="s">
        <v>3050</v>
      </c>
      <c r="C7" s="3203" t="s">
        <v>3060</v>
      </c>
      <c r="D7" s="3203" t="s">
        <v>3052</v>
      </c>
      <c r="E7" s="3203">
        <v>140011.6</v>
      </c>
      <c r="F7" s="3203">
        <v>378031.32</v>
      </c>
      <c r="G7" s="3203" t="s">
        <v>3150</v>
      </c>
      <c r="H7" s="3203" t="s">
        <v>3151</v>
      </c>
      <c r="I7" s="3203" t="s">
        <v>3114</v>
      </c>
      <c r="J7" s="3203">
        <v>53600</v>
      </c>
      <c r="K7" s="3203">
        <v>53600</v>
      </c>
      <c r="L7" s="3203">
        <v>1417.86</v>
      </c>
      <c r="M7" s="3203">
        <v>0</v>
      </c>
      <c r="N7" s="3203" t="s">
        <v>3087</v>
      </c>
    </row>
    <row r="8" spans="1:14">
      <c r="A8" s="3203" t="s">
        <v>3155</v>
      </c>
      <c r="B8" s="3203" t="s">
        <v>3050</v>
      </c>
      <c r="C8" s="3203" t="s">
        <v>3060</v>
      </c>
      <c r="D8" s="3203" t="s">
        <v>3052</v>
      </c>
      <c r="E8" s="3203">
        <v>20607.93</v>
      </c>
      <c r="F8" s="3203">
        <v>51519.83</v>
      </c>
      <c r="G8" s="3203" t="s">
        <v>3156</v>
      </c>
      <c r="H8" s="3203" t="s">
        <v>3157</v>
      </c>
      <c r="I8" s="3203" t="s">
        <v>3114</v>
      </c>
      <c r="J8" s="3203">
        <v>7960</v>
      </c>
      <c r="K8" s="3203">
        <v>7960</v>
      </c>
      <c r="L8" s="3203">
        <v>1545.03</v>
      </c>
      <c r="M8" s="3203">
        <v>0</v>
      </c>
      <c r="N8" s="3203" t="s">
        <v>3087</v>
      </c>
    </row>
    <row r="9" spans="1:14">
      <c r="A9" s="3203" t="s">
        <v>3194</v>
      </c>
      <c r="B9" s="3203" t="s">
        <v>3050</v>
      </c>
      <c r="C9" s="3203" t="s">
        <v>3060</v>
      </c>
      <c r="D9" s="3203" t="s">
        <v>3052</v>
      </c>
      <c r="E9" s="3203">
        <v>153983.70000000001</v>
      </c>
      <c r="F9" s="3203">
        <v>415756</v>
      </c>
      <c r="G9" s="3203" t="s">
        <v>3195</v>
      </c>
      <c r="H9" s="3203" t="s">
        <v>3196</v>
      </c>
      <c r="I9" s="3203" t="s">
        <v>3197</v>
      </c>
      <c r="J9" s="3203">
        <v>51300</v>
      </c>
      <c r="K9" s="3203">
        <v>51300</v>
      </c>
      <c r="L9" s="3203">
        <v>1233.9000000000001</v>
      </c>
      <c r="M9" s="3203">
        <v>0</v>
      </c>
      <c r="N9" s="3203" t="s">
        <v>3087</v>
      </c>
    </row>
    <row r="10" spans="1:14">
      <c r="A10" s="3203" t="s">
        <v>3198</v>
      </c>
      <c r="B10" s="3203" t="s">
        <v>3050</v>
      </c>
      <c r="C10" s="3203" t="s">
        <v>3060</v>
      </c>
      <c r="D10" s="3203" t="s">
        <v>3052</v>
      </c>
      <c r="E10" s="3203">
        <v>93404.89</v>
      </c>
      <c r="F10" s="3203">
        <v>336257.6</v>
      </c>
      <c r="G10" s="3203" t="s">
        <v>3199</v>
      </c>
      <c r="H10" s="3203" t="s">
        <v>3181</v>
      </c>
      <c r="I10" s="3203" t="s">
        <v>3180</v>
      </c>
      <c r="J10" s="3203">
        <v>38365</v>
      </c>
      <c r="K10" s="3203">
        <v>38365</v>
      </c>
      <c r="L10" s="3203">
        <v>1140.94</v>
      </c>
      <c r="M10" s="3203">
        <v>0</v>
      </c>
      <c r="N10" s="3203" t="s">
        <v>3087</v>
      </c>
    </row>
    <row r="11" spans="1:14">
      <c r="A11" s="3203" t="s">
        <v>3200</v>
      </c>
      <c r="B11" s="3203" t="s">
        <v>3050</v>
      </c>
      <c r="C11" s="3203" t="s">
        <v>3051</v>
      </c>
      <c r="D11" s="3203" t="s">
        <v>3052</v>
      </c>
      <c r="E11" s="3203">
        <v>13311.12</v>
      </c>
      <c r="F11" s="3203">
        <v>42595.58</v>
      </c>
      <c r="G11" s="3203" t="s">
        <v>3201</v>
      </c>
      <c r="H11" s="3203" t="s">
        <v>3177</v>
      </c>
      <c r="I11" s="3203" t="s">
        <v>3202</v>
      </c>
      <c r="J11" s="3203">
        <v>3520</v>
      </c>
      <c r="K11" s="3203">
        <v>5570</v>
      </c>
      <c r="L11" s="3203">
        <v>1307.6500000000001</v>
      </c>
      <c r="M11" s="3203">
        <v>58.24</v>
      </c>
      <c r="N11" s="3203" t="s">
        <v>3053</v>
      </c>
    </row>
    <row r="12" spans="1:14">
      <c r="A12" s="3203" t="s">
        <v>3203</v>
      </c>
      <c r="B12" s="3203" t="s">
        <v>3050</v>
      </c>
      <c r="C12" s="3203" t="s">
        <v>3060</v>
      </c>
      <c r="D12" s="3203" t="s">
        <v>3052</v>
      </c>
      <c r="E12" s="3203">
        <v>44284.35</v>
      </c>
      <c r="F12" s="3203">
        <v>141709.9</v>
      </c>
      <c r="G12" s="3203" t="s">
        <v>3204</v>
      </c>
      <c r="H12" s="3203" t="s">
        <v>3205</v>
      </c>
      <c r="I12" s="3203" t="s">
        <v>3206</v>
      </c>
      <c r="J12" s="3203">
        <v>11660</v>
      </c>
      <c r="K12" s="3203">
        <v>12310</v>
      </c>
      <c r="L12" s="3203">
        <v>868.67</v>
      </c>
      <c r="M12" s="3203">
        <v>5.57</v>
      </c>
      <c r="N12" s="3203" t="s">
        <v>3053</v>
      </c>
    </row>
  </sheetData>
  <phoneticPr fontId="228" type="noConversion"/>
  <pageMargins left="0.75" right="0.75" top="1" bottom="1" header="0.5" footer="0.5"/>
  <pageSetup orientation="portrait" horizontalDpi="300" verticalDpi="300"/>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2783</v>
      </c>
      <c r="C1" s="2955">
        <f>项目基本情况!D3</f>
        <v>43692</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2814</v>
      </c>
      <c r="C2" s="2956">
        <f>'数据-取费表'!B22</f>
        <v>2</v>
      </c>
      <c r="D2" s="2951" t="s">
        <v>2784</v>
      </c>
      <c r="E2" s="2954">
        <f ca="1">INDIRECT("I"&amp;$I$1)/100</f>
        <v>4.7500000000000001E-2</v>
      </c>
      <c r="G2" s="2891"/>
      <c r="H2" s="2891"/>
      <c r="I2" s="2891" t="s">
        <v>2785</v>
      </c>
      <c r="K2" s="2891"/>
      <c r="L2" s="2891"/>
      <c r="M2" s="2891"/>
      <c r="N2" s="2891" t="s">
        <v>2786</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2816</v>
      </c>
      <c r="C3" s="2953">
        <f>'数据-取费表'!B19</f>
        <v>0</v>
      </c>
      <c r="D3" s="2951" t="s">
        <v>2784</v>
      </c>
      <c r="E3" s="2954">
        <f ca="1">INDIRECT("J"&amp;$J$1)/100</f>
        <v>0</v>
      </c>
      <c r="G3" s="2893" t="s">
        <v>2787</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2815</v>
      </c>
      <c r="C4" s="2954">
        <f ca="1">N4/100</f>
        <v>1.4999999999999999E-2</v>
      </c>
      <c r="G4" s="2899" t="s">
        <v>2788</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2789</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2790</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2791</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2792</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2793</v>
      </c>
      <c r="C10" s="2918"/>
      <c r="D10" s="2918"/>
      <c r="E10" s="2918"/>
      <c r="F10" s="2918"/>
      <c r="G10" s="2918"/>
      <c r="H10" s="2918"/>
      <c r="I10" s="2892"/>
      <c r="J10" s="2892"/>
      <c r="K10" s="2918"/>
      <c r="L10" s="2919" t="s">
        <v>2794</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2795</v>
      </c>
      <c r="C11" s="2923" t="s">
        <v>2796</v>
      </c>
      <c r="D11" s="2924" t="s">
        <v>2797</v>
      </c>
      <c r="E11" s="2925"/>
      <c r="F11" s="2924" t="s">
        <v>2798</v>
      </c>
      <c r="G11" s="2926"/>
      <c r="H11" s="2925"/>
      <c r="I11" s="2924" t="s">
        <v>2799</v>
      </c>
      <c r="J11" s="2925"/>
      <c r="K11" s="2921"/>
      <c r="L11" s="2922" t="s">
        <v>2795</v>
      </c>
      <c r="M11" s="2923" t="s">
        <v>2796</v>
      </c>
      <c r="N11" s="2922" t="s">
        <v>2800</v>
      </c>
      <c r="O11" s="2924" t="s">
        <v>2801</v>
      </c>
      <c r="P11" s="2926"/>
      <c r="Q11" s="2926"/>
      <c r="R11" s="2926"/>
      <c r="S11" s="2926"/>
      <c r="T11" s="2925"/>
      <c r="U11" s="2924" t="s">
        <v>2802</v>
      </c>
      <c r="V11" s="2926"/>
      <c r="W11" s="2925"/>
      <c r="X11" s="2922" t="s">
        <v>2803</v>
      </c>
      <c r="Y11" s="2922" t="s">
        <v>2804</v>
      </c>
      <c r="Z11" s="2922" t="s">
        <v>2805</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2806</v>
      </c>
      <c r="E12" s="2931" t="s">
        <v>2807</v>
      </c>
      <c r="F12" s="2931" t="s">
        <v>2808</v>
      </c>
      <c r="G12" s="2931" t="s">
        <v>2809</v>
      </c>
      <c r="H12" s="2931" t="s">
        <v>2791</v>
      </c>
      <c r="I12" s="2932" t="s">
        <v>2810</v>
      </c>
      <c r="J12" s="2932" t="s">
        <v>2810</v>
      </c>
      <c r="K12" s="2928"/>
      <c r="L12" s="2929"/>
      <c r="M12" s="2930"/>
      <c r="N12" s="2929"/>
      <c r="O12" s="2932" t="s">
        <v>2811</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2812</v>
      </c>
      <c r="C13" s="2936">
        <v>42301</v>
      </c>
      <c r="D13" s="2937">
        <v>4.3499999999999996</v>
      </c>
      <c r="E13" s="2937">
        <v>4.3499999999999996</v>
      </c>
      <c r="F13" s="2937">
        <v>4.75</v>
      </c>
      <c r="G13" s="2937">
        <v>4.75</v>
      </c>
      <c r="H13" s="2937">
        <v>4.9000000000000004</v>
      </c>
      <c r="I13" s="2937">
        <v>2.75</v>
      </c>
      <c r="J13" s="2937">
        <v>3.25</v>
      </c>
      <c r="K13" s="2934"/>
      <c r="L13" s="2935" t="s">
        <v>2812</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2813</v>
      </c>
      <c r="Y42" s="2941" t="s">
        <v>2813</v>
      </c>
      <c r="Z42" s="2941" t="s">
        <v>2813</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2813</v>
      </c>
      <c r="Y43" s="2941" t="s">
        <v>2813</v>
      </c>
      <c r="Z43" s="2941" t="s">
        <v>2813</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2813</v>
      </c>
      <c r="Y44" s="2941" t="s">
        <v>2813</v>
      </c>
      <c r="Z44" s="2941" t="s">
        <v>2813</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2813</v>
      </c>
      <c r="Y45" s="2941" t="s">
        <v>2813</v>
      </c>
      <c r="Z45" s="2941" t="s">
        <v>2813</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2813</v>
      </c>
      <c r="Y46" s="2941" t="s">
        <v>2813</v>
      </c>
      <c r="Z46" s="2941" t="s">
        <v>2813</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2813</v>
      </c>
      <c r="Y47" s="2941" t="s">
        <v>2813</v>
      </c>
      <c r="Z47" s="2941" t="s">
        <v>2813</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2813</v>
      </c>
      <c r="Y48" s="2941" t="s">
        <v>2813</v>
      </c>
      <c r="Z48" s="2941" t="s">
        <v>2813</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2813</v>
      </c>
      <c r="Y49" s="2941" t="s">
        <v>2813</v>
      </c>
      <c r="Z49" s="2941" t="s">
        <v>2813</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2813</v>
      </c>
      <c r="Y50" s="2941" t="s">
        <v>2813</v>
      </c>
      <c r="Z50" s="2941" t="s">
        <v>2813</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2813</v>
      </c>
      <c r="V51" s="2941" t="s">
        <v>2813</v>
      </c>
      <c r="W51" s="2941" t="s">
        <v>2813</v>
      </c>
      <c r="X51" s="2941" t="s">
        <v>2813</v>
      </c>
      <c r="Y51" s="2941" t="s">
        <v>2813</v>
      </c>
      <c r="Z51" s="2941" t="s">
        <v>2813</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2813</v>
      </c>
      <c r="J55" s="2941" t="s">
        <v>2813</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N34"/>
  <sheetViews>
    <sheetView workbookViewId="0">
      <selection activeCell="E1" sqref="A1:XFD7"/>
    </sheetView>
  </sheetViews>
  <sheetFormatPr defaultRowHeight="13.5"/>
  <cols>
    <col min="1" max="2" width="9" style="3216"/>
    <col min="3" max="3" width="17.5" style="3216" customWidth="1"/>
    <col min="4" max="11" width="9" style="3216"/>
    <col min="12" max="14" width="9.75" style="3216" customWidth="1"/>
    <col min="15" max="16384" width="9" style="3216"/>
  </cols>
  <sheetData>
    <row r="1" spans="1:14" ht="15" customHeight="1">
      <c r="A1" s="3362" t="s">
        <v>3212</v>
      </c>
      <c r="B1" s="3362" t="s">
        <v>3038</v>
      </c>
      <c r="C1" s="3362" t="s">
        <v>3213</v>
      </c>
      <c r="D1" s="3362" t="s">
        <v>3214</v>
      </c>
      <c r="E1" s="3220" t="s">
        <v>3215</v>
      </c>
      <c r="F1" s="3362" t="s">
        <v>3217</v>
      </c>
      <c r="G1" s="3362" t="s">
        <v>2030</v>
      </c>
      <c r="H1" s="3220" t="s">
        <v>3218</v>
      </c>
      <c r="I1" s="3362" t="s">
        <v>3219</v>
      </c>
      <c r="J1" s="3362" t="s">
        <v>3220</v>
      </c>
      <c r="K1" s="3362" t="s">
        <v>3221</v>
      </c>
      <c r="L1" s="3362" t="s">
        <v>3233</v>
      </c>
      <c r="M1" s="3362" t="s">
        <v>3235</v>
      </c>
      <c r="N1" s="3362" t="s">
        <v>3237</v>
      </c>
    </row>
    <row r="2" spans="1:14" ht="15.75" thickBot="1">
      <c r="A2" s="3363"/>
      <c r="B2" s="3363"/>
      <c r="C2" s="3363"/>
      <c r="D2" s="3363"/>
      <c r="E2" s="3221" t="s">
        <v>3216</v>
      </c>
      <c r="F2" s="3363"/>
      <c r="G2" s="3363"/>
      <c r="H2" s="3221" t="s">
        <v>3216</v>
      </c>
      <c r="I2" s="3363"/>
      <c r="J2" s="3363"/>
      <c r="K2" s="3363"/>
      <c r="L2" s="3363"/>
      <c r="M2" s="3363"/>
      <c r="N2" s="3363"/>
    </row>
    <row r="3" spans="1:14" ht="18" thickBot="1">
      <c r="A3" s="3364" t="s">
        <v>3222</v>
      </c>
      <c r="B3" s="3364" t="s">
        <v>3050</v>
      </c>
      <c r="C3" s="3364" t="s">
        <v>3223</v>
      </c>
      <c r="D3" s="3217" t="s">
        <v>3224</v>
      </c>
      <c r="E3" s="3217">
        <v>20177</v>
      </c>
      <c r="F3" s="3217">
        <v>30.3</v>
      </c>
      <c r="G3" s="3217">
        <v>2.5</v>
      </c>
      <c r="H3" s="3217">
        <v>50441</v>
      </c>
      <c r="I3" s="3217">
        <v>0</v>
      </c>
      <c r="J3" s="3217">
        <v>50441</v>
      </c>
      <c r="K3" s="3217" t="s">
        <v>3225</v>
      </c>
      <c r="L3" s="3186">
        <v>73123.752999999997</v>
      </c>
      <c r="M3" s="3191">
        <v>40457.199999999997</v>
      </c>
      <c r="N3" s="3191">
        <v>200</v>
      </c>
    </row>
    <row r="4" spans="1:14" ht="18" thickBot="1">
      <c r="A4" s="3365"/>
      <c r="B4" s="3365"/>
      <c r="C4" s="3365"/>
      <c r="D4" s="3217" t="s">
        <v>3226</v>
      </c>
      <c r="E4" s="3217">
        <v>26678</v>
      </c>
      <c r="F4" s="3217">
        <v>40</v>
      </c>
      <c r="G4" s="3217">
        <v>2.5</v>
      </c>
      <c r="H4" s="3217">
        <v>66695</v>
      </c>
      <c r="I4" s="3217">
        <v>0</v>
      </c>
      <c r="J4" s="3217">
        <v>66695</v>
      </c>
      <c r="K4" s="3217" t="s">
        <v>3225</v>
      </c>
      <c r="L4" s="3186">
        <v>97467.203499999989</v>
      </c>
      <c r="M4" s="3191">
        <v>66154.8</v>
      </c>
      <c r="N4" s="3191">
        <f>200+100</f>
        <v>300</v>
      </c>
    </row>
    <row r="5" spans="1:14" ht="33.75" thickBot="1">
      <c r="A5" s="3365"/>
      <c r="B5" s="3365"/>
      <c r="C5" s="3365"/>
      <c r="D5" s="3217" t="s">
        <v>3227</v>
      </c>
      <c r="E5" s="3217">
        <v>47246</v>
      </c>
      <c r="F5" s="3217">
        <v>70.900000000000006</v>
      </c>
      <c r="G5" s="3217">
        <v>2.2000000000000002</v>
      </c>
      <c r="H5" s="3217">
        <v>103939</v>
      </c>
      <c r="I5" s="3217">
        <v>0</v>
      </c>
      <c r="J5" s="3217">
        <v>103939</v>
      </c>
      <c r="K5" s="3217" t="s">
        <v>3228</v>
      </c>
      <c r="L5" s="3186">
        <v>150170.345</v>
      </c>
      <c r="M5" s="3191">
        <v>56450</v>
      </c>
      <c r="N5" s="3191">
        <f>200+500+100</f>
        <v>800</v>
      </c>
    </row>
    <row r="6" spans="1:14" ht="18" thickBot="1">
      <c r="A6" s="3366"/>
      <c r="B6" s="3366"/>
      <c r="C6" s="3366"/>
      <c r="D6" s="3217" t="s">
        <v>3229</v>
      </c>
      <c r="E6" s="3217">
        <v>21061</v>
      </c>
      <c r="F6" s="3217">
        <v>31.6</v>
      </c>
      <c r="G6" s="3217">
        <v>3</v>
      </c>
      <c r="H6" s="3217">
        <v>63182</v>
      </c>
      <c r="I6" s="3217">
        <v>53500</v>
      </c>
      <c r="J6" s="3217">
        <v>9682</v>
      </c>
      <c r="K6" s="3218">
        <v>1</v>
      </c>
      <c r="L6" s="3186">
        <v>91300.519549999997</v>
      </c>
      <c r="M6" s="3191"/>
      <c r="N6" s="3191"/>
    </row>
    <row r="7" spans="1:14" ht="17.25" thickBot="1">
      <c r="A7" s="3367" t="s">
        <v>24</v>
      </c>
      <c r="B7" s="3368"/>
      <c r="C7" s="3368"/>
      <c r="D7" s="3369"/>
      <c r="E7" s="3219">
        <v>115162</v>
      </c>
      <c r="F7" s="3219">
        <v>172.7</v>
      </c>
      <c r="G7" s="3219">
        <v>2.4700000000000002</v>
      </c>
      <c r="H7" s="3219">
        <v>284257</v>
      </c>
      <c r="I7" s="3219">
        <v>53500</v>
      </c>
      <c r="J7" s="3219">
        <v>230757</v>
      </c>
      <c r="K7" s="3219" t="s">
        <v>3230</v>
      </c>
      <c r="L7" s="3222">
        <f>SUM(L3:L6)</f>
        <v>412061.82104999991</v>
      </c>
      <c r="M7" s="3222">
        <f>SUM(M3:M6)</f>
        <v>163062</v>
      </c>
      <c r="N7" s="3222">
        <f>SUM(N3:N6)</f>
        <v>1300</v>
      </c>
    </row>
    <row r="13" spans="1:14" ht="16.5">
      <c r="C13" s="3178" t="s">
        <v>3000</v>
      </c>
      <c r="D13" s="3179"/>
      <c r="E13" s="3179"/>
      <c r="F13" s="3179"/>
      <c r="G13" s="3179"/>
      <c r="H13" s="3179"/>
      <c r="I13" s="3179"/>
    </row>
    <row r="14" spans="1:14" ht="16.5">
      <c r="C14" s="3214" t="s">
        <v>3001</v>
      </c>
      <c r="D14" s="3181"/>
      <c r="E14" s="3181" t="s">
        <v>3002</v>
      </c>
      <c r="F14" s="3181" t="s">
        <v>3003</v>
      </c>
      <c r="G14" s="3181" t="s">
        <v>3004</v>
      </c>
      <c r="H14" s="3181" t="s">
        <v>3005</v>
      </c>
      <c r="I14" s="3212" t="s">
        <v>3006</v>
      </c>
    </row>
    <row r="15" spans="1:14" ht="16.5">
      <c r="C15" s="3214" t="s">
        <v>3007</v>
      </c>
      <c r="D15" s="3359" t="s">
        <v>3008</v>
      </c>
      <c r="E15" s="3359"/>
      <c r="F15" s="3359"/>
      <c r="G15" s="3359"/>
      <c r="H15" s="3359"/>
      <c r="I15" s="3359"/>
    </row>
    <row r="16" spans="1:14" ht="16.5">
      <c r="C16" s="3214" t="s">
        <v>3231</v>
      </c>
      <c r="D16" s="3181"/>
      <c r="E16" s="3183">
        <v>20176.939999999999</v>
      </c>
      <c r="F16" s="3183">
        <v>26678.44</v>
      </c>
      <c r="G16" s="3183">
        <v>47245.62</v>
      </c>
      <c r="H16" s="3183">
        <v>21060.779999999992</v>
      </c>
      <c r="I16" s="3223">
        <v>115161.78</v>
      </c>
    </row>
    <row r="17" spans="3:12" ht="16.5">
      <c r="C17" s="3213" t="s">
        <v>3232</v>
      </c>
      <c r="D17" s="3185"/>
      <c r="E17" s="3186">
        <v>73123.752999999997</v>
      </c>
      <c r="F17" s="3186">
        <v>97467.203499999989</v>
      </c>
      <c r="G17" s="3186">
        <v>150170.345</v>
      </c>
      <c r="H17" s="3186">
        <v>91300.519549999997</v>
      </c>
      <c r="I17" s="3223">
        <f>SUM(E17:H17)</f>
        <v>412061.82104999991</v>
      </c>
    </row>
    <row r="18" spans="3:12" ht="16.5">
      <c r="C18" s="3213" t="s">
        <v>2030</v>
      </c>
      <c r="D18" s="3187"/>
      <c r="E18" s="3188">
        <v>2.5</v>
      </c>
      <c r="F18" s="3188">
        <v>2.5</v>
      </c>
      <c r="G18" s="3188">
        <v>2.2000000000000002</v>
      </c>
      <c r="H18" s="3188">
        <v>3</v>
      </c>
      <c r="I18" s="3189">
        <v>2.4700000000000002</v>
      </c>
    </row>
    <row r="19" spans="3:12" ht="17.25">
      <c r="C19" s="3213" t="s">
        <v>3234</v>
      </c>
      <c r="D19" s="3190" t="s">
        <v>3011</v>
      </c>
      <c r="E19" s="3191">
        <v>40457.199999999997</v>
      </c>
      <c r="F19" s="3191">
        <v>66154.8</v>
      </c>
      <c r="G19" s="3191">
        <v>56450</v>
      </c>
      <c r="H19" s="3191"/>
      <c r="I19" s="3223">
        <f>SUM(E19:H19)</f>
        <v>163062</v>
      </c>
    </row>
    <row r="20" spans="3:12" ht="17.25">
      <c r="C20" s="3213" t="s">
        <v>3236</v>
      </c>
      <c r="D20" s="3190" t="s">
        <v>3013</v>
      </c>
      <c r="E20" s="3191">
        <v>7676</v>
      </c>
      <c r="F20" s="3191"/>
      <c r="G20" s="3191">
        <v>30888</v>
      </c>
      <c r="H20" s="3191"/>
      <c r="I20" s="3192">
        <f>SUM(E20:H20)</f>
        <v>38564</v>
      </c>
    </row>
    <row r="21" spans="3:12" ht="17.25">
      <c r="C21" s="3213"/>
      <c r="D21" s="3190" t="s">
        <v>3014</v>
      </c>
      <c r="E21" s="3191"/>
      <c r="F21" s="3191"/>
      <c r="G21" s="3191">
        <v>14800</v>
      </c>
      <c r="H21" s="3191"/>
      <c r="I21" s="3192">
        <f>SUM(E21:H21)</f>
        <v>14800</v>
      </c>
    </row>
    <row r="22" spans="3:12" ht="17.25">
      <c r="C22" s="3213"/>
      <c r="D22" s="3190" t="s">
        <v>2996</v>
      </c>
      <c r="E22" s="3191">
        <v>2449.4</v>
      </c>
      <c r="F22" s="3191">
        <v>1454.9</v>
      </c>
      <c r="G22" s="3191">
        <v>1959</v>
      </c>
      <c r="H22" s="3191">
        <v>63181.19</v>
      </c>
      <c r="I22" s="3223">
        <f>SUM(E22:H22)</f>
        <v>69044.490000000005</v>
      </c>
    </row>
    <row r="23" spans="3:12" ht="17.25">
      <c r="C23" s="3187"/>
      <c r="D23" s="3193" t="s">
        <v>3015</v>
      </c>
      <c r="E23" s="3194">
        <f>E17-E19-E20-E22-E26-E21</f>
        <v>1579.4879999999976</v>
      </c>
      <c r="F23" s="3194">
        <f>F17-F19-F20-F22-F26-F21</f>
        <v>1952.5439999999871</v>
      </c>
      <c r="G23" s="3194">
        <f>G17-G19-G20-G22-G26-G21</f>
        <v>4567.872000000003</v>
      </c>
      <c r="H23" s="3194">
        <f>H17-H19-H20-H22-H26-H21</f>
        <v>2268.1142999999975</v>
      </c>
      <c r="I23" s="3195">
        <f>SUM(E23:H23)</f>
        <v>10368.018299999985</v>
      </c>
    </row>
    <row r="24" spans="3:12" ht="16.5">
      <c r="C24" s="3187"/>
      <c r="D24" s="3213" t="s">
        <v>24</v>
      </c>
      <c r="E24" s="3197">
        <f>SUM(E19:E23)</f>
        <v>52162.087999999996</v>
      </c>
      <c r="F24" s="3197">
        <f>SUM(F19:F23)</f>
        <v>69562.243999999977</v>
      </c>
      <c r="G24" s="3197">
        <f>SUM(G19:G23)</f>
        <v>108664.872</v>
      </c>
      <c r="H24" s="3197">
        <f>SUM(H19:H23)</f>
        <v>65449.304300000003</v>
      </c>
      <c r="I24" s="3197">
        <f>SUM(I19:I23)</f>
        <v>295838.50829999999</v>
      </c>
    </row>
    <row r="25" spans="3:12" ht="17.25">
      <c r="C25" s="3360" t="s">
        <v>3017</v>
      </c>
      <c r="D25" s="3190" t="s">
        <v>3018</v>
      </c>
      <c r="E25" s="3191">
        <v>20961.665000000001</v>
      </c>
      <c r="F25" s="3191">
        <v>27904.959499999997</v>
      </c>
      <c r="G25" s="3191">
        <v>41505.472999999998</v>
      </c>
      <c r="H25" s="3191">
        <v>25851.215249999997</v>
      </c>
      <c r="I25" s="3192">
        <f>SUM(E25:H25)</f>
        <v>116223.31275</v>
      </c>
    </row>
    <row r="26" spans="3:12" ht="16.5">
      <c r="C26" s="3360"/>
      <c r="D26" s="3213" t="s">
        <v>24</v>
      </c>
      <c r="E26" s="3197">
        <f>SUM(E25)</f>
        <v>20961.665000000001</v>
      </c>
      <c r="F26" s="3197">
        <f>SUM(F25)</f>
        <v>27904.959499999997</v>
      </c>
      <c r="G26" s="3197">
        <f>SUM(G25)</f>
        <v>41505.472999999998</v>
      </c>
      <c r="H26" s="3197">
        <f>SUM(H25)</f>
        <v>25851.215249999997</v>
      </c>
      <c r="I26" s="3192">
        <f t="shared" ref="I26:I31" si="0">SUM(E26:H26)</f>
        <v>116223.31275</v>
      </c>
    </row>
    <row r="27" spans="3:12" ht="17.25">
      <c r="C27" s="3361" t="s">
        <v>3019</v>
      </c>
      <c r="D27" s="3190" t="s">
        <v>3011</v>
      </c>
      <c r="E27" s="3191">
        <v>40044</v>
      </c>
      <c r="F27" s="3191">
        <v>64440</v>
      </c>
      <c r="G27" s="3191">
        <v>55692</v>
      </c>
      <c r="H27" s="3191"/>
      <c r="I27" s="3198">
        <f>SUM(E27:H27)</f>
        <v>160176</v>
      </c>
    </row>
    <row r="28" spans="3:12" ht="17.25">
      <c r="C28" s="3361"/>
      <c r="D28" s="3190" t="s">
        <v>3013</v>
      </c>
      <c r="E28" s="3191">
        <v>7548</v>
      </c>
      <c r="F28" s="3191"/>
      <c r="G28" s="3191">
        <v>30888</v>
      </c>
      <c r="H28" s="3191"/>
      <c r="I28" s="3198">
        <f t="shared" si="0"/>
        <v>38436</v>
      </c>
    </row>
    <row r="29" spans="3:12" ht="17.25">
      <c r="C29" s="3361"/>
      <c r="D29" s="3190" t="s">
        <v>3014</v>
      </c>
      <c r="E29" s="3191"/>
      <c r="F29" s="3191"/>
      <c r="G29" s="3191">
        <v>14800</v>
      </c>
      <c r="H29" s="3191"/>
      <c r="I29" s="3198">
        <f>SUM(E29:H29)</f>
        <v>14800</v>
      </c>
    </row>
    <row r="30" spans="3:12" ht="17.25">
      <c r="C30" s="3361"/>
      <c r="D30" s="3190" t="s">
        <v>2996</v>
      </c>
      <c r="E30" s="3191">
        <v>2299.4</v>
      </c>
      <c r="F30" s="3191">
        <v>1454.9</v>
      </c>
      <c r="G30" s="3191">
        <v>1389</v>
      </c>
      <c r="H30" s="3191">
        <v>62996.19</v>
      </c>
      <c r="I30" s="3198">
        <f>SUM(E30:H30)</f>
        <v>68139.490000000005</v>
      </c>
    </row>
    <row r="31" spans="3:12" ht="15">
      <c r="C31" s="3361"/>
      <c r="D31" s="3213" t="s">
        <v>24</v>
      </c>
      <c r="E31" s="3197">
        <f>SUM(E27:E30)</f>
        <v>49891.4</v>
      </c>
      <c r="F31" s="3197">
        <f>SUM(F27:F30)</f>
        <v>65894.899999999994</v>
      </c>
      <c r="G31" s="3197">
        <f>SUM(G27:G30)</f>
        <v>102769</v>
      </c>
      <c r="H31" s="3197">
        <f>SUM(H27:H30)</f>
        <v>62996.19</v>
      </c>
      <c r="I31" s="3198">
        <f t="shared" si="0"/>
        <v>281551.49</v>
      </c>
      <c r="L31" s="3224"/>
    </row>
    <row r="32" spans="3:12" ht="14.25">
      <c r="C32" s="3179"/>
      <c r="D32" s="3179"/>
      <c r="E32" s="3179"/>
      <c r="F32" s="3179"/>
      <c r="G32" s="3179"/>
      <c r="H32" s="3179"/>
      <c r="I32" s="3179"/>
    </row>
    <row r="33" spans="3:9" ht="14.25">
      <c r="C33" s="3179"/>
      <c r="D33" s="3179"/>
      <c r="E33" s="3179"/>
      <c r="F33" s="3179"/>
      <c r="G33" s="3179"/>
      <c r="H33" s="3179"/>
      <c r="I33" s="3179"/>
    </row>
    <row r="34" spans="3:9" ht="14.25">
      <c r="C34" s="3179"/>
      <c r="D34" s="3179"/>
      <c r="E34" s="3179">
        <f>E16*E18</f>
        <v>50442.35</v>
      </c>
      <c r="F34" s="3179">
        <f>F16*F18</f>
        <v>66696.099999999991</v>
      </c>
      <c r="G34" s="3179">
        <f>G16*G18</f>
        <v>103940.36400000002</v>
      </c>
      <c r="H34" s="3179">
        <f>H16*H18</f>
        <v>63182.339999999975</v>
      </c>
      <c r="I34" s="3179"/>
    </row>
  </sheetData>
  <mergeCells count="19">
    <mergeCell ref="A7:D7"/>
    <mergeCell ref="D15:I15"/>
    <mergeCell ref="C25:C26"/>
    <mergeCell ref="C27:C31"/>
    <mergeCell ref="L1:L2"/>
    <mergeCell ref="M1:M2"/>
    <mergeCell ref="N1:N2"/>
    <mergeCell ref="A3:A6"/>
    <mergeCell ref="B3:B6"/>
    <mergeCell ref="C3:C6"/>
    <mergeCell ref="I1:I2"/>
    <mergeCell ref="J1:J2"/>
    <mergeCell ref="K1:K2"/>
    <mergeCell ref="A1:A2"/>
    <mergeCell ref="B1:B2"/>
    <mergeCell ref="C1:C2"/>
    <mergeCell ref="D1:D2"/>
    <mergeCell ref="F1:F2"/>
    <mergeCell ref="G1:G2"/>
  </mergeCells>
  <phoneticPr fontId="22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15:J20"/>
  <sheetViews>
    <sheetView topLeftCell="A10" workbookViewId="0">
      <selection activeCell="B24" sqref="B24:D30"/>
    </sheetView>
  </sheetViews>
  <sheetFormatPr defaultRowHeight="12"/>
  <cols>
    <col min="1" max="1" width="9" style="3228"/>
    <col min="2" max="2" width="22.25" style="3228" customWidth="1"/>
    <col min="3" max="3" width="14.875" style="3228" customWidth="1"/>
    <col min="4" max="4" width="13" style="3228" customWidth="1"/>
    <col min="5" max="5" width="11.125" style="3228" customWidth="1"/>
    <col min="6" max="7" width="9" style="3228"/>
    <col min="8" max="8" width="12.25" style="3228" customWidth="1"/>
    <col min="9" max="9" width="13" style="3228" customWidth="1"/>
    <col min="10" max="10" width="12.625" style="3228" customWidth="1"/>
    <col min="11" max="16384" width="9" style="3228"/>
  </cols>
  <sheetData>
    <row r="15" spans="2:10" ht="36.75" customHeight="1">
      <c r="B15" s="3231" t="s">
        <v>3254</v>
      </c>
      <c r="C15" s="3231" t="s">
        <v>3255</v>
      </c>
      <c r="D15" s="3232" t="s">
        <v>3256</v>
      </c>
      <c r="E15" s="3232" t="s">
        <v>3257</v>
      </c>
      <c r="F15" s="3232" t="s">
        <v>3258</v>
      </c>
      <c r="G15" s="3232" t="s">
        <v>3259</v>
      </c>
      <c r="H15" s="3232" t="s">
        <v>3260</v>
      </c>
      <c r="I15" s="3232" t="s">
        <v>3262</v>
      </c>
      <c r="J15" s="3232" t="s">
        <v>3261</v>
      </c>
    </row>
    <row r="16" spans="2:10" ht="24" customHeight="1">
      <c r="B16" s="3230" t="s">
        <v>3315</v>
      </c>
      <c r="C16" s="3230" t="s">
        <v>3278</v>
      </c>
      <c r="D16" s="3229">
        <v>20176.84</v>
      </c>
      <c r="E16" s="3229">
        <f>D16*2.5</f>
        <v>50442.1</v>
      </c>
      <c r="F16" s="3229">
        <f ca="1">结果表!G21</f>
        <v>6937</v>
      </c>
      <c r="G16" s="3229">
        <f ca="1">结果表!G20</f>
        <v>1914</v>
      </c>
      <c r="H16" s="3229">
        <f ca="1">ROUND(系统读取表!B5*10000,0)</f>
        <v>702190000</v>
      </c>
      <c r="I16" s="3229">
        <v>0</v>
      </c>
      <c r="J16" s="3229">
        <f ca="1">H16-I16</f>
        <v>702190000</v>
      </c>
    </row>
    <row r="17" spans="2:10" ht="24" customHeight="1">
      <c r="B17" s="3230" t="s">
        <v>3316</v>
      </c>
      <c r="C17" s="3230" t="s">
        <v>3263</v>
      </c>
      <c r="D17" s="3229">
        <v>26678.44</v>
      </c>
      <c r="E17" s="3229">
        <f>D17*2.5</f>
        <v>66696.099999999991</v>
      </c>
      <c r="F17" s="3229">
        <f>[4]结果表!$G$21</f>
        <v>6763</v>
      </c>
      <c r="G17" s="3229">
        <f>[4]结果表!$G$20</f>
        <v>1851</v>
      </c>
      <c r="H17" s="3229">
        <f>ROUND([4]系统读取表!$B$5*10000,0)</f>
        <v>180420000</v>
      </c>
      <c r="I17" s="3229">
        <v>0</v>
      </c>
      <c r="J17" s="3229">
        <f t="shared" ref="J17:J19" si="0">H17-I17</f>
        <v>180420000</v>
      </c>
    </row>
    <row r="18" spans="2:10" ht="24" customHeight="1">
      <c r="B18" s="3230" t="s">
        <v>3317</v>
      </c>
      <c r="C18" s="3230" t="s">
        <v>3264</v>
      </c>
      <c r="D18" s="3229">
        <v>47245.62</v>
      </c>
      <c r="E18" s="3229">
        <f>ROUND(D18*2.2,2)</f>
        <v>103940.36</v>
      </c>
      <c r="F18" s="3229">
        <f>[5]结果表!$G$21</f>
        <v>5849</v>
      </c>
      <c r="G18" s="3229">
        <f>[5]结果表!$G$20</f>
        <v>1841</v>
      </c>
      <c r="H18" s="3229">
        <f>ROUND([5]系统读取表!$B$5*10000,0)</f>
        <v>276350000</v>
      </c>
      <c r="I18" s="3229">
        <v>0</v>
      </c>
      <c r="J18" s="3229">
        <f t="shared" si="0"/>
        <v>276350000</v>
      </c>
    </row>
    <row r="19" spans="2:10" ht="24" customHeight="1">
      <c r="B19" s="3230" t="s">
        <v>3318</v>
      </c>
      <c r="C19" s="3230" t="s">
        <v>3265</v>
      </c>
      <c r="D19" s="3229">
        <v>21060.880000000001</v>
      </c>
      <c r="E19" s="3229">
        <f>D19*3</f>
        <v>63182.64</v>
      </c>
      <c r="F19" s="3229">
        <f>[6]结果表!$G$21</f>
        <v>5133</v>
      </c>
      <c r="G19" s="3229">
        <f>[6]结果表!$G$20</f>
        <v>1184</v>
      </c>
      <c r="H19" s="3229">
        <f>ROUND([6]系统读取表!$B$5*10000,0)</f>
        <v>108110000</v>
      </c>
      <c r="I19" s="3229">
        <v>0</v>
      </c>
      <c r="J19" s="3229">
        <f t="shared" si="0"/>
        <v>108110000</v>
      </c>
    </row>
    <row r="20" spans="2:10" ht="24" customHeight="1">
      <c r="B20" s="3230" t="s">
        <v>3279</v>
      </c>
      <c r="C20" s="3230" t="s">
        <v>3280</v>
      </c>
      <c r="D20" s="3229">
        <f>SUM(D16:D19)</f>
        <v>115161.78</v>
      </c>
      <c r="E20" s="3229">
        <f>SUM(E16:E19)</f>
        <v>284261.2</v>
      </c>
      <c r="F20" s="3229" t="s">
        <v>3280</v>
      </c>
      <c r="G20" s="3229" t="s">
        <v>3281</v>
      </c>
      <c r="H20" s="3229">
        <f ca="1">SUM(H16:H19)</f>
        <v>1267070000</v>
      </c>
      <c r="I20" s="3229" t="s">
        <v>3280</v>
      </c>
      <c r="J20" s="3229">
        <f ca="1">SUM(J16:J19)</f>
        <v>1267070000</v>
      </c>
    </row>
  </sheetData>
  <phoneticPr fontId="228"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C7:I69"/>
  <sheetViews>
    <sheetView workbookViewId="0">
      <selection activeCell="K9" sqref="K9:M15"/>
    </sheetView>
  </sheetViews>
  <sheetFormatPr defaultRowHeight="13.5"/>
  <cols>
    <col min="1" max="2" width="9" style="1775"/>
    <col min="3" max="3" width="9.75" style="1774" customWidth="1"/>
    <col min="4" max="4" width="9" style="1775"/>
    <col min="5" max="5" width="12.5" style="1775" customWidth="1"/>
    <col min="6" max="6" width="10.5" style="1775" bestFit="1" customWidth="1"/>
    <col min="7" max="7" width="10.375" style="1775" customWidth="1"/>
    <col min="8" max="8" width="10.5" style="1775" customWidth="1"/>
    <col min="9" max="9" width="10.5" style="1775" bestFit="1" customWidth="1"/>
    <col min="10" max="16384" width="9" style="1775"/>
  </cols>
  <sheetData>
    <row r="7" spans="3:9" ht="14.25">
      <c r="C7" s="3633" t="s">
        <v>3329</v>
      </c>
      <c r="D7" s="3634"/>
      <c r="E7" s="3601" t="s">
        <v>3321</v>
      </c>
      <c r="F7" s="3600" t="s">
        <v>3322</v>
      </c>
      <c r="G7" s="3605" t="s">
        <v>2940</v>
      </c>
      <c r="H7" s="3606"/>
      <c r="I7" s="3607"/>
    </row>
    <row r="8" spans="3:9" ht="15" customHeight="1">
      <c r="C8" s="3635"/>
      <c r="D8" s="3636"/>
      <c r="E8" s="3603"/>
      <c r="F8" s="3602"/>
      <c r="G8" s="3612" t="s">
        <v>24</v>
      </c>
      <c r="H8" s="3598" t="s">
        <v>3022</v>
      </c>
      <c r="I8" s="3598" t="s">
        <v>3210</v>
      </c>
    </row>
    <row r="9" spans="3:9" ht="14.25">
      <c r="C9" s="3639" t="s">
        <v>3327</v>
      </c>
      <c r="D9" s="3598" t="s">
        <v>3323</v>
      </c>
      <c r="E9" s="3613" t="s">
        <v>923</v>
      </c>
      <c r="F9" s="3598">
        <v>13281.26</v>
      </c>
      <c r="G9" s="3614">
        <v>48133.2</v>
      </c>
      <c r="H9" s="3615">
        <v>48133.2</v>
      </c>
      <c r="I9" s="3616">
        <v>0</v>
      </c>
    </row>
    <row r="10" spans="3:9" ht="14.25">
      <c r="C10" s="3639"/>
      <c r="D10" s="3598" t="s">
        <v>3323</v>
      </c>
      <c r="E10" s="3613" t="s">
        <v>2996</v>
      </c>
      <c r="F10" s="3598">
        <v>675.86</v>
      </c>
      <c r="G10" s="3614">
        <v>2449.4</v>
      </c>
      <c r="H10" s="3615">
        <v>2449.4</v>
      </c>
      <c r="I10" s="3616">
        <v>0</v>
      </c>
    </row>
    <row r="11" spans="3:9" ht="14.25">
      <c r="C11" s="3639"/>
      <c r="D11" s="3598" t="s">
        <v>3323</v>
      </c>
      <c r="E11" s="3613" t="s">
        <v>3211</v>
      </c>
      <c r="F11" s="3598">
        <v>5783.9</v>
      </c>
      <c r="G11" s="3614">
        <v>20961.669999999998</v>
      </c>
      <c r="H11" s="3615">
        <v>0</v>
      </c>
      <c r="I11" s="3615">
        <v>20961.669999999998</v>
      </c>
    </row>
    <row r="12" spans="3:9" ht="14.25">
      <c r="C12" s="3639"/>
      <c r="D12" s="3598"/>
      <c r="E12" s="3598" t="s">
        <v>27</v>
      </c>
      <c r="F12" s="3614">
        <v>19741.02</v>
      </c>
      <c r="G12" s="3614">
        <v>71544.26999999999</v>
      </c>
      <c r="H12" s="3614">
        <v>50582.6</v>
      </c>
      <c r="I12" s="3614">
        <v>20961.669999999998</v>
      </c>
    </row>
    <row r="13" spans="3:9" ht="14.25">
      <c r="C13" s="3639"/>
      <c r="D13" s="3598" t="s">
        <v>1679</v>
      </c>
      <c r="E13" s="3598" t="s">
        <v>2312</v>
      </c>
      <c r="F13" s="3598">
        <v>435.82</v>
      </c>
      <c r="G13" s="3614">
        <v>1579.4800000000032</v>
      </c>
      <c r="H13" s="3598">
        <v>1579.4800000000032</v>
      </c>
      <c r="I13" s="3616">
        <v>0</v>
      </c>
    </row>
    <row r="14" spans="3:9" ht="14.25">
      <c r="C14" s="3639"/>
      <c r="D14" s="3598"/>
      <c r="E14" s="3598" t="s">
        <v>27</v>
      </c>
      <c r="F14" s="3614">
        <v>435.82</v>
      </c>
      <c r="G14" s="3614">
        <v>1579.4800000000032</v>
      </c>
      <c r="H14" s="3614">
        <v>1579.4800000000032</v>
      </c>
      <c r="I14" s="3616">
        <v>0</v>
      </c>
    </row>
    <row r="15" spans="3:9" ht="15">
      <c r="C15" s="3639"/>
      <c r="D15" s="3617" t="s">
        <v>24</v>
      </c>
      <c r="E15" s="3618" t="s">
        <v>3324</v>
      </c>
      <c r="F15" s="3619">
        <v>20176.84</v>
      </c>
      <c r="G15" s="3619">
        <v>73123.75</v>
      </c>
      <c r="H15" s="3619">
        <v>52162.080000000002</v>
      </c>
      <c r="I15" s="3619">
        <v>20961.669999999998</v>
      </c>
    </row>
    <row r="16" spans="3:9" ht="14.25">
      <c r="C16" s="3639" t="s">
        <v>3333</v>
      </c>
      <c r="D16" s="3632" t="s">
        <v>3323</v>
      </c>
      <c r="E16" s="3613" t="s">
        <v>923</v>
      </c>
      <c r="F16" s="3598">
        <v>18107.7</v>
      </c>
      <c r="G16" s="3614">
        <v>66154.8</v>
      </c>
      <c r="H16" s="3616">
        <v>66154.8</v>
      </c>
      <c r="I16" s="3616">
        <v>0</v>
      </c>
    </row>
    <row r="17" spans="3:9" ht="14.25">
      <c r="C17" s="3639"/>
      <c r="D17" s="3598" t="s">
        <v>3323</v>
      </c>
      <c r="E17" s="3613" t="s">
        <v>2996</v>
      </c>
      <c r="F17" s="3598">
        <v>398.23</v>
      </c>
      <c r="G17" s="3614">
        <v>1454.9</v>
      </c>
      <c r="H17" s="3616">
        <v>1454.9</v>
      </c>
      <c r="I17" s="3616">
        <v>0</v>
      </c>
    </row>
    <row r="18" spans="3:9" ht="14.25">
      <c r="C18" s="3639"/>
      <c r="D18" s="3598" t="s">
        <v>3323</v>
      </c>
      <c r="E18" s="3613" t="s">
        <v>3211</v>
      </c>
      <c r="F18" s="3598">
        <v>7638.06</v>
      </c>
      <c r="G18" s="3614">
        <v>27904.959999999999</v>
      </c>
      <c r="H18" s="3616">
        <v>0</v>
      </c>
      <c r="I18" s="3616">
        <v>27904.959999999999</v>
      </c>
    </row>
    <row r="19" spans="3:9" ht="14.25">
      <c r="C19" s="3639"/>
      <c r="D19" s="3608" t="s">
        <v>27</v>
      </c>
      <c r="E19" s="3609"/>
      <c r="F19" s="3614">
        <v>26143.99</v>
      </c>
      <c r="G19" s="3614">
        <v>95514.66</v>
      </c>
      <c r="H19" s="3614">
        <v>67609.7</v>
      </c>
      <c r="I19" s="3614">
        <v>27904.959999999999</v>
      </c>
    </row>
    <row r="20" spans="3:9" ht="14.25">
      <c r="C20" s="3639"/>
      <c r="D20" s="3598" t="s">
        <v>1679</v>
      </c>
      <c r="E20" s="3598" t="s">
        <v>2312</v>
      </c>
      <c r="F20" s="3598">
        <v>534.44000000000005</v>
      </c>
      <c r="G20" s="3614">
        <v>1952.5399999999936</v>
      </c>
      <c r="H20" s="3598">
        <v>1952.5399999999936</v>
      </c>
      <c r="I20" s="3616">
        <v>0</v>
      </c>
    </row>
    <row r="21" spans="3:9" ht="14.25">
      <c r="C21" s="3639"/>
      <c r="D21" s="3608" t="s">
        <v>27</v>
      </c>
      <c r="E21" s="3609"/>
      <c r="F21" s="3614">
        <v>534.44000000000005</v>
      </c>
      <c r="G21" s="3614">
        <v>1952.5399999999936</v>
      </c>
      <c r="H21" s="3614">
        <v>1952.5399999999936</v>
      </c>
      <c r="I21" s="3616">
        <v>0</v>
      </c>
    </row>
    <row r="22" spans="3:9" ht="15">
      <c r="C22" s="3639"/>
      <c r="D22" s="3610" t="s">
        <v>24</v>
      </c>
      <c r="E22" s="3611"/>
      <c r="F22" s="3619">
        <v>26678.43</v>
      </c>
      <c r="G22" s="3619">
        <v>97467.199999999997</v>
      </c>
      <c r="H22" s="3619">
        <v>69562.239999999991</v>
      </c>
      <c r="I22" s="3619">
        <v>27904.959999999999</v>
      </c>
    </row>
    <row r="23" spans="3:9" ht="14.25">
      <c r="C23" s="3639" t="s">
        <v>3331</v>
      </c>
      <c r="D23" s="3604" t="s">
        <v>3323</v>
      </c>
      <c r="E23" s="3613" t="s">
        <v>3011</v>
      </c>
      <c r="F23" s="3598">
        <v>27477.71</v>
      </c>
      <c r="G23" s="3614">
        <v>87338</v>
      </c>
      <c r="H23" s="3623">
        <v>87338</v>
      </c>
      <c r="I23" s="3616">
        <v>0</v>
      </c>
    </row>
    <row r="24" spans="3:9" ht="14.25">
      <c r="C24" s="3640"/>
      <c r="D24" s="3604" t="s">
        <v>3323</v>
      </c>
      <c r="E24" s="3613" t="s">
        <v>3014</v>
      </c>
      <c r="F24" s="3598">
        <v>4656.28</v>
      </c>
      <c r="G24" s="3614">
        <v>14800</v>
      </c>
      <c r="H24" s="3623">
        <v>14800</v>
      </c>
      <c r="I24" s="3616">
        <v>0</v>
      </c>
    </row>
    <row r="25" spans="3:9" ht="14.25">
      <c r="C25" s="3640"/>
      <c r="D25" s="3604" t="s">
        <v>3323</v>
      </c>
      <c r="E25" s="3613" t="s">
        <v>2996</v>
      </c>
      <c r="F25" s="3598">
        <v>616.33000000000004</v>
      </c>
      <c r="G25" s="3614">
        <v>1959</v>
      </c>
      <c r="H25" s="3623">
        <v>1959</v>
      </c>
      <c r="I25" s="3616">
        <v>0</v>
      </c>
    </row>
    <row r="26" spans="3:9" ht="14.25">
      <c r="C26" s="3640"/>
      <c r="D26" s="3604" t="s">
        <v>3323</v>
      </c>
      <c r="E26" s="3624" t="s">
        <v>3211</v>
      </c>
      <c r="F26" s="3598">
        <v>13058.18</v>
      </c>
      <c r="G26" s="3614">
        <v>41505.47</v>
      </c>
      <c r="H26" s="3616">
        <v>0</v>
      </c>
      <c r="I26" s="3625">
        <v>41505.47</v>
      </c>
    </row>
    <row r="27" spans="3:9" ht="14.25">
      <c r="C27" s="3640"/>
      <c r="D27" s="3608" t="s">
        <v>27</v>
      </c>
      <c r="E27" s="3609"/>
      <c r="F27" s="3614">
        <v>45808.5</v>
      </c>
      <c r="G27" s="3614">
        <v>145602.47</v>
      </c>
      <c r="H27" s="3614">
        <v>104097</v>
      </c>
      <c r="I27" s="3626">
        <v>41505.47</v>
      </c>
    </row>
    <row r="28" spans="3:9" ht="14.25">
      <c r="C28" s="3640"/>
      <c r="D28" s="3604" t="s">
        <v>1679</v>
      </c>
      <c r="E28" s="3599" t="s">
        <v>2312</v>
      </c>
      <c r="F28" s="3598">
        <v>1437.12</v>
      </c>
      <c r="G28" s="3614">
        <v>4567.8800000000047</v>
      </c>
      <c r="H28" s="3599">
        <v>4567.8800000000047</v>
      </c>
      <c r="I28" s="3616">
        <v>0</v>
      </c>
    </row>
    <row r="29" spans="3:9" ht="14.25">
      <c r="C29" s="3640"/>
      <c r="D29" s="3608" t="s">
        <v>27</v>
      </c>
      <c r="E29" s="3609"/>
      <c r="F29" s="3614">
        <v>1437.12</v>
      </c>
      <c r="G29" s="3614">
        <v>4567.8800000000047</v>
      </c>
      <c r="H29" s="3614">
        <v>4567.8800000000047</v>
      </c>
      <c r="I29" s="3616">
        <v>0</v>
      </c>
    </row>
    <row r="30" spans="3:9" ht="15.75" thickBot="1">
      <c r="C30" s="3640"/>
      <c r="D30" s="3610" t="s">
        <v>24</v>
      </c>
      <c r="E30" s="3611"/>
      <c r="F30" s="3627">
        <v>47245.62</v>
      </c>
      <c r="G30" s="3627">
        <v>150170.35</v>
      </c>
      <c r="H30" s="3628">
        <v>108664.88</v>
      </c>
      <c r="I30" s="3629">
        <v>41505.47</v>
      </c>
    </row>
    <row r="31" spans="3:9" ht="14.25">
      <c r="C31" s="3639" t="s">
        <v>3332</v>
      </c>
      <c r="D31" s="3598" t="s">
        <v>3323</v>
      </c>
      <c r="E31" s="3613" t="s">
        <v>3325</v>
      </c>
      <c r="F31" s="3598">
        <v>2179.9</v>
      </c>
      <c r="G31" s="3614">
        <v>9450</v>
      </c>
      <c r="H31" s="3616">
        <v>9450</v>
      </c>
      <c r="I31" s="3616">
        <v>0</v>
      </c>
    </row>
    <row r="32" spans="3:9" ht="14.25">
      <c r="C32" s="3640"/>
      <c r="D32" s="3598" t="s">
        <v>3323</v>
      </c>
      <c r="E32" s="3613" t="s">
        <v>3211</v>
      </c>
      <c r="F32" s="3598">
        <v>5963.23</v>
      </c>
      <c r="G32" s="3614">
        <v>25851</v>
      </c>
      <c r="H32" s="3616">
        <v>0</v>
      </c>
      <c r="I32" s="3616">
        <v>25851</v>
      </c>
    </row>
    <row r="33" spans="3:9" ht="14.25">
      <c r="C33" s="3640"/>
      <c r="D33" s="3598" t="s">
        <v>3323</v>
      </c>
      <c r="E33" s="3624" t="s">
        <v>3326</v>
      </c>
      <c r="F33" s="3598">
        <v>12394.55</v>
      </c>
      <c r="G33" s="3614">
        <v>53731.19</v>
      </c>
      <c r="H33" s="3630">
        <v>53731.19</v>
      </c>
      <c r="I33" s="3616">
        <v>0</v>
      </c>
    </row>
    <row r="34" spans="3:9" ht="14.25">
      <c r="C34" s="3640"/>
      <c r="D34" s="3608" t="s">
        <v>27</v>
      </c>
      <c r="E34" s="3609"/>
      <c r="F34" s="3614">
        <v>20537.68</v>
      </c>
      <c r="G34" s="3614">
        <v>89032.19</v>
      </c>
      <c r="H34" s="3614">
        <v>63181.19</v>
      </c>
      <c r="I34" s="3614">
        <v>25851</v>
      </c>
    </row>
    <row r="35" spans="3:9" ht="14.25">
      <c r="C35" s="3640"/>
      <c r="D35" s="3598" t="s">
        <v>1679</v>
      </c>
      <c r="E35" s="3598" t="s">
        <v>2312</v>
      </c>
      <c r="F35" s="3598">
        <v>523.20000000000005</v>
      </c>
      <c r="G35" s="3614">
        <v>2268.1100000000006</v>
      </c>
      <c r="H35" s="3598">
        <v>2268.1100000000006</v>
      </c>
      <c r="I35" s="3616">
        <v>0</v>
      </c>
    </row>
    <row r="36" spans="3:9" ht="14.25">
      <c r="C36" s="3640"/>
      <c r="D36" s="3608" t="s">
        <v>27</v>
      </c>
      <c r="E36" s="3609"/>
      <c r="F36" s="3614">
        <v>523.20000000000005</v>
      </c>
      <c r="G36" s="3614">
        <v>2268.1100000000006</v>
      </c>
      <c r="H36" s="3614">
        <v>2268.1100000000006</v>
      </c>
      <c r="I36" s="3616">
        <v>0</v>
      </c>
    </row>
    <row r="37" spans="3:9" ht="15">
      <c r="C37" s="3640"/>
      <c r="D37" s="3637" t="s">
        <v>3330</v>
      </c>
      <c r="E37" s="3611"/>
      <c r="F37" s="3619">
        <v>21060.880000000001</v>
      </c>
      <c r="G37" s="3619">
        <v>91300.3</v>
      </c>
      <c r="H37" s="3619">
        <v>65449.3</v>
      </c>
      <c r="I37" s="3619">
        <v>25851</v>
      </c>
    </row>
    <row r="38" spans="3:9" ht="15">
      <c r="C38" s="3610" t="s">
        <v>24</v>
      </c>
      <c r="D38" s="3638"/>
      <c r="E38" s="3611"/>
      <c r="F38" s="3619">
        <f>F15+F22+F30+F37</f>
        <v>115161.77000000002</v>
      </c>
      <c r="G38" s="3619">
        <f>G15+G22+G30+G37</f>
        <v>412061.60000000003</v>
      </c>
      <c r="H38" s="3619">
        <f>H15+H22+H30+H37</f>
        <v>295838.5</v>
      </c>
      <c r="I38" s="3619">
        <f>I15+I22+I30+I37</f>
        <v>116223.1</v>
      </c>
    </row>
    <row r="39" spans="3:9" ht="39.75" customHeight="1">
      <c r="D39" s="3620"/>
      <c r="E39" s="3620"/>
      <c r="F39" s="3620"/>
      <c r="G39" s="3620"/>
      <c r="H39" s="3620"/>
      <c r="I39" s="3620"/>
    </row>
    <row r="40" spans="3:9" ht="14.25">
      <c r="D40" s="3631" t="s">
        <v>3328</v>
      </c>
      <c r="E40" s="3600" t="s">
        <v>3321</v>
      </c>
      <c r="F40" s="3600" t="s">
        <v>3322</v>
      </c>
      <c r="G40" s="3605" t="s">
        <v>2940</v>
      </c>
      <c r="H40" s="3606"/>
      <c r="I40" s="3607"/>
    </row>
    <row r="41" spans="3:9" ht="14.25">
      <c r="D41" s="3602"/>
      <c r="E41" s="3602"/>
      <c r="F41" s="3602"/>
      <c r="G41" s="3612" t="s">
        <v>24</v>
      </c>
      <c r="H41" s="3598" t="s">
        <v>3022</v>
      </c>
      <c r="I41" s="3598" t="s">
        <v>3210</v>
      </c>
    </row>
    <row r="42" spans="3:9" ht="14.25">
      <c r="D42" s="3598" t="s">
        <v>3323</v>
      </c>
      <c r="E42" s="3613" t="s">
        <v>923</v>
      </c>
      <c r="F42" s="3598">
        <v>18107.7</v>
      </c>
      <c r="G42" s="3614">
        <v>66154.8</v>
      </c>
      <c r="H42" s="3616">
        <v>66154.8</v>
      </c>
      <c r="I42" s="3616">
        <v>0</v>
      </c>
    </row>
    <row r="43" spans="3:9" ht="14.25">
      <c r="D43" s="3598" t="s">
        <v>3323</v>
      </c>
      <c r="E43" s="3613" t="s">
        <v>2996</v>
      </c>
      <c r="F43" s="3598">
        <v>398.23</v>
      </c>
      <c r="G43" s="3614">
        <v>1454.9</v>
      </c>
      <c r="H43" s="3616">
        <v>1454.9</v>
      </c>
      <c r="I43" s="3616">
        <v>0</v>
      </c>
    </row>
    <row r="44" spans="3:9" ht="14.25">
      <c r="D44" s="3598" t="s">
        <v>3323</v>
      </c>
      <c r="E44" s="3613" t="s">
        <v>3211</v>
      </c>
      <c r="F44" s="3598">
        <v>7638.06</v>
      </c>
      <c r="G44" s="3614">
        <v>27904.959999999999</v>
      </c>
      <c r="H44" s="3616">
        <v>0</v>
      </c>
      <c r="I44" s="3616">
        <v>27904.959999999999</v>
      </c>
    </row>
    <row r="45" spans="3:9" ht="14.25">
      <c r="D45" s="3608" t="s">
        <v>27</v>
      </c>
      <c r="E45" s="3609"/>
      <c r="F45" s="3614">
        <v>26143.99</v>
      </c>
      <c r="G45" s="3614">
        <v>95514.66</v>
      </c>
      <c r="H45" s="3614">
        <v>67609.7</v>
      </c>
      <c r="I45" s="3614">
        <v>27904.959999999999</v>
      </c>
    </row>
    <row r="46" spans="3:9" ht="14.25">
      <c r="D46" s="3598" t="s">
        <v>1679</v>
      </c>
      <c r="E46" s="3598" t="s">
        <v>2312</v>
      </c>
      <c r="F46" s="3598">
        <v>534.44000000000005</v>
      </c>
      <c r="G46" s="3614">
        <v>1952.5399999999936</v>
      </c>
      <c r="H46" s="3598">
        <v>1952.5399999999936</v>
      </c>
      <c r="I46" s="3616">
        <v>0</v>
      </c>
    </row>
    <row r="47" spans="3:9" ht="14.25">
      <c r="D47" s="3608" t="s">
        <v>27</v>
      </c>
      <c r="E47" s="3609"/>
      <c r="F47" s="3614">
        <v>534.44000000000005</v>
      </c>
      <c r="G47" s="3614">
        <v>1952.5399999999936</v>
      </c>
      <c r="H47" s="3614">
        <v>1952.5399999999936</v>
      </c>
      <c r="I47" s="3616">
        <v>0</v>
      </c>
    </row>
    <row r="48" spans="3:9" ht="15">
      <c r="D48" s="3610" t="s">
        <v>24</v>
      </c>
      <c r="E48" s="3611"/>
      <c r="F48" s="3619">
        <v>26678.43</v>
      </c>
      <c r="G48" s="3619">
        <v>97467.199999999997</v>
      </c>
      <c r="H48" s="3619">
        <v>69562.239999999991</v>
      </c>
      <c r="I48" s="3619">
        <v>27904.959999999999</v>
      </c>
    </row>
    <row r="49" spans="4:9">
      <c r="D49" s="3620"/>
      <c r="E49" s="3620"/>
      <c r="F49" s="3620"/>
      <c r="G49" s="3620"/>
      <c r="H49" s="3620"/>
      <c r="I49" s="3620"/>
    </row>
    <row r="50" spans="4:9" ht="14.25">
      <c r="D50" s="3600" t="s">
        <v>3212</v>
      </c>
      <c r="E50" s="3600" t="s">
        <v>3321</v>
      </c>
      <c r="F50" s="3600" t="s">
        <v>3322</v>
      </c>
      <c r="G50" s="3605" t="s">
        <v>2940</v>
      </c>
      <c r="H50" s="3606"/>
      <c r="I50" s="3607"/>
    </row>
    <row r="51" spans="4:9" ht="14.25">
      <c r="D51" s="3602"/>
      <c r="E51" s="3602"/>
      <c r="F51" s="3602"/>
      <c r="G51" s="3612" t="s">
        <v>24</v>
      </c>
      <c r="H51" s="3621" t="s">
        <v>3022</v>
      </c>
      <c r="I51" s="3622" t="s">
        <v>3210</v>
      </c>
    </row>
    <row r="52" spans="4:9" ht="14.25">
      <c r="D52" s="3604" t="s">
        <v>3323</v>
      </c>
      <c r="E52" s="3613" t="s">
        <v>3011</v>
      </c>
      <c r="F52" s="3598">
        <v>27477.71</v>
      </c>
      <c r="G52" s="3614">
        <v>87338</v>
      </c>
      <c r="H52" s="3623">
        <v>87338</v>
      </c>
      <c r="I52" s="3616">
        <v>0</v>
      </c>
    </row>
    <row r="53" spans="4:9" ht="14.25">
      <c r="D53" s="3604" t="s">
        <v>3323</v>
      </c>
      <c r="E53" s="3613" t="s">
        <v>3014</v>
      </c>
      <c r="F53" s="3598">
        <v>4656.28</v>
      </c>
      <c r="G53" s="3614">
        <v>14800</v>
      </c>
      <c r="H53" s="3623">
        <v>14800</v>
      </c>
      <c r="I53" s="3616">
        <v>0</v>
      </c>
    </row>
    <row r="54" spans="4:9" ht="14.25">
      <c r="D54" s="3604" t="s">
        <v>3323</v>
      </c>
      <c r="E54" s="3613" t="s">
        <v>2996</v>
      </c>
      <c r="F54" s="3598">
        <v>616.33000000000004</v>
      </c>
      <c r="G54" s="3614">
        <v>1959</v>
      </c>
      <c r="H54" s="3623">
        <v>1959</v>
      </c>
      <c r="I54" s="3616">
        <v>0</v>
      </c>
    </row>
    <row r="55" spans="4:9" ht="14.25">
      <c r="D55" s="3604" t="s">
        <v>3323</v>
      </c>
      <c r="E55" s="3624" t="s">
        <v>3211</v>
      </c>
      <c r="F55" s="3598">
        <v>13058.18</v>
      </c>
      <c r="G55" s="3614">
        <v>41505.47</v>
      </c>
      <c r="H55" s="3616">
        <v>0</v>
      </c>
      <c r="I55" s="3625">
        <v>41505.47</v>
      </c>
    </row>
    <row r="56" spans="4:9" ht="14.25">
      <c r="D56" s="3608" t="s">
        <v>27</v>
      </c>
      <c r="E56" s="3609"/>
      <c r="F56" s="3614">
        <v>45808.5</v>
      </c>
      <c r="G56" s="3614">
        <v>145602.47</v>
      </c>
      <c r="H56" s="3614">
        <v>104097</v>
      </c>
      <c r="I56" s="3626">
        <v>41505.47</v>
      </c>
    </row>
    <row r="57" spans="4:9" ht="14.25">
      <c r="D57" s="3604" t="s">
        <v>1679</v>
      </c>
      <c r="E57" s="3599" t="s">
        <v>2312</v>
      </c>
      <c r="F57" s="3598">
        <v>1437.12</v>
      </c>
      <c r="G57" s="3614">
        <v>4567.8800000000047</v>
      </c>
      <c r="H57" s="3599">
        <v>4567.8800000000047</v>
      </c>
      <c r="I57" s="3616">
        <v>0</v>
      </c>
    </row>
    <row r="58" spans="4:9" ht="14.25">
      <c r="D58" s="3608" t="s">
        <v>27</v>
      </c>
      <c r="E58" s="3609"/>
      <c r="F58" s="3614">
        <v>1437.12</v>
      </c>
      <c r="G58" s="3614">
        <v>4567.8800000000047</v>
      </c>
      <c r="H58" s="3614">
        <v>4567.8800000000047</v>
      </c>
      <c r="I58" s="3616">
        <v>0</v>
      </c>
    </row>
    <row r="59" spans="4:9" ht="15.75" thickBot="1">
      <c r="D59" s="3610" t="s">
        <v>24</v>
      </c>
      <c r="E59" s="3611"/>
      <c r="F59" s="3627">
        <v>47245.62</v>
      </c>
      <c r="G59" s="3627">
        <v>150170.35</v>
      </c>
      <c r="H59" s="3628">
        <v>108664.88</v>
      </c>
      <c r="I59" s="3629">
        <v>41505.47</v>
      </c>
    </row>
    <row r="60" spans="4:9">
      <c r="D60" s="3620"/>
      <c r="E60" s="3620"/>
      <c r="F60" s="3620"/>
      <c r="G60" s="3620"/>
      <c r="H60" s="3620"/>
      <c r="I60" s="3620"/>
    </row>
    <row r="61" spans="4:9" ht="14.25">
      <c r="D61" s="3600" t="s">
        <v>3212</v>
      </c>
      <c r="E61" s="3600" t="s">
        <v>3321</v>
      </c>
      <c r="F61" s="3600" t="s">
        <v>3322</v>
      </c>
      <c r="G61" s="3605" t="s">
        <v>2940</v>
      </c>
      <c r="H61" s="3606"/>
      <c r="I61" s="3607"/>
    </row>
    <row r="62" spans="4:9" ht="14.25">
      <c r="D62" s="3602"/>
      <c r="E62" s="3602"/>
      <c r="F62" s="3602"/>
      <c r="G62" s="3612" t="s">
        <v>24</v>
      </c>
      <c r="H62" s="3598" t="s">
        <v>3022</v>
      </c>
      <c r="I62" s="3598" t="s">
        <v>3210</v>
      </c>
    </row>
    <row r="63" spans="4:9" ht="14.25">
      <c r="D63" s="3598" t="s">
        <v>3323</v>
      </c>
      <c r="E63" s="3613" t="s">
        <v>3325</v>
      </c>
      <c r="F63" s="3598">
        <v>2179.9</v>
      </c>
      <c r="G63" s="3614">
        <v>9450</v>
      </c>
      <c r="H63" s="3616">
        <v>9450</v>
      </c>
      <c r="I63" s="3616">
        <v>0</v>
      </c>
    </row>
    <row r="64" spans="4:9" ht="14.25">
      <c r="D64" s="3598" t="s">
        <v>3323</v>
      </c>
      <c r="E64" s="3613" t="s">
        <v>3211</v>
      </c>
      <c r="F64" s="3598">
        <v>5963.23</v>
      </c>
      <c r="G64" s="3614">
        <v>25851</v>
      </c>
      <c r="H64" s="3616">
        <v>0</v>
      </c>
      <c r="I64" s="3616">
        <v>25851</v>
      </c>
    </row>
    <row r="65" spans="4:9" ht="14.25">
      <c r="D65" s="3598" t="s">
        <v>3323</v>
      </c>
      <c r="E65" s="3624" t="s">
        <v>3326</v>
      </c>
      <c r="F65" s="3598">
        <v>12394.55</v>
      </c>
      <c r="G65" s="3614">
        <v>53731.19</v>
      </c>
      <c r="H65" s="3630">
        <v>53731.19</v>
      </c>
      <c r="I65" s="3616">
        <v>0</v>
      </c>
    </row>
    <row r="66" spans="4:9" ht="14.25">
      <c r="D66" s="3608" t="s">
        <v>27</v>
      </c>
      <c r="E66" s="3609"/>
      <c r="F66" s="3614">
        <v>20537.68</v>
      </c>
      <c r="G66" s="3614">
        <v>89032.19</v>
      </c>
      <c r="H66" s="3614">
        <v>63181.19</v>
      </c>
      <c r="I66" s="3614">
        <v>25851</v>
      </c>
    </row>
    <row r="67" spans="4:9" ht="14.25">
      <c r="D67" s="3598" t="s">
        <v>1679</v>
      </c>
      <c r="E67" s="3598" t="s">
        <v>2312</v>
      </c>
      <c r="F67" s="3598">
        <v>523.20000000000005</v>
      </c>
      <c r="G67" s="3614">
        <v>2268.1100000000006</v>
      </c>
      <c r="H67" s="3598">
        <v>2268.1100000000006</v>
      </c>
      <c r="I67" s="3616">
        <v>0</v>
      </c>
    </row>
    <row r="68" spans="4:9" ht="14.25">
      <c r="D68" s="3608" t="s">
        <v>27</v>
      </c>
      <c r="E68" s="3609"/>
      <c r="F68" s="3614">
        <v>523.20000000000005</v>
      </c>
      <c r="G68" s="3614">
        <v>2268.1100000000006</v>
      </c>
      <c r="H68" s="3614">
        <v>2268.1100000000006</v>
      </c>
      <c r="I68" s="3616">
        <v>0</v>
      </c>
    </row>
    <row r="69" spans="4:9" ht="15">
      <c r="D69" s="3610" t="s">
        <v>24</v>
      </c>
      <c r="E69" s="3611"/>
      <c r="F69" s="3619">
        <v>21060.880000000001</v>
      </c>
      <c r="G69" s="3619">
        <v>91300.3</v>
      </c>
      <c r="H69" s="3619">
        <v>65449.3</v>
      </c>
      <c r="I69" s="3619">
        <v>25851</v>
      </c>
    </row>
  </sheetData>
  <mergeCells count="39">
    <mergeCell ref="C31:C37"/>
    <mergeCell ref="C38:E38"/>
    <mergeCell ref="D29:E29"/>
    <mergeCell ref="D30:E30"/>
    <mergeCell ref="D34:E34"/>
    <mergeCell ref="D36:E36"/>
    <mergeCell ref="D37:E37"/>
    <mergeCell ref="C9:C15"/>
    <mergeCell ref="C16:C22"/>
    <mergeCell ref="C23:C30"/>
    <mergeCell ref="D21:E21"/>
    <mergeCell ref="D19:E19"/>
    <mergeCell ref="C7:D8"/>
    <mergeCell ref="D69:E69"/>
    <mergeCell ref="D56:E56"/>
    <mergeCell ref="D58:E58"/>
    <mergeCell ref="D66:E66"/>
    <mergeCell ref="D68:E68"/>
    <mergeCell ref="G50:I50"/>
    <mergeCell ref="G61:I61"/>
    <mergeCell ref="D45:E45"/>
    <mergeCell ref="D47:E47"/>
    <mergeCell ref="D48:E48"/>
    <mergeCell ref="D59:E59"/>
    <mergeCell ref="F50:F51"/>
    <mergeCell ref="E50:E51"/>
    <mergeCell ref="D50:D51"/>
    <mergeCell ref="D61:D62"/>
    <mergeCell ref="E61:E62"/>
    <mergeCell ref="F61:F62"/>
    <mergeCell ref="G7:I7"/>
    <mergeCell ref="E7:E8"/>
    <mergeCell ref="F7:F8"/>
    <mergeCell ref="D40:D41"/>
    <mergeCell ref="E40:E41"/>
    <mergeCell ref="F40:F41"/>
    <mergeCell ref="G40:I40"/>
    <mergeCell ref="D22:E22"/>
    <mergeCell ref="D27:E27"/>
  </mergeCells>
  <phoneticPr fontId="228" type="noConversion"/>
  <conditionalFormatting sqref="G12">
    <cfRule type="containsText" dxfId="20" priority="22" stopIfTrue="1" operator="containsText" text="面积有误">
      <formula>NOT(ISERROR(SEARCH("面积有误",G12)))</formula>
    </cfRule>
    <cfRule type="cellIs" dxfId="19" priority="24" stopIfTrue="1" operator="equal">
      <formula>"地下面积有误"</formula>
    </cfRule>
  </conditionalFormatting>
  <conditionalFormatting sqref="H12">
    <cfRule type="cellIs" dxfId="18" priority="23" stopIfTrue="1" operator="equal">
      <formula>"地上面积有误"</formula>
    </cfRule>
  </conditionalFormatting>
  <conditionalFormatting sqref="G45">
    <cfRule type="containsText" dxfId="17" priority="19" stopIfTrue="1" operator="containsText" text="面积有误">
      <formula>NOT(ISERROR(SEARCH("面积有误",G45)))</formula>
    </cfRule>
    <cfRule type="cellIs" dxfId="16" priority="21" stopIfTrue="1" operator="equal">
      <formula>"地下面积有误"</formula>
    </cfRule>
  </conditionalFormatting>
  <conditionalFormatting sqref="H45">
    <cfRule type="cellIs" dxfId="15" priority="20" stopIfTrue="1" operator="equal">
      <formula>"地上面积有误"</formula>
    </cfRule>
  </conditionalFormatting>
  <conditionalFormatting sqref="G66">
    <cfRule type="containsText" dxfId="14" priority="13" stopIfTrue="1" operator="containsText" text="面积有误">
      <formula>NOT(ISERROR(SEARCH("面积有误",G66)))</formula>
    </cfRule>
    <cfRule type="cellIs" dxfId="13" priority="15" stopIfTrue="1" operator="equal">
      <formula>"地下面积有误"</formula>
    </cfRule>
  </conditionalFormatting>
  <conditionalFormatting sqref="H66">
    <cfRule type="cellIs" dxfId="12" priority="14" stopIfTrue="1" operator="equal">
      <formula>"地上面积有误"</formula>
    </cfRule>
  </conditionalFormatting>
  <conditionalFormatting sqref="G56">
    <cfRule type="containsText" dxfId="11" priority="10" stopIfTrue="1" operator="containsText" text="面积有误">
      <formula>NOT(ISERROR(SEARCH("面积有误",G56)))</formula>
    </cfRule>
    <cfRule type="cellIs" dxfId="10" priority="12" stopIfTrue="1" operator="equal">
      <formula>"地下面积有误"</formula>
    </cfRule>
  </conditionalFormatting>
  <conditionalFormatting sqref="H56">
    <cfRule type="cellIs" dxfId="9" priority="11" stopIfTrue="1" operator="equal">
      <formula>"地上面积有误"</formula>
    </cfRule>
  </conditionalFormatting>
  <conditionalFormatting sqref="G19">
    <cfRule type="containsText" dxfId="8" priority="7" stopIfTrue="1" operator="containsText" text="面积有误">
      <formula>NOT(ISERROR(SEARCH("面积有误",G19)))</formula>
    </cfRule>
    <cfRule type="cellIs" dxfId="7" priority="9" stopIfTrue="1" operator="equal">
      <formula>"地下面积有误"</formula>
    </cfRule>
  </conditionalFormatting>
  <conditionalFormatting sqref="H19">
    <cfRule type="cellIs" dxfId="6" priority="8" stopIfTrue="1" operator="equal">
      <formula>"地上面积有误"</formula>
    </cfRule>
  </conditionalFormatting>
  <conditionalFormatting sqref="G27">
    <cfRule type="containsText" dxfId="5" priority="4" stopIfTrue="1" operator="containsText" text="面积有误">
      <formula>NOT(ISERROR(SEARCH("面积有误",G27)))</formula>
    </cfRule>
    <cfRule type="cellIs" dxfId="4" priority="6" stopIfTrue="1" operator="equal">
      <formula>"地下面积有误"</formula>
    </cfRule>
  </conditionalFormatting>
  <conditionalFormatting sqref="H27">
    <cfRule type="cellIs" dxfId="3" priority="5" stopIfTrue="1" operator="equal">
      <formula>"地上面积有误"</formula>
    </cfRule>
  </conditionalFormatting>
  <conditionalFormatting sqref="G34">
    <cfRule type="containsText" dxfId="2" priority="1" stopIfTrue="1" operator="containsText" text="面积有误">
      <formula>NOT(ISERROR(SEARCH("面积有误",G34)))</formula>
    </cfRule>
    <cfRule type="cellIs" dxfId="1" priority="3" stopIfTrue="1" operator="equal">
      <formula>"地下面积有误"</formula>
    </cfRule>
  </conditionalFormatting>
  <conditionalFormatting sqref="H34">
    <cfRule type="cellIs" dxfId="0" priority="2" stopIfTrue="1" operator="equal">
      <formula>"地上面积有误"</formula>
    </cfRule>
  </conditionalFormatting>
  <dataValidations count="1">
    <dataValidation type="list" allowBlank="1" showInputMessage="1" showErrorMessage="1" sqref="D13 D9:D11 D46 D42:D44 D67 D57 D52:D55 D63:D65 D20 D16:D18 D28 D23:D26 D35 D31:D33">
      <formula1>类别</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9" t="s">
        <v>2036</v>
      </c>
      <c r="B1" s="3289"/>
      <c r="C1" s="3289"/>
      <c r="D1" s="3289"/>
      <c r="E1" s="3289"/>
      <c r="F1" s="3289"/>
      <c r="G1" s="3289"/>
      <c r="H1" s="3289"/>
      <c r="I1" s="3289"/>
      <c r="J1" s="3289"/>
      <c r="K1" s="3289"/>
      <c r="L1" s="3289"/>
      <c r="M1" s="3289"/>
      <c r="N1" s="3289"/>
      <c r="O1" s="3289"/>
      <c r="P1" s="3289"/>
      <c r="Q1" s="3289"/>
      <c r="R1" s="3289"/>
    </row>
    <row r="2" spans="1:18">
      <c r="A2" s="1789" t="s">
        <v>2038</v>
      </c>
      <c r="B2" s="1789"/>
      <c r="C2" s="1789"/>
      <c r="D2" s="1789"/>
      <c r="E2" s="1789"/>
      <c r="F2" s="1789"/>
      <c r="G2" s="1789"/>
      <c r="H2" s="1789"/>
      <c r="I2" s="1790"/>
      <c r="J2" s="1790"/>
      <c r="K2" s="1791" t="str">
        <f>"估价期日："&amp;TEXT(项目基本情况!D3,"yyyy年m月d日;;")</f>
        <v>估价期日：2019年8月15日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90" t="s">
        <v>2027</v>
      </c>
      <c r="B3" s="3290" t="s">
        <v>2726</v>
      </c>
      <c r="C3" s="3291" t="s">
        <v>2028</v>
      </c>
      <c r="D3" s="3290" t="s">
        <v>2730</v>
      </c>
      <c r="E3" s="3293" t="s">
        <v>2029</v>
      </c>
      <c r="F3" s="3293"/>
      <c r="G3" s="3293"/>
      <c r="H3" s="3293" t="s">
        <v>2030</v>
      </c>
      <c r="I3" s="3293"/>
      <c r="J3" s="3293"/>
      <c r="K3" s="3291" t="s">
        <v>2031</v>
      </c>
      <c r="L3" s="3291" t="s">
        <v>2032</v>
      </c>
      <c r="M3" s="3290" t="s">
        <v>2727</v>
      </c>
      <c r="N3" s="3292" t="str">
        <f>"（分摊）"&amp;项目基本情况!B16&amp;"国有建设用地使用权面积/㎡"</f>
        <v>（分摊）出让国有建设用地使用权面积/㎡</v>
      </c>
      <c r="O3" s="3290" t="s">
        <v>2061</v>
      </c>
      <c r="P3" s="3291" t="s">
        <v>2041</v>
      </c>
      <c r="Q3" s="3291" t="s">
        <v>2062</v>
      </c>
      <c r="R3" s="3291" t="s">
        <v>2033</v>
      </c>
    </row>
    <row r="4" spans="1:18" ht="36.75" customHeight="1">
      <c r="A4" s="3290"/>
      <c r="B4" s="3290"/>
      <c r="C4" s="3291"/>
      <c r="D4" s="3290"/>
      <c r="E4" s="2610" t="s">
        <v>2040</v>
      </c>
      <c r="F4" s="2610" t="s">
        <v>2739</v>
      </c>
      <c r="G4" s="2610" t="s">
        <v>2034</v>
      </c>
      <c r="H4" s="2610" t="s">
        <v>2035</v>
      </c>
      <c r="I4" s="2610" t="s">
        <v>2740</v>
      </c>
      <c r="J4" s="2610" t="s">
        <v>2034</v>
      </c>
      <c r="K4" s="3291"/>
      <c r="L4" s="3291"/>
      <c r="M4" s="3290"/>
      <c r="N4" s="3292"/>
      <c r="O4" s="3290"/>
      <c r="P4" s="3291"/>
      <c r="Q4" s="3291"/>
      <c r="R4" s="3291"/>
    </row>
    <row r="5" spans="1:18" ht="135" customHeight="1">
      <c r="A5" s="1925" t="s">
        <v>2650</v>
      </c>
      <c r="B5" s="2819" t="s">
        <v>2648</v>
      </c>
      <c r="C5" s="2609">
        <v>22</v>
      </c>
      <c r="D5" s="2608" t="s">
        <v>2649</v>
      </c>
      <c r="E5" s="1792" t="str">
        <f>项目基本情况!B12</f>
        <v>商住用地</v>
      </c>
      <c r="F5" s="2608">
        <v>258</v>
      </c>
      <c r="G5" s="1792" t="str">
        <f>项目基本情况!B13</f>
        <v>商住用地</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20176.84</v>
      </c>
      <c r="O5" s="1792">
        <f>项目基本情况!C21</f>
        <v>73123.75</v>
      </c>
      <c r="P5" s="1792">
        <f ca="1">结果表!E42</f>
        <v>6938</v>
      </c>
      <c r="Q5" s="1792">
        <f ca="1">结果表!D42</f>
        <v>1914</v>
      </c>
      <c r="R5" s="1793">
        <f ca="1">结果表!C42</f>
        <v>13998</v>
      </c>
    </row>
    <row r="6" spans="1:18">
      <c r="A6" s="3294" t="str">
        <f>IF(项目基本情况!B9="市场价格","——","抵押价格")</f>
        <v>抵押价格</v>
      </c>
      <c r="B6" s="3295"/>
      <c r="C6" s="3295"/>
      <c r="D6" s="3295"/>
      <c r="E6" s="3295"/>
      <c r="F6" s="3295"/>
      <c r="G6" s="3295"/>
      <c r="H6" s="3295"/>
      <c r="I6" s="3295"/>
      <c r="J6" s="3295"/>
      <c r="K6" s="3295"/>
      <c r="L6" s="3295"/>
      <c r="M6" s="3295"/>
      <c r="N6" s="3295"/>
      <c r="O6" s="3295"/>
      <c r="P6" s="3295"/>
      <c r="Q6" s="3296"/>
      <c r="R6" s="1794">
        <f ca="1">结果表!O39</f>
        <v>13998</v>
      </c>
    </row>
    <row r="7" spans="1:18">
      <c r="A7" s="3294" t="str">
        <f>IF(项目基本情况!B9="市场价格","——",IF(项目基本情况!E8="已注销及未注销","抵押担保权已注销时的抵押价格","——"))</f>
        <v>——</v>
      </c>
      <c r="B7" s="3295"/>
      <c r="C7" s="3295"/>
      <c r="D7" s="3295"/>
      <c r="E7" s="3295"/>
      <c r="F7" s="3295"/>
      <c r="G7" s="3295"/>
      <c r="H7" s="3295"/>
      <c r="I7" s="3295"/>
      <c r="J7" s="3295"/>
      <c r="K7" s="3295"/>
      <c r="L7" s="3295"/>
      <c r="M7" s="3295"/>
      <c r="N7" s="3295"/>
      <c r="O7" s="3295"/>
      <c r="P7" s="3295"/>
      <c r="Q7" s="3296"/>
      <c r="R7" s="1794" t="str">
        <f>结果表!O40</f>
        <v>——</v>
      </c>
    </row>
    <row r="8" spans="1:18">
      <c r="A8" s="3294" t="str">
        <f>IF(项目基本情况!B9="市场价格","——",项目基本情况!E9)</f>
        <v>——</v>
      </c>
      <c r="B8" s="3295"/>
      <c r="C8" s="3295"/>
      <c r="D8" s="3295"/>
      <c r="E8" s="3295"/>
      <c r="F8" s="3295"/>
      <c r="G8" s="3295"/>
      <c r="H8" s="3295"/>
      <c r="I8" s="3295"/>
      <c r="J8" s="3295"/>
      <c r="K8" s="3295"/>
      <c r="L8" s="3295"/>
      <c r="M8" s="3295"/>
      <c r="N8" s="3295"/>
      <c r="O8" s="3295"/>
      <c r="P8" s="3295"/>
      <c r="Q8" s="3296"/>
      <c r="R8" s="1794" t="str">
        <f>结果表!O41</f>
        <v>——</v>
      </c>
    </row>
    <row r="9" spans="1:18">
      <c r="A9" s="1795" t="s">
        <v>2039</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2026</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98" t="s">
        <v>2063</v>
      </c>
      <c r="B1" s="3298"/>
      <c r="C1" s="3298"/>
      <c r="D1" s="3298"/>
    </row>
    <row r="2" spans="1:4" ht="47.25" customHeight="1">
      <c r="A2" s="3299" t="str">
        <f>"1.权利限制："&amp;项目基本情况!L24&amp;"未设定租赁等其他他项权利。"</f>
        <v>1.权利限制：根据估价对象————，截至估价期日，估价对象抵押权未见登记。未设定租赁等其他他项权利。</v>
      </c>
      <c r="B2" s="3299"/>
      <c r="C2" s="3299"/>
      <c r="D2" s="3299"/>
    </row>
    <row r="3" spans="1:4" ht="48" customHeight="1">
      <c r="A3" s="32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8"/>
      <c r="C3" s="3298"/>
      <c r="D3" s="3298"/>
    </row>
    <row r="4" spans="1:4" ht="36.75" customHeight="1">
      <c r="A4" s="3298" t="str">
        <f>"3.估价规划限制条件：详见"&amp;项目基本情况!E21&amp;"。"</f>
        <v>3.估价规划限制条件：详见《建设工程规划许可证》[]、《出让合同》[]。</v>
      </c>
      <c r="B4" s="3298"/>
      <c r="C4" s="3298"/>
      <c r="D4" s="3298"/>
    </row>
    <row r="5" spans="1:4">
      <c r="A5" s="3297" t="s">
        <v>2064</v>
      </c>
      <c r="B5" s="3297"/>
      <c r="C5" s="3297"/>
      <c r="D5" s="3297"/>
    </row>
    <row r="6" spans="1:4">
      <c r="A6" s="3298" t="s">
        <v>2042</v>
      </c>
      <c r="B6" s="3298"/>
      <c r="C6" s="3298"/>
      <c r="D6" s="3298"/>
    </row>
    <row r="7" spans="1:4" ht="33" customHeight="1">
      <c r="A7" s="3298" t="s">
        <v>2570</v>
      </c>
      <c r="B7" s="3298"/>
      <c r="C7" s="3298"/>
      <c r="D7" s="3298"/>
    </row>
    <row r="8" spans="1:4" ht="32.25" customHeight="1">
      <c r="A8" s="32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8"/>
      <c r="C8" s="3298"/>
      <c r="D8" s="3298"/>
    </row>
    <row r="9" spans="1:4" ht="33.75" customHeight="1">
      <c r="A9" s="32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8"/>
      <c r="C9" s="3298"/>
      <c r="D9" s="3298"/>
    </row>
    <row r="10" spans="1:4">
      <c r="A10" s="3298" t="str">
        <f>IF(项目基本情况!B8="抵押","4.估价师所知悉的法定优先受偿款情况为：","——")</f>
        <v>4.估价师所知悉的法定优先受偿款情况为：</v>
      </c>
      <c r="B10" s="3298"/>
      <c r="C10" s="3298"/>
      <c r="D10" s="3298"/>
    </row>
    <row r="11" spans="1:4" ht="37.5" customHeight="1">
      <c r="A11" s="3300"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0"/>
      <c r="C11" s="3300"/>
      <c r="D11" s="3300"/>
    </row>
    <row r="12" spans="1:4" ht="168" customHeight="1">
      <c r="A12" s="3297" t="s">
        <v>2066</v>
      </c>
      <c r="B12" s="3297"/>
      <c r="C12" s="3297"/>
      <c r="D12" s="3297"/>
    </row>
    <row r="13" spans="1:4">
      <c r="A13" s="3301" t="s">
        <v>2741</v>
      </c>
      <c r="B13" s="3301"/>
      <c r="C13" s="3301"/>
      <c r="D13" s="3301"/>
    </row>
    <row r="14" spans="1:4">
      <c r="A14" s="3300" t="str">
        <f>IF(项目基本情况!B8="抵押","综上，"&amp;结果表!K47,"——")</f>
        <v>综上，本次评估不存在估价师知悉的法定优先受偿款</v>
      </c>
      <c r="B14" s="3300"/>
      <c r="C14" s="3300"/>
      <c r="D14" s="3300"/>
    </row>
    <row r="15" spans="1:4" ht="58.5" customHeight="1">
      <c r="A15" s="32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8"/>
      <c r="C15" s="3298"/>
      <c r="D15" s="3298"/>
    </row>
    <row r="16" spans="1:4" ht="70.5" customHeight="1">
      <c r="A16" s="32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8"/>
      <c r="C16" s="3298"/>
      <c r="D16" s="3298"/>
    </row>
    <row r="17" spans="1:4">
      <c r="A17" s="3298" t="s">
        <v>2697</v>
      </c>
      <c r="B17" s="3298"/>
      <c r="C17" s="3298"/>
      <c r="D17" s="3298"/>
    </row>
    <row r="18" spans="1:4">
      <c r="A18" s="3298" t="s">
        <v>2689</v>
      </c>
      <c r="B18" s="3298"/>
      <c r="C18" s="3298"/>
      <c r="D18" s="3298"/>
    </row>
    <row r="19" spans="1:4">
      <c r="A19" s="2820" t="s">
        <v>2690</v>
      </c>
      <c r="B19" s="2820" t="s">
        <v>2691</v>
      </c>
      <c r="C19" s="2820" t="s">
        <v>2692</v>
      </c>
      <c r="D19" s="2820" t="s">
        <v>2693</v>
      </c>
    </row>
    <row r="20" spans="1:4">
      <c r="A20" s="2820" t="str">
        <f>项目基本情况!B4</f>
        <v>土地估价师</v>
      </c>
      <c r="B20" s="2820">
        <f>项目基本情况!C4</f>
        <v>0</v>
      </c>
      <c r="C20" s="2822"/>
      <c r="D20" s="1782" t="s">
        <v>2698</v>
      </c>
    </row>
    <row r="21" spans="1:4">
      <c r="A21" s="2820" t="str">
        <f>项目基本情况!D4</f>
        <v>土地估价师</v>
      </c>
      <c r="B21" s="2820">
        <f>项目基本情况!E4</f>
        <v>0</v>
      </c>
      <c r="C21" s="2822"/>
      <c r="D21" s="1782" t="s">
        <v>2699</v>
      </c>
    </row>
    <row r="23" spans="1:4">
      <c r="A23" s="3298" t="s">
        <v>2694</v>
      </c>
      <c r="B23" s="3298"/>
      <c r="C23" s="3298"/>
      <c r="D23" s="3298"/>
    </row>
    <row r="24" spans="1:4">
      <c r="A24" s="2820" t="s">
        <v>2690</v>
      </c>
      <c r="B24" s="2820" t="s">
        <v>2695</v>
      </c>
      <c r="C24" s="2820" t="s">
        <v>2692</v>
      </c>
      <c r="D24" s="2820" t="s">
        <v>2693</v>
      </c>
    </row>
    <row r="25" spans="1:4">
      <c r="A25" s="2823" t="s">
        <v>2696</v>
      </c>
      <c r="B25" s="2820" t="s">
        <v>952</v>
      </c>
      <c r="C25" s="2822"/>
      <c r="D25" s="1782" t="s">
        <v>2699</v>
      </c>
    </row>
    <row r="29" spans="1:4">
      <c r="D29" s="2821" t="s">
        <v>2037</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309" t="s">
        <v>53</v>
      </c>
      <c r="B15" s="3310" t="s">
        <v>846</v>
      </c>
      <c r="C15" s="3306"/>
    </row>
    <row r="16" spans="1:7" ht="14.25">
      <c r="A16" s="3309"/>
      <c r="B16" s="3307" t="s">
        <v>54</v>
      </c>
      <c r="C16" s="1166" t="s">
        <v>53</v>
      </c>
    </row>
    <row r="17" spans="1:3" ht="14.25">
      <c r="A17" s="3309"/>
      <c r="B17" s="3307"/>
      <c r="C17" s="1166" t="s">
        <v>55</v>
      </c>
    </row>
    <row r="18" spans="1:3" ht="14.25">
      <c r="A18" s="3309"/>
      <c r="B18" s="3307"/>
      <c r="C18" s="1166" t="s">
        <v>56</v>
      </c>
    </row>
    <row r="19" spans="1:3" ht="14.25">
      <c r="A19" s="3309"/>
      <c r="B19" s="3305" t="s">
        <v>57</v>
      </c>
      <c r="C19" s="3306"/>
    </row>
    <row r="20" spans="1:3" ht="14.25">
      <c r="A20" s="1167" t="s">
        <v>58</v>
      </c>
      <c r="B20" s="1168"/>
      <c r="C20" s="1169"/>
    </row>
    <row r="21" spans="1:3" ht="14.25">
      <c r="A21" s="3308" t="s">
        <v>59</v>
      </c>
      <c r="B21" s="3305" t="s">
        <v>60</v>
      </c>
      <c r="C21" s="3306"/>
    </row>
    <row r="22" spans="1:3" ht="14.25">
      <c r="A22" s="3308"/>
      <c r="B22" s="3305" t="s">
        <v>61</v>
      </c>
      <c r="C22" s="3306"/>
    </row>
    <row r="23" spans="1:3" ht="14.25">
      <c r="A23" s="3308"/>
      <c r="B23" s="3305" t="s">
        <v>62</v>
      </c>
      <c r="C23" s="3306"/>
    </row>
    <row r="24" spans="1:3" ht="14.25">
      <c r="A24" s="3308"/>
      <c r="B24" s="3311" t="s">
        <v>63</v>
      </c>
      <c r="C24" s="1170" t="s">
        <v>837</v>
      </c>
    </row>
    <row r="25" spans="1:3" ht="14.25">
      <c r="A25" s="3308"/>
      <c r="B25" s="3312"/>
      <c r="C25" s="1170" t="s">
        <v>838</v>
      </c>
    </row>
    <row r="26" spans="1:3" ht="14.25">
      <c r="A26" s="3308"/>
      <c r="B26" s="3312"/>
      <c r="C26" s="1170" t="s">
        <v>839</v>
      </c>
    </row>
    <row r="27" spans="1:3" ht="14.25">
      <c r="A27" s="3308"/>
      <c r="B27" s="3312"/>
      <c r="C27" s="1170" t="s">
        <v>840</v>
      </c>
    </row>
    <row r="28" spans="1:3" ht="14.25">
      <c r="A28" s="3308"/>
      <c r="B28" s="3312"/>
      <c r="C28" s="1170" t="s">
        <v>841</v>
      </c>
    </row>
    <row r="29" spans="1:3" ht="14.25">
      <c r="A29" s="3308"/>
      <c r="B29" s="3312"/>
      <c r="C29" s="1170" t="s">
        <v>842</v>
      </c>
    </row>
    <row r="30" spans="1:3" ht="14.25">
      <c r="A30" s="3308"/>
      <c r="B30" s="3312"/>
      <c r="C30" s="1170" t="s">
        <v>843</v>
      </c>
    </row>
    <row r="31" spans="1:3" ht="14.25">
      <c r="A31" s="3308"/>
      <c r="B31" s="3312"/>
      <c r="C31" s="1170" t="s">
        <v>844</v>
      </c>
    </row>
    <row r="32" spans="1:3" ht="14.25">
      <c r="A32" s="3308"/>
      <c r="B32" s="3312"/>
      <c r="C32" s="1170" t="s">
        <v>1646</v>
      </c>
    </row>
    <row r="33" spans="1:3" ht="14.25">
      <c r="A33" s="3308"/>
      <c r="B33" s="3302" t="s">
        <v>1652</v>
      </c>
      <c r="C33" s="1170" t="s">
        <v>1647</v>
      </c>
    </row>
    <row r="34" spans="1:3" ht="14.25">
      <c r="A34" s="3308"/>
      <c r="B34" s="3303"/>
      <c r="C34" s="1175" t="s">
        <v>1648</v>
      </c>
    </row>
    <row r="35" spans="1:3" ht="14.25">
      <c r="A35" s="3308"/>
      <c r="B35" s="3303"/>
      <c r="C35" s="1176" t="s">
        <v>1649</v>
      </c>
    </row>
    <row r="36" spans="1:3" ht="14.25">
      <c r="A36" s="3308"/>
      <c r="B36" s="3303"/>
      <c r="C36" s="1176" t="s">
        <v>1650</v>
      </c>
    </row>
    <row r="37" spans="1:3" ht="14.25">
      <c r="A37" s="3308"/>
      <c r="B37" s="3304"/>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3" customWidth="1"/>
    <col min="2" max="5" width="22.625" style="3123"/>
    <col min="6" max="6" width="25.625" style="3123" customWidth="1"/>
    <col min="7" max="16384" width="22.625" style="3123"/>
  </cols>
  <sheetData>
    <row r="2" spans="1:6" ht="20.25" customHeight="1">
      <c r="A2" s="3120" t="s">
        <v>1907</v>
      </c>
      <c r="B2" s="3121">
        <f ca="1">TODAY()</f>
        <v>43749</v>
      </c>
      <c r="C2" s="3122" t="s">
        <v>1908</v>
      </c>
      <c r="D2" s="3122"/>
    </row>
    <row r="3" spans="1:6" ht="20.25" customHeight="1">
      <c r="A3" s="3124" t="s">
        <v>1909</v>
      </c>
      <c r="B3" s="3125" t="s">
        <v>1910</v>
      </c>
      <c r="C3" s="3125" t="s">
        <v>1911</v>
      </c>
      <c r="D3" s="3126" t="s">
        <v>1912</v>
      </c>
      <c r="E3" s="3125" t="s">
        <v>1913</v>
      </c>
      <c r="F3" s="3125" t="s">
        <v>1911</v>
      </c>
    </row>
    <row r="4" spans="1:6" ht="20.25" customHeight="1">
      <c r="A4" s="3125" t="s">
        <v>1914</v>
      </c>
      <c r="B4" s="3125">
        <f ca="1">IF(C4&lt;B2,"已过期",1119970066)</f>
        <v>1119970066</v>
      </c>
      <c r="C4" s="3127">
        <v>43849</v>
      </c>
      <c r="D4" s="3125" t="s">
        <v>1914</v>
      </c>
      <c r="E4" s="3125">
        <f ca="1">IF(F4&lt;B2,"已过期",96010014)</f>
        <v>96010014</v>
      </c>
      <c r="F4" s="3128">
        <v>47118</v>
      </c>
    </row>
    <row r="5" spans="1:6" ht="20.25" customHeight="1">
      <c r="A5" s="3125" t="s">
        <v>1915</v>
      </c>
      <c r="B5" s="3125">
        <f ca="1">IF(C5&lt;B2,"已过期",1119970074)</f>
        <v>1119970074</v>
      </c>
      <c r="C5" s="3127">
        <v>43849</v>
      </c>
      <c r="D5" s="3125" t="s">
        <v>1915</v>
      </c>
      <c r="E5" s="3125">
        <f ca="1">IF(F5&lt;B2,"已过期",2002110027)</f>
        <v>2002110027</v>
      </c>
      <c r="F5" s="3128">
        <v>46752</v>
      </c>
    </row>
    <row r="6" spans="1:6" ht="20.25" customHeight="1">
      <c r="A6" s="3125" t="s">
        <v>1916</v>
      </c>
      <c r="B6" s="3125">
        <f ca="1">IF(C6&lt;B2,"已过期",1119970111)</f>
        <v>1119970111</v>
      </c>
      <c r="C6" s="3127">
        <v>43849</v>
      </c>
      <c r="D6" s="3125" t="s">
        <v>1916</v>
      </c>
      <c r="E6" s="3125">
        <f ca="1">IF(F6&lt;B2,"已过期",94010078)</f>
        <v>94010078</v>
      </c>
      <c r="F6" s="3128">
        <v>46387</v>
      </c>
    </row>
    <row r="7" spans="1:6" ht="20.25" customHeight="1">
      <c r="A7" s="3125" t="s">
        <v>1917</v>
      </c>
      <c r="B7" s="3125">
        <f ca="1">IF(C7&lt;B2,"已过期",1120050019)</f>
        <v>1120050019</v>
      </c>
      <c r="C7" s="3127">
        <v>44395</v>
      </c>
      <c r="D7" s="3125" t="s">
        <v>1917</v>
      </c>
      <c r="E7" s="3125">
        <f ca="1">IF(F7&lt;B2,"已过期",2002110030)</f>
        <v>2002110030</v>
      </c>
      <c r="F7" s="3128">
        <v>46387</v>
      </c>
    </row>
    <row r="8" spans="1:6" ht="20.25" customHeight="1">
      <c r="A8" s="3125" t="s">
        <v>1918</v>
      </c>
      <c r="B8" s="3125">
        <f ca="1">IF(C8&lt;B2,"已过期",1120000080)</f>
        <v>1120000080</v>
      </c>
      <c r="C8" s="3127">
        <v>43849</v>
      </c>
      <c r="D8" s="3125" t="s">
        <v>1918</v>
      </c>
      <c r="E8" s="3125">
        <f ca="1">IF(F8&lt;B2,"已过期",2000110082)</f>
        <v>2000110082</v>
      </c>
      <c r="F8" s="3128">
        <v>46387</v>
      </c>
    </row>
    <row r="9" spans="1:6" ht="20.25" customHeight="1">
      <c r="A9" s="3125" t="s">
        <v>1919</v>
      </c>
      <c r="B9" s="3125">
        <f ca="1">IF(C9&lt;B2,"已过期",1419970001)</f>
        <v>1419970001</v>
      </c>
      <c r="C9" s="3127">
        <v>43867</v>
      </c>
      <c r="D9" s="3125" t="s">
        <v>1919</v>
      </c>
      <c r="E9" s="3125">
        <f ca="1">IF(F9&lt;B2,"已过期",2002110125)</f>
        <v>2002110125</v>
      </c>
      <c r="F9" s="3128">
        <v>47118</v>
      </c>
    </row>
    <row r="10" spans="1:6" ht="20.25" customHeight="1">
      <c r="A10" s="3125" t="s">
        <v>1920</v>
      </c>
      <c r="B10" s="3125">
        <f ca="1">IF(C10&lt;B2,"已过期",1120060040)</f>
        <v>1120060040</v>
      </c>
      <c r="C10" s="3127">
        <v>44554</v>
      </c>
      <c r="D10" s="3125" t="s">
        <v>1920</v>
      </c>
      <c r="E10" s="3125">
        <f ca="1">IF(F10&lt;B2,"已过期",2004110096)</f>
        <v>2004110096</v>
      </c>
      <c r="F10" s="3128">
        <v>47118</v>
      </c>
    </row>
    <row r="11" spans="1:6" ht="20.25" customHeight="1">
      <c r="A11" s="3125" t="s">
        <v>1921</v>
      </c>
      <c r="B11" s="3125">
        <f ca="1">IF(C11&lt;B2,"已过期",1120100036)</f>
        <v>1120100036</v>
      </c>
      <c r="C11" s="3127">
        <v>44675</v>
      </c>
      <c r="D11" s="3125" t="s">
        <v>1921</v>
      </c>
      <c r="E11" s="3125">
        <f ca="1">IF(F11&lt;B2,"已过期",2010110070)</f>
        <v>2010110070</v>
      </c>
      <c r="F11" s="3128">
        <v>47907</v>
      </c>
    </row>
    <row r="12" spans="1:6" ht="20.25" customHeight="1">
      <c r="A12" s="3125"/>
      <c r="B12" s="3125"/>
      <c r="C12" s="3127"/>
      <c r="D12" s="3125"/>
      <c r="E12" s="3125"/>
      <c r="F12" s="3128"/>
    </row>
    <row r="13" spans="1:6" ht="20.25" customHeight="1">
      <c r="A13" s="3125" t="s">
        <v>1922</v>
      </c>
      <c r="B13" s="3125">
        <f ca="1">IF(C13&lt;B2,"已过期",1120070131)</f>
        <v>1120070131</v>
      </c>
      <c r="C13" s="3127">
        <v>43814</v>
      </c>
      <c r="D13" s="3125" t="s">
        <v>1922</v>
      </c>
      <c r="E13" s="3125">
        <f ca="1">IF(F13&lt;B2,"已过期",2014110011)</f>
        <v>2014110011</v>
      </c>
      <c r="F13" s="3128">
        <v>49302</v>
      </c>
    </row>
    <row r="14" spans="1:6" ht="20.25" customHeight="1">
      <c r="A14" s="3125" t="s">
        <v>2973</v>
      </c>
      <c r="B14" s="3125">
        <f ca="1">IF(C14&lt;B2,"已过期",1120040230)</f>
        <v>1120040230</v>
      </c>
      <c r="C14" s="3129">
        <v>43835</v>
      </c>
      <c r="D14" s="3130" t="s">
        <v>2974</v>
      </c>
      <c r="E14" s="3125">
        <f ca="1">IF(F14&lt;B2,"已过期",98030020)</f>
        <v>98030020</v>
      </c>
      <c r="F14" s="3128">
        <v>47118</v>
      </c>
    </row>
    <row r="15" spans="1:6" ht="20.25" customHeight="1">
      <c r="A15" s="3125" t="s">
        <v>2569</v>
      </c>
      <c r="B15" s="3125">
        <f ca="1">IF(C15&lt;B2,"已过期",1120070085)</f>
        <v>1120070085</v>
      </c>
      <c r="C15" s="3129">
        <v>43814</v>
      </c>
      <c r="D15" s="3125" t="s">
        <v>2975</v>
      </c>
      <c r="E15" s="3125">
        <f ca="1">IF(F15&lt;B2,"已过期",2004110128)</f>
        <v>2004110128</v>
      </c>
      <c r="F15" s="3131">
        <v>47118</v>
      </c>
    </row>
    <row r="16" spans="1:6" ht="20.25" customHeight="1">
      <c r="A16" s="3125" t="s">
        <v>1923</v>
      </c>
      <c r="B16" s="3125">
        <f ca="1">IF(C16&lt;B2,"已过期",1120140022)</f>
        <v>1120140022</v>
      </c>
      <c r="C16" s="3127">
        <v>44029</v>
      </c>
      <c r="D16" s="3125" t="s">
        <v>2976</v>
      </c>
      <c r="E16" s="3125">
        <f ca="1">IF(F16&lt;B2,"已过期",2008110059)</f>
        <v>2008110059</v>
      </c>
      <c r="F16" s="3128">
        <v>47177</v>
      </c>
    </row>
    <row r="17" spans="1:7" ht="20.25" customHeight="1">
      <c r="A17" s="3125"/>
      <c r="B17" s="3125"/>
      <c r="C17" s="3127"/>
      <c r="D17" s="3130" t="s">
        <v>2977</v>
      </c>
      <c r="E17" s="3125">
        <f ca="1">IF(F17&lt;B2,"已过期",2014110076)</f>
        <v>2014110076</v>
      </c>
      <c r="F17" s="3128">
        <v>49302</v>
      </c>
    </row>
    <row r="18" spans="1:7" ht="20.25" customHeight="1">
      <c r="A18" s="3125"/>
      <c r="B18" s="3125"/>
      <c r="C18" s="3127"/>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1924</v>
      </c>
      <c r="E21" s="3125">
        <f ca="1">IF(F21&lt;B2,"已过期",2011110090)</f>
        <v>2011110090</v>
      </c>
      <c r="F21" s="3128">
        <v>48302</v>
      </c>
    </row>
    <row r="22" spans="1:7" ht="20.25" customHeight="1">
      <c r="A22" s="3125" t="s">
        <v>1925</v>
      </c>
      <c r="B22" s="3125">
        <f ca="1">IF(C22&lt;B2,"已过期",1120020033)</f>
        <v>1120020033</v>
      </c>
      <c r="C22" s="3127">
        <v>44339</v>
      </c>
      <c r="D22" s="3125" t="s">
        <v>1925</v>
      </c>
      <c r="E22" s="3125">
        <f ca="1">IF(F22&lt;B2,"已过期",2000110137)</f>
        <v>2000110137</v>
      </c>
      <c r="F22" s="3128">
        <v>46387</v>
      </c>
    </row>
    <row r="23" spans="1:7" ht="20.25" customHeight="1">
      <c r="A23" s="3125"/>
      <c r="B23" s="3125"/>
      <c r="C23" s="3127"/>
      <c r="D23" s="3125"/>
      <c r="E23" s="3125"/>
      <c r="F23" s="3125"/>
    </row>
    <row r="24" spans="1:7" s="3133" customFormat="1" ht="20.25" customHeight="1">
      <c r="A24" s="3124" t="s">
        <v>2051</v>
      </c>
      <c r="B24" s="3124" t="s">
        <v>2051</v>
      </c>
      <c r="C24" s="3127"/>
      <c r="D24" s="3132" t="s">
        <v>2051</v>
      </c>
      <c r="E24" s="3124" t="s">
        <v>2051</v>
      </c>
      <c r="F24" s="3131"/>
    </row>
    <row r="25" spans="1:7" ht="20.25" customHeight="1">
      <c r="A25" s="3313" t="s">
        <v>1926</v>
      </c>
      <c r="B25" s="3313"/>
      <c r="C25" s="3313"/>
      <c r="D25" s="3313"/>
      <c r="E25" s="3313"/>
      <c r="F25" s="3313"/>
      <c r="G25" s="3313"/>
    </row>
    <row r="26" spans="1:7" ht="20.25" customHeight="1">
      <c r="A26" s="3314" t="s">
        <v>1927</v>
      </c>
      <c r="B26" s="3314"/>
      <c r="C26" s="3314"/>
      <c r="D26" s="3314" t="s">
        <v>1928</v>
      </c>
      <c r="E26" s="3314"/>
      <c r="F26" s="3314"/>
    </row>
    <row r="27" spans="1:7" s="3120" customFormat="1" ht="20.25" customHeight="1">
      <c r="A27" s="3134" t="s">
        <v>1929</v>
      </c>
      <c r="B27" s="3135" t="s">
        <v>1930</v>
      </c>
      <c r="C27" s="3135" t="s">
        <v>1931</v>
      </c>
      <c r="D27" s="3125" t="s">
        <v>1929</v>
      </c>
      <c r="E27" s="3135" t="s">
        <v>1930</v>
      </c>
      <c r="F27" s="3135" t="s">
        <v>1931</v>
      </c>
    </row>
    <row r="28" spans="1:7" s="3120" customFormat="1" ht="20.25" customHeight="1">
      <c r="A28" s="3136" t="s">
        <v>1932</v>
      </c>
      <c r="B28" s="3136" t="s">
        <v>1933</v>
      </c>
      <c r="C28" s="3128">
        <v>43725</v>
      </c>
      <c r="D28" s="3136" t="s">
        <v>1934</v>
      </c>
      <c r="E28" s="3136" t="s">
        <v>1935</v>
      </c>
      <c r="F28" s="3137">
        <v>44377</v>
      </c>
    </row>
    <row r="29" spans="1:7" s="3120" customFormat="1" ht="20.25" customHeight="1">
      <c r="A29" s="3136"/>
      <c r="B29" s="3136"/>
      <c r="C29" s="3138"/>
      <c r="D29" s="3136" t="s">
        <v>1936</v>
      </c>
      <c r="E29" s="3136" t="s">
        <v>2985</v>
      </c>
      <c r="F29" s="3137">
        <v>43646</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42" priority="121">
      <formula>AND($C24-TODAY()&lt;30,TODAY()&lt;$C24)</formula>
    </cfRule>
  </conditionalFormatting>
  <conditionalFormatting sqref="C28">
    <cfRule type="expression" dxfId="241" priority="120">
      <formula>AND($C28-TODAY()&lt;30,TODAY()&lt;$C28)</formula>
    </cfRule>
  </conditionalFormatting>
  <conditionalFormatting sqref="C28 F4">
    <cfRule type="cellIs" dxfId="240" priority="122" stopIfTrue="1" operator="lessThan">
      <formula>$B$2</formula>
    </cfRule>
  </conditionalFormatting>
  <conditionalFormatting sqref="F5">
    <cfRule type="cellIs" dxfId="239" priority="118" stopIfTrue="1" operator="lessThan">
      <formula>$B$2</formula>
    </cfRule>
  </conditionalFormatting>
  <conditionalFormatting sqref="F6 F8 F10">
    <cfRule type="cellIs" dxfId="238" priority="116" stopIfTrue="1" operator="lessThan">
      <formula>$B$2</formula>
    </cfRule>
  </conditionalFormatting>
  <conditionalFormatting sqref="C24:D24">
    <cfRule type="expression" dxfId="237" priority="114">
      <formula>AND($C24-TODAY()&lt;30,TODAY()&lt;$C24)</formula>
    </cfRule>
  </conditionalFormatting>
  <conditionalFormatting sqref="F7 F9 F11 C24:D24">
    <cfRule type="cellIs" dxfId="236" priority="115" stopIfTrue="1" operator="lessThan">
      <formula>$B$2</formula>
    </cfRule>
  </conditionalFormatting>
  <conditionalFormatting sqref="F18">
    <cfRule type="cellIs" dxfId="235" priority="87" stopIfTrue="1" operator="lessThan">
      <formula>$B$2</formula>
    </cfRule>
  </conditionalFormatting>
  <conditionalFormatting sqref="F22">
    <cfRule type="cellIs" dxfId="234" priority="86" stopIfTrue="1" operator="lessThan">
      <formula>$B$2</formula>
    </cfRule>
  </conditionalFormatting>
  <conditionalFormatting sqref="F21">
    <cfRule type="cellIs" dxfId="233" priority="85" stopIfTrue="1" operator="lessThan">
      <formula>$B$2</formula>
    </cfRule>
  </conditionalFormatting>
  <conditionalFormatting sqref="B4:B11 E4:E11 E18:E23 B17:B23 B13 E13">
    <cfRule type="cellIs" dxfId="232" priority="83" stopIfTrue="1" operator="equal">
      <formula>"已过期"</formula>
    </cfRule>
  </conditionalFormatting>
  <conditionalFormatting sqref="F28">
    <cfRule type="cellIs" dxfId="231" priority="80" stopIfTrue="1" operator="lessThan">
      <formula>$B$2</formula>
    </cfRule>
  </conditionalFormatting>
  <conditionalFormatting sqref="F28">
    <cfRule type="expression" dxfId="230" priority="124">
      <formula>AND($E28-TODAY()&lt;30,TODAY()&lt;$E28)</formula>
    </cfRule>
  </conditionalFormatting>
  <conditionalFormatting sqref="C5">
    <cfRule type="expression" dxfId="229" priority="75">
      <formula>AND($C5-TODAY()&lt;30,TODAY()&lt;$C5)</formula>
    </cfRule>
  </conditionalFormatting>
  <conditionalFormatting sqref="C5">
    <cfRule type="cellIs" dxfId="228" priority="76" stopIfTrue="1" operator="lessThan">
      <formula>$B$2</formula>
    </cfRule>
  </conditionalFormatting>
  <conditionalFormatting sqref="C4:C6">
    <cfRule type="expression" dxfId="227" priority="73">
      <formula>AND($C4-TODAY()&lt;30,TODAY()&lt;$C4)</formula>
    </cfRule>
  </conditionalFormatting>
  <conditionalFormatting sqref="C4:C6">
    <cfRule type="cellIs" dxfId="226" priority="74" stopIfTrue="1" operator="lessThan">
      <formula>$B$2</formula>
    </cfRule>
  </conditionalFormatting>
  <conditionalFormatting sqref="C8:C9">
    <cfRule type="expression" dxfId="225" priority="71">
      <formula>AND($C8-TODAY()&lt;30,TODAY()&lt;$C8)</formula>
    </cfRule>
  </conditionalFormatting>
  <conditionalFormatting sqref="C8:C9">
    <cfRule type="cellIs" dxfId="224" priority="72" stopIfTrue="1" operator="lessThan">
      <formula>$B$2</formula>
    </cfRule>
  </conditionalFormatting>
  <conditionalFormatting sqref="C7">
    <cfRule type="expression" dxfId="223" priority="54">
      <formula>AND($C7-TODAY()&lt;30,TODAY()&lt;$C7)</formula>
    </cfRule>
  </conditionalFormatting>
  <conditionalFormatting sqref="C7">
    <cfRule type="cellIs" dxfId="222" priority="55" stopIfTrue="1" operator="lessThan">
      <formula>$B$2</formula>
    </cfRule>
  </conditionalFormatting>
  <conditionalFormatting sqref="C13 C23 C17:C21">
    <cfRule type="expression" dxfId="221" priority="52">
      <formula>AND($C13-TODAY()&lt;30,TODAY()&lt;$C13)</formula>
    </cfRule>
  </conditionalFormatting>
  <conditionalFormatting sqref="C13 C23 C17:C21">
    <cfRule type="cellIs" dxfId="220" priority="53" stopIfTrue="1" operator="lessThan">
      <formula>$B$2</formula>
    </cfRule>
  </conditionalFormatting>
  <conditionalFormatting sqref="F13">
    <cfRule type="cellIs" dxfId="219" priority="51" stopIfTrue="1" operator="lessThan">
      <formula>$B$2</formula>
    </cfRule>
  </conditionalFormatting>
  <conditionalFormatting sqref="F12">
    <cfRule type="cellIs" dxfId="218" priority="43" stopIfTrue="1" operator="lessThan">
      <formula>$B$2</formula>
    </cfRule>
  </conditionalFormatting>
  <conditionalFormatting sqref="B12 E12">
    <cfRule type="cellIs" dxfId="217" priority="42" stopIfTrue="1" operator="equal">
      <formula>"已过期"</formula>
    </cfRule>
  </conditionalFormatting>
  <conditionalFormatting sqref="C12">
    <cfRule type="expression" dxfId="216" priority="40">
      <formula>AND($C12-TODAY()&lt;30,TODAY()&lt;$C12)</formula>
    </cfRule>
  </conditionalFormatting>
  <conditionalFormatting sqref="C12">
    <cfRule type="cellIs" dxfId="215" priority="41" stopIfTrue="1" operator="lessThan">
      <formula>$B$2</formula>
    </cfRule>
  </conditionalFormatting>
  <conditionalFormatting sqref="C22">
    <cfRule type="expression" dxfId="214" priority="32">
      <formula>AND($C22-TODAY()&lt;30,TODAY()&lt;$C22)</formula>
    </cfRule>
  </conditionalFormatting>
  <conditionalFormatting sqref="C22">
    <cfRule type="cellIs" dxfId="213" priority="33" stopIfTrue="1" operator="lessThan">
      <formula>$B$2</formula>
    </cfRule>
  </conditionalFormatting>
  <conditionalFormatting sqref="C16">
    <cfRule type="expression" dxfId="212" priority="30">
      <formula>AND($C16-TODAY()&lt;30,TODAY()&lt;$C16)</formula>
    </cfRule>
  </conditionalFormatting>
  <conditionalFormatting sqref="C16">
    <cfRule type="cellIs" dxfId="211" priority="31" stopIfTrue="1" operator="lessThan">
      <formula>$B$2</formula>
    </cfRule>
  </conditionalFormatting>
  <conditionalFormatting sqref="C16">
    <cfRule type="expression" dxfId="210" priority="28">
      <formula>AND($C16-TODAY()&lt;30,TODAY()&lt;$C16)</formula>
    </cfRule>
  </conditionalFormatting>
  <conditionalFormatting sqref="C16">
    <cfRule type="cellIs" dxfId="209" priority="29" stopIfTrue="1" operator="lessThan">
      <formula>$B$2</formula>
    </cfRule>
  </conditionalFormatting>
  <conditionalFormatting sqref="B16">
    <cfRule type="cellIs" dxfId="208" priority="27" stopIfTrue="1" operator="equal">
      <formula>"已过期"</formula>
    </cfRule>
  </conditionalFormatting>
  <conditionalFormatting sqref="C14:C15">
    <cfRule type="expression" dxfId="207" priority="25">
      <formula>AND($C14-TODAY()&lt;30,TODAY()&lt;$C14)</formula>
    </cfRule>
  </conditionalFormatting>
  <conditionalFormatting sqref="C14:C15">
    <cfRule type="cellIs" dxfId="206" priority="26" stopIfTrue="1" operator="lessThan">
      <formula>$B$2</formula>
    </cfRule>
  </conditionalFormatting>
  <conditionalFormatting sqref="C14">
    <cfRule type="expression" dxfId="205" priority="23">
      <formula>AND($C14-TODAY()&lt;30,TODAY()&lt;$C14)</formula>
    </cfRule>
  </conditionalFormatting>
  <conditionalFormatting sqref="C14">
    <cfRule type="cellIs" dxfId="204" priority="24" stopIfTrue="1" operator="lessThan">
      <formula>$B$2</formula>
    </cfRule>
  </conditionalFormatting>
  <conditionalFormatting sqref="C15">
    <cfRule type="expression" dxfId="203" priority="21">
      <formula>AND($C15-TODAY()&lt;30,TODAY()&lt;$C15)</formula>
    </cfRule>
  </conditionalFormatting>
  <conditionalFormatting sqref="C15">
    <cfRule type="cellIs" dxfId="202" priority="22" stopIfTrue="1" operator="lessThan">
      <formula>$B$2</formula>
    </cfRule>
  </conditionalFormatting>
  <conditionalFormatting sqref="B14">
    <cfRule type="cellIs" dxfId="201" priority="20" stopIfTrue="1" operator="equal">
      <formula>"已过期"</formula>
    </cfRule>
  </conditionalFormatting>
  <conditionalFormatting sqref="B15">
    <cfRule type="cellIs" dxfId="200" priority="19" stopIfTrue="1" operator="equal">
      <formula>"已过期"</formula>
    </cfRule>
  </conditionalFormatting>
  <conditionalFormatting sqref="A15">
    <cfRule type="cellIs" dxfId="199" priority="18" stopIfTrue="1" operator="equal">
      <formula>"已过期"</formula>
    </cfRule>
  </conditionalFormatting>
  <conditionalFormatting sqref="C15">
    <cfRule type="expression" dxfId="198" priority="17">
      <formula>AND($C15-TODAY()&lt;30,TODAY()&lt;$C15)</formula>
    </cfRule>
  </conditionalFormatting>
  <conditionalFormatting sqref="F16">
    <cfRule type="cellIs" dxfId="197" priority="16" stopIfTrue="1" operator="lessThan">
      <formula>$B$2</formula>
    </cfRule>
  </conditionalFormatting>
  <conditionalFormatting sqref="E16">
    <cfRule type="cellIs" dxfId="196" priority="15" stopIfTrue="1" operator="equal">
      <formula>"已过期"</formula>
    </cfRule>
  </conditionalFormatting>
  <conditionalFormatting sqref="E15">
    <cfRule type="cellIs" dxfId="195" priority="14" stopIfTrue="1" operator="equal">
      <formula>"已过期"</formula>
    </cfRule>
  </conditionalFormatting>
  <conditionalFormatting sqref="D15">
    <cfRule type="cellIs" dxfId="194" priority="13" stopIfTrue="1" operator="equal">
      <formula>"已过期"</formula>
    </cfRule>
  </conditionalFormatting>
  <conditionalFormatting sqref="F17">
    <cfRule type="cellIs" dxfId="193" priority="12" stopIfTrue="1" operator="lessThan">
      <formula>$B$2</formula>
    </cfRule>
  </conditionalFormatting>
  <conditionalFormatting sqref="E17">
    <cfRule type="cellIs" dxfId="192" priority="11" stopIfTrue="1" operator="equal">
      <formula>"已过期"</formula>
    </cfRule>
  </conditionalFormatting>
  <conditionalFormatting sqref="E14">
    <cfRule type="cellIs" dxfId="191" priority="10" stopIfTrue="1" operator="equal">
      <formula>"已过期"</formula>
    </cfRule>
  </conditionalFormatting>
  <conditionalFormatting sqref="F14">
    <cfRule type="cellIs" dxfId="190" priority="9" stopIfTrue="1" operator="lessThan">
      <formula>$B$2</formula>
    </cfRule>
  </conditionalFormatting>
  <conditionalFormatting sqref="C10:C11">
    <cfRule type="expression" dxfId="189" priority="5">
      <formula>AND($C10-TODAY()&lt;30,TODAY()&lt;$C10)</formula>
    </cfRule>
  </conditionalFormatting>
  <conditionalFormatting sqref="C10:C11">
    <cfRule type="cellIs" dxfId="188" priority="6" stopIfTrue="1" operator="lessThan">
      <formula>$B$2</formula>
    </cfRule>
  </conditionalFormatting>
  <conditionalFormatting sqref="F29">
    <cfRule type="cellIs" dxfId="187" priority="1" stopIfTrue="1" operator="lessThan">
      <formula>$B$2</formula>
    </cfRule>
  </conditionalFormatting>
  <conditionalFormatting sqref="F29">
    <cfRule type="expression" dxfId="186"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2" sqref="AA22"/>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2540</v>
      </c>
      <c r="R1" s="2543" t="s">
        <v>2534</v>
      </c>
      <c r="S1" s="6" t="s">
        <v>146</v>
      </c>
      <c r="T1" s="7" t="s">
        <v>147</v>
      </c>
      <c r="U1" s="6" t="s">
        <v>148</v>
      </c>
      <c r="V1" s="6" t="s">
        <v>149</v>
      </c>
      <c r="W1" s="1002" t="s">
        <v>874</v>
      </c>
    </row>
    <row r="2" spans="1:23">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2535</v>
      </c>
      <c r="S2" s="9" t="s">
        <v>75</v>
      </c>
      <c r="T2" s="9" t="s">
        <v>76</v>
      </c>
      <c r="U2" s="9" t="s">
        <v>75</v>
      </c>
      <c r="V2" s="9" t="s">
        <v>77</v>
      </c>
      <c r="W2" s="9" t="s">
        <v>875</v>
      </c>
    </row>
    <row r="3" spans="1:23">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2536</v>
      </c>
      <c r="S3" s="9" t="s">
        <v>84</v>
      </c>
      <c r="T3" s="9" t="s">
        <v>85</v>
      </c>
      <c r="U3" s="9" t="s">
        <v>84</v>
      </c>
      <c r="V3" s="9" t="s">
        <v>86</v>
      </c>
      <c r="W3" s="9" t="s">
        <v>876</v>
      </c>
    </row>
    <row r="4" spans="1:23">
      <c r="A4" s="8" t="s">
        <v>87</v>
      </c>
      <c r="B4" s="8" t="s">
        <v>152</v>
      </c>
      <c r="C4" s="1534" t="s">
        <v>1711</v>
      </c>
      <c r="D4" s="9" t="s">
        <v>1992</v>
      </c>
      <c r="E4" s="9" t="s">
        <v>88</v>
      </c>
      <c r="F4" s="9" t="s">
        <v>89</v>
      </c>
      <c r="G4" s="9">
        <v>70</v>
      </c>
      <c r="H4" s="9" t="s">
        <v>90</v>
      </c>
      <c r="I4" s="9" t="s">
        <v>91</v>
      </c>
      <c r="K4" s="9" t="s">
        <v>92</v>
      </c>
      <c r="L4" s="9" t="s">
        <v>92</v>
      </c>
      <c r="M4" s="9" t="s">
        <v>92</v>
      </c>
      <c r="N4" s="9" t="s">
        <v>92</v>
      </c>
      <c r="O4" s="9" t="s">
        <v>92</v>
      </c>
      <c r="P4" s="1004" t="s">
        <v>760</v>
      </c>
      <c r="Q4" s="9" t="s">
        <v>92</v>
      </c>
      <c r="R4" s="1004" t="s">
        <v>2537</v>
      </c>
      <c r="S4" s="9" t="s">
        <v>92</v>
      </c>
      <c r="T4" s="9" t="s">
        <v>93</v>
      </c>
      <c r="U4" s="9" t="s">
        <v>92</v>
      </c>
      <c r="W4" s="9" t="s">
        <v>877</v>
      </c>
    </row>
    <row r="5" spans="1:23">
      <c r="A5" s="8" t="s">
        <v>94</v>
      </c>
      <c r="B5" s="8" t="s">
        <v>153</v>
      </c>
      <c r="C5" s="1534" t="s">
        <v>1712</v>
      </c>
      <c r="F5" s="9" t="s">
        <v>95</v>
      </c>
      <c r="H5" s="9" t="s">
        <v>70</v>
      </c>
      <c r="I5" s="9" t="s">
        <v>96</v>
      </c>
      <c r="K5" s="9" t="s">
        <v>97</v>
      </c>
      <c r="L5" s="9" t="s">
        <v>97</v>
      </c>
      <c r="M5" s="9" t="s">
        <v>97</v>
      </c>
      <c r="N5" s="9" t="s">
        <v>97</v>
      </c>
      <c r="O5" s="9" t="s">
        <v>97</v>
      </c>
      <c r="P5" s="1004" t="s">
        <v>546</v>
      </c>
      <c r="Q5" s="9" t="s">
        <v>97</v>
      </c>
      <c r="R5" s="1004" t="s">
        <v>2538</v>
      </c>
      <c r="S5" s="9" t="s">
        <v>97</v>
      </c>
      <c r="T5" s="9" t="s">
        <v>98</v>
      </c>
      <c r="U5" s="9" t="s">
        <v>97</v>
      </c>
      <c r="W5" s="9" t="s">
        <v>878</v>
      </c>
    </row>
    <row r="6" spans="1:23">
      <c r="A6" s="8" t="s">
        <v>99</v>
      </c>
      <c r="B6" s="1143" t="s">
        <v>1640</v>
      </c>
      <c r="C6" s="1536" t="s">
        <v>1713</v>
      </c>
      <c r="F6" s="9" t="s">
        <v>71</v>
      </c>
      <c r="H6" s="9" t="s">
        <v>72</v>
      </c>
      <c r="I6" s="9" t="s">
        <v>100</v>
      </c>
      <c r="K6" s="9" t="s">
        <v>101</v>
      </c>
      <c r="L6" s="9" t="s">
        <v>101</v>
      </c>
      <c r="M6" s="9" t="s">
        <v>101</v>
      </c>
      <c r="N6" s="9" t="s">
        <v>101</v>
      </c>
      <c r="O6" s="9" t="s">
        <v>101</v>
      </c>
      <c r="P6" s="1004" t="s">
        <v>881</v>
      </c>
      <c r="Q6" s="9" t="s">
        <v>101</v>
      </c>
      <c r="R6" s="1004" t="s">
        <v>2539</v>
      </c>
      <c r="S6" s="9" t="s">
        <v>101</v>
      </c>
      <c r="T6" s="9"/>
      <c r="U6" s="9" t="s">
        <v>101</v>
      </c>
      <c r="W6" s="9" t="s">
        <v>879</v>
      </c>
    </row>
    <row r="7" spans="1:23">
      <c r="A7" s="8" t="s">
        <v>102</v>
      </c>
      <c r="B7" s="8" t="s">
        <v>103</v>
      </c>
      <c r="C7" s="1534" t="s">
        <v>1714</v>
      </c>
      <c r="F7" s="9" t="s">
        <v>154</v>
      </c>
      <c r="H7" s="9" t="s">
        <v>104</v>
      </c>
      <c r="I7" s="9" t="s">
        <v>105</v>
      </c>
    </row>
    <row r="8" spans="1:23">
      <c r="A8" s="8" t="s">
        <v>106</v>
      </c>
      <c r="B8" s="8" t="s">
        <v>107</v>
      </c>
      <c r="C8" s="1534" t="s">
        <v>1715</v>
      </c>
      <c r="F8" s="9" t="s">
        <v>155</v>
      </c>
      <c r="H8" s="9"/>
      <c r="I8" s="9" t="s">
        <v>108</v>
      </c>
    </row>
    <row r="9" spans="1:23">
      <c r="A9" s="8" t="s">
        <v>109</v>
      </c>
      <c r="B9" s="8" t="s">
        <v>156</v>
      </c>
      <c r="C9" s="1534" t="s">
        <v>1716</v>
      </c>
      <c r="F9" s="9" t="s">
        <v>110</v>
      </c>
      <c r="H9" s="9"/>
    </row>
    <row r="10" spans="1:23">
      <c r="A10" s="8" t="s">
        <v>111</v>
      </c>
      <c r="B10" s="8" t="s">
        <v>157</v>
      </c>
      <c r="C10" s="1534" t="s">
        <v>1717</v>
      </c>
      <c r="F10" s="9" t="s">
        <v>6</v>
      </c>
    </row>
    <row r="11" spans="1:23">
      <c r="A11" s="8" t="s">
        <v>112</v>
      </c>
      <c r="B11" s="8" t="s">
        <v>158</v>
      </c>
      <c r="C11" s="1534" t="s">
        <v>1718</v>
      </c>
    </row>
    <row r="12" spans="1:23">
      <c r="A12" s="8" t="s">
        <v>113</v>
      </c>
      <c r="B12" s="8" t="s">
        <v>159</v>
      </c>
      <c r="C12" s="1534" t="s">
        <v>1719</v>
      </c>
    </row>
    <row r="13" spans="1:23">
      <c r="A13" s="8" t="s">
        <v>114</v>
      </c>
      <c r="B13" s="8" t="s">
        <v>160</v>
      </c>
      <c r="C13" s="1534" t="s">
        <v>1720</v>
      </c>
    </row>
    <row r="14" spans="1:23">
      <c r="A14" s="8" t="s">
        <v>115</v>
      </c>
      <c r="B14" s="8" t="s">
        <v>161</v>
      </c>
      <c r="C14" s="1537" t="s">
        <v>1896</v>
      </c>
    </row>
    <row r="15" spans="1:23">
      <c r="A15" s="8" t="s">
        <v>116</v>
      </c>
      <c r="B15" s="8" t="s">
        <v>1681</v>
      </c>
      <c r="C15" s="1537"/>
    </row>
    <row r="16" spans="1:23">
      <c r="A16" s="8" t="s">
        <v>117</v>
      </c>
      <c r="B16" s="8" t="s">
        <v>1682</v>
      </c>
      <c r="C16" s="1537"/>
    </row>
    <row r="17" spans="1:3">
      <c r="A17" s="8" t="s">
        <v>118</v>
      </c>
      <c r="B17" s="8" t="s">
        <v>1683</v>
      </c>
      <c r="C17" s="1537"/>
    </row>
    <row r="18" spans="1:3">
      <c r="A18" s="8" t="s">
        <v>119</v>
      </c>
      <c r="B18" s="3058" t="s">
        <v>2947</v>
      </c>
      <c r="C18" s="1537"/>
    </row>
    <row r="19" spans="1:3">
      <c r="A19" s="8" t="s">
        <v>120</v>
      </c>
      <c r="B19" s="3058" t="s">
        <v>2955</v>
      </c>
      <c r="C19" s="1537"/>
    </row>
    <row r="20" spans="1:3">
      <c r="A20" s="8" t="s">
        <v>121</v>
      </c>
      <c r="B20" s="8" t="s">
        <v>1641</v>
      </c>
      <c r="C20" s="1537"/>
    </row>
    <row r="21" spans="1:3">
      <c r="A21" s="8" t="s">
        <v>122</v>
      </c>
      <c r="B21" s="8" t="s">
        <v>3247</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1942</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西省柳州市阳和工业新区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1984</v>
      </c>
      <c r="B52" s="1750" t="s">
        <v>1985</v>
      </c>
      <c r="C52" s="1748" t="s">
        <v>1986</v>
      </c>
      <c r="D52" s="1748" t="s">
        <v>1987</v>
      </c>
      <c r="E52" s="1749"/>
    </row>
    <row r="53" spans="1:5">
      <c r="A53" s="3315" t="s">
        <v>1988</v>
      </c>
      <c r="B53" s="1748" t="s">
        <v>1994</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商住用地，剩余土地使用年限为的出让国有建设用地使用权价格。</v>
      </c>
      <c r="D53" s="1749"/>
      <c r="E53" s="1749"/>
    </row>
    <row r="54" spans="1:5">
      <c r="A54" s="3315"/>
      <c r="B54" s="1748" t="s">
        <v>1995</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315"/>
      <c r="B55" s="1748" t="s">
        <v>1989</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315"/>
      <c r="B56" s="1748" t="s">
        <v>1990</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315"/>
      <c r="B57" s="1748" t="s">
        <v>1991</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2047</v>
      </c>
      <c r="B58" s="1748" t="s">
        <v>2048</v>
      </c>
      <c r="C58" s="11" t="s">
        <v>2049</v>
      </c>
      <c r="D58" s="1313"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133</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经济技术指标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Sheet0 </vt:lpstr>
      <vt:lpstr>不动产收益法 (2)</vt:lpstr>
      <vt:lpstr>Sheet0 (2)</vt:lpstr>
      <vt:lpstr>存贷款利率</vt:lpstr>
      <vt:lpstr>Sheet1</vt:lpstr>
      <vt:lpstr>Sheet2</vt:lpstr>
      <vt:lpstr>Sheet3</vt:lpstr>
      <vt:lpstr>不动产收益法!Print_Area</vt:lpstr>
      <vt:lpstr>'不动产收益法 (2)'!Print_Area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2019-10-11T05:44:54Z</dcterms:modified>
</cp:coreProperties>
</file>