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F:\2025-1-0642司法-望京街9号\"/>
    </mc:Choice>
  </mc:AlternateContent>
  <xr:revisionPtr revIDLastSave="0" documentId="13_ncr:1_{6220ED90-D71F-4873-B6D3-D1E920D5B688}" xr6:coauthVersionLast="47" xr6:coauthVersionMax="47" xr10:uidLastSave="{00000000-0000-0000-0000-000000000000}"/>
  <bookViews>
    <workbookView xWindow="0" yWindow="0" windowWidth="19200" windowHeight="21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租金案例" sheetId="81" r:id="rId37"/>
    <sheet name="法拍案例" sheetId="80" r:id="rId38"/>
    <sheet name="修正" sheetId="45" state="hidden" r:id="rId39"/>
    <sheet name="容积率修正" sheetId="46" state="hidden" r:id="rId40"/>
    <sheet name="成本法（废）" sheetId="11" state="hidden" r:id="rId41"/>
    <sheet name="因素修正幅度" sheetId="65" r:id="rId42"/>
    <sheet name="区片价（范围）" sheetId="75" state="hidden" r:id="rId43"/>
    <sheet name="建委数据" sheetId="82" r:id="rId44"/>
    <sheet name="Sheet3" sheetId="84" r:id="rId45"/>
    <sheet name="地价-分区" sheetId="79" r:id="rId46"/>
    <sheet name="地价" sheetId="71" r:id="rId47"/>
    <sheet name="区片价" sheetId="44" r:id="rId48"/>
    <sheet name="存贷款利率" sheetId="73" r:id="rId49"/>
    <sheet name="中指法拍" sheetId="83"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9" i="67" l="1"/>
  <c r="C6" i="69" l="1"/>
  <c r="S19" i="84"/>
  <c r="N4" i="84"/>
  <c r="H4" i="84"/>
  <c r="B14" i="74"/>
  <c r="G47" i="33"/>
  <c r="G33" i="33"/>
  <c r="G5" i="33"/>
  <c r="D104" i="33"/>
  <c r="E104" i="33" s="1"/>
  <c r="F104" i="33" s="1"/>
  <c r="C36" i="33"/>
  <c r="I33" i="33"/>
  <c r="E33" i="33"/>
  <c r="C33" i="33"/>
  <c r="I47" i="33"/>
  <c r="E47" i="33"/>
  <c r="N24" i="81"/>
  <c r="M24" i="81"/>
  <c r="N23" i="81"/>
  <c r="M23" i="81"/>
  <c r="I5" i="33"/>
  <c r="E5" i="33"/>
  <c r="W57" i="80"/>
  <c r="N63" i="80"/>
  <c r="N57" i="80"/>
  <c r="D14" i="9"/>
  <c r="Y6" i="1"/>
  <c r="D33" i="43"/>
  <c r="P28" i="1" l="1"/>
  <c r="P26" i="1"/>
  <c r="O26" i="1"/>
  <c r="O28" i="1" s="1"/>
  <c r="F19" i="6"/>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5" i="79"/>
  <c r="AR40" i="79"/>
  <c r="AR41" i="79" s="1"/>
  <c r="AR42" i="79" s="1"/>
  <c r="AR43" i="79" s="1"/>
  <c r="AR44" i="79" s="1"/>
  <c r="AR45" i="79" s="1"/>
  <c r="AR46" i="79" s="1"/>
  <c r="AR47" i="79" s="1"/>
  <c r="AR48" i="79" s="1"/>
  <c r="AR49" i="79" s="1"/>
  <c r="AR50" i="79" s="1"/>
  <c r="AR51" i="79" s="1"/>
  <c r="AR52" i="79" s="1"/>
  <c r="AD38" i="79"/>
  <c r="AD37" i="79"/>
  <c r="Z3" i="79"/>
  <c r="S35" i="79"/>
  <c r="AG35" i="79" s="1"/>
  <c r="S33" i="79"/>
  <c r="AG33" i="79" s="1"/>
  <c r="S34" i="79"/>
  <c r="AG34" i="79" s="1"/>
  <c r="T40" i="79"/>
  <c r="U46" i="79"/>
  <c r="AI46" i="79" s="1"/>
  <c r="AD47" i="79"/>
  <c r="S48" i="79"/>
  <c r="AG48" i="79" s="1"/>
  <c r="AR19" i="79"/>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6" i="71"/>
  <c r="AA3" i="71"/>
  <c r="D63" i="71"/>
  <c r="D75" i="71"/>
  <c r="C74" i="71"/>
  <c r="D74"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J21" i="21"/>
  <c r="C40" i="69"/>
  <c r="F38" i="68"/>
  <c r="E37" i="68"/>
  <c r="F36" i="68"/>
  <c r="F35" i="68"/>
  <c r="F21" i="68"/>
  <c r="C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AZ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AZ580" i="3" s="1"/>
  <c r="BF580" i="3"/>
  <c r="BG580" i="3"/>
  <c r="BH580" i="3"/>
  <c r="BI580" i="3"/>
  <c r="BJ580" i="3"/>
  <c r="BK580" i="3"/>
  <c r="BM580" i="3"/>
  <c r="BN580" i="3"/>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F13" i="39" s="1"/>
  <c r="S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F30" i="34" s="1"/>
  <c r="S30" i="34" s="1"/>
  <c r="B93" i="34"/>
  <c r="B75" i="34"/>
  <c r="B73" i="34"/>
  <c r="B71" i="34"/>
  <c r="B130" i="33"/>
  <c r="B128" i="33"/>
  <c r="B126" i="33"/>
  <c r="F44" i="33" s="1"/>
  <c r="S44" i="33" s="1"/>
  <c r="B98" i="33"/>
  <c r="F31" i="33" s="1"/>
  <c r="B96" i="33"/>
  <c r="B94" i="33"/>
  <c r="B74" i="33"/>
  <c r="J14" i="33" s="1"/>
  <c r="B72" i="33"/>
  <c r="J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H36" i="39"/>
  <c r="AB36" i="39" s="1"/>
  <c r="J35" i="39"/>
  <c r="AC35" i="39" s="1"/>
  <c r="F35" i="39"/>
  <c r="AA35" i="39"/>
  <c r="U9" i="39"/>
  <c r="U30" i="37"/>
  <c r="W31" i="37"/>
  <c r="E103" i="37"/>
  <c r="F103" i="37"/>
  <c r="G103" i="37" s="1"/>
  <c r="H103" i="37" s="1"/>
  <c r="I103" i="37" s="1"/>
  <c r="J103" i="37" s="1"/>
  <c r="K103" i="37" s="1"/>
  <c r="L103" i="37" s="1"/>
  <c r="M103" i="37" s="1"/>
  <c r="F29" i="36"/>
  <c r="AA29" i="36" s="1"/>
  <c r="F16" i="36"/>
  <c r="AA16" i="36" s="1"/>
  <c r="H22" i="35"/>
  <c r="AB22" i="35"/>
  <c r="W28" i="35"/>
  <c r="U31" i="35"/>
  <c r="W22" i="35"/>
  <c r="U34" i="35"/>
  <c r="F36" i="34"/>
  <c r="J35" i="34"/>
  <c r="U34" i="34"/>
  <c r="H39" i="33"/>
  <c r="AB39" i="33" s="1"/>
  <c r="U35"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c r="F15" i="34"/>
  <c r="AA15" i="34" s="1"/>
  <c r="J15" i="34"/>
  <c r="H15" i="34"/>
  <c r="AB15" i="34" s="1"/>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F44" i="34"/>
  <c r="AA44" i="34"/>
  <c r="J10" i="35"/>
  <c r="AC10" i="35" s="1"/>
  <c r="W14" i="21"/>
  <c r="F14" i="21"/>
  <c r="S14" i="21" s="1"/>
  <c r="H14" i="21"/>
  <c r="U14" i="21" s="1"/>
  <c r="H28" i="21"/>
  <c r="AB28" i="21" s="1"/>
  <c r="H30" i="21"/>
  <c r="AB30" i="21" s="1"/>
  <c r="U30" i="2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F13" i="33"/>
  <c r="S13" i="33" s="1"/>
  <c r="J29" i="33"/>
  <c r="H29" i="33"/>
  <c r="U29" i="33"/>
  <c r="F29" i="33"/>
  <c r="S29" i="33" s="1"/>
  <c r="H45" i="33"/>
  <c r="U45" i="33" s="1"/>
  <c r="J45" i="33"/>
  <c r="W45" i="33" s="1"/>
  <c r="F45" i="33"/>
  <c r="AA45" i="33"/>
  <c r="J14" i="34"/>
  <c r="W14" i="34" s="1"/>
  <c r="F14" i="34"/>
  <c r="S14" i="34" s="1"/>
  <c r="H14" i="34"/>
  <c r="H30" i="34"/>
  <c r="H32" i="34"/>
  <c r="F32" i="34"/>
  <c r="AA32" i="34" s="1"/>
  <c r="J32" i="34"/>
  <c r="W32" i="34" s="1"/>
  <c r="F46" i="34"/>
  <c r="AA46" i="34"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AA14" i="33" s="1"/>
  <c r="S14" i="33"/>
  <c r="H30" i="33"/>
  <c r="AB30" i="33" s="1"/>
  <c r="F30" i="33"/>
  <c r="J30" i="33"/>
  <c r="H44" i="33"/>
  <c r="U44" i="33" s="1"/>
  <c r="J44" i="33"/>
  <c r="AC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J35" i="40"/>
  <c r="AC35" i="40" s="1"/>
  <c r="J37" i="40"/>
  <c r="AC37" i="40"/>
  <c r="H13" i="40"/>
  <c r="U13" i="40" s="1"/>
  <c r="J13" i="40"/>
  <c r="W13" i="40" s="1"/>
  <c r="F13" i="40"/>
  <c r="AA13" i="40" s="1"/>
  <c r="F14" i="37"/>
  <c r="S14" i="37"/>
  <c r="F27" i="37"/>
  <c r="AA27" i="37" s="1"/>
  <c r="J13" i="39"/>
  <c r="W13" i="39" s="1"/>
  <c r="H13" i="39"/>
  <c r="U13" i="39" s="1"/>
  <c r="AB14" i="40"/>
  <c r="J14" i="40"/>
  <c r="W14" i="40" s="1"/>
  <c r="F14" i="40"/>
  <c r="AA14" i="40" s="1"/>
  <c r="J14" i="37"/>
  <c r="J27" i="37"/>
  <c r="AC27" i="37"/>
  <c r="AA44" i="33"/>
  <c r="U46" i="33"/>
  <c r="J36" i="37"/>
  <c r="AC36" i="37"/>
  <c r="J10" i="36"/>
  <c r="AC10" i="36" s="1"/>
  <c r="AA14" i="37"/>
  <c r="W31" i="34"/>
  <c r="S11" i="36"/>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76" i="3"/>
  <c r="G572" i="3"/>
  <c r="G568" i="3"/>
  <c r="G564" i="3"/>
  <c r="G560" i="3"/>
  <c r="G554" i="3"/>
  <c r="G550" i="3"/>
  <c r="BL580" i="3"/>
  <c r="BL576" i="3"/>
  <c r="BL568" i="3"/>
  <c r="BL564"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BA582" i="3"/>
  <c r="AZ582" i="3" s="1"/>
  <c r="BA576" i="3"/>
  <c r="BA574" i="3"/>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3" i="3"/>
  <c r="BA577"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7" i="3"/>
  <c r="G575" i="3"/>
  <c r="G573" i="3"/>
  <c r="G569" i="3"/>
  <c r="G567" i="3"/>
  <c r="G565" i="3"/>
  <c r="G563" i="3"/>
  <c r="G561" i="3"/>
  <c r="BL558" i="3"/>
  <c r="BA557" i="3"/>
  <c r="AZ557" i="3" s="1"/>
  <c r="AC557" i="3"/>
  <c r="G557" i="3" s="1"/>
  <c r="BQ557" i="3"/>
  <c r="BL557" i="3" s="1"/>
  <c r="BQ583" i="3"/>
  <c r="BL583" i="3" s="1"/>
  <c r="BQ581" i="3"/>
  <c r="BQ579" i="3"/>
  <c r="BL579" i="3"/>
  <c r="BQ577" i="3"/>
  <c r="BL577" i="3" s="1"/>
  <c r="AZ577" i="3" s="1"/>
  <c r="BQ575" i="3"/>
  <c r="BQ573" i="3"/>
  <c r="BL573" i="3" s="1"/>
  <c r="BQ571" i="3"/>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AC36" i="34"/>
  <c r="AA13" i="33"/>
  <c r="AC45" i="33"/>
  <c r="W44" i="33"/>
  <c r="U19" i="21"/>
  <c r="W44" i="21"/>
  <c r="F43" i="33"/>
  <c r="AA43" i="33" s="1"/>
  <c r="W15" i="34"/>
  <c r="AC15" i="34"/>
  <c r="W16" i="35"/>
  <c r="W40" i="37"/>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8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69"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8" i="3"/>
  <c r="AZ259" i="3"/>
  <c r="AZ271" i="3"/>
  <c r="AZ280" i="3"/>
  <c r="AZ72"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D93" i="9"/>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BA14" i="3"/>
  <c r="AZ367" i="3"/>
  <c r="AZ224" i="3"/>
  <c r="AZ250" i="3"/>
  <c r="AZ157" i="3"/>
  <c r="B12" i="1"/>
  <c r="E12" i="1" s="1"/>
  <c r="B10" i="1"/>
  <c r="E10" i="1" s="1"/>
  <c r="AZ88" i="3"/>
  <c r="K12" i="1"/>
  <c r="M12" i="1" s="1"/>
  <c r="S13" i="1"/>
  <c r="AR13" i="1" s="1"/>
  <c r="R13" i="1"/>
  <c r="J51" i="67"/>
  <c r="C42" i="1"/>
  <c r="C24" i="12" s="1"/>
  <c r="AC34" i="33"/>
  <c r="AA34" i="33"/>
  <c r="B41" i="1"/>
  <c r="F48" i="9" s="1"/>
  <c r="O52" i="9" s="1"/>
  <c r="AB37" i="40"/>
  <c r="S35" i="40"/>
  <c r="U35" i="40"/>
  <c r="W38" i="40"/>
  <c r="AA32" i="40"/>
  <c r="S17"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AB14" i="36"/>
  <c r="U22" i="36"/>
  <c r="S16" i="36"/>
  <c r="AA25" i="36"/>
  <c r="S24" i="36"/>
  <c r="U24" i="36"/>
  <c r="U23"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S19" i="37" s="1"/>
  <c r="F79" i="37"/>
  <c r="G79" i="37" s="1"/>
  <c r="F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F36" i="33"/>
  <c r="G111" i="33"/>
  <c r="G108" i="33"/>
  <c r="H108" i="33" s="1"/>
  <c r="I108" i="33" s="1"/>
  <c r="J108" i="33" s="1"/>
  <c r="K108" i="33" s="1"/>
  <c r="L108" i="33" s="1"/>
  <c r="M108" i="33" s="1"/>
  <c r="J35" i="33"/>
  <c r="S37" i="33"/>
  <c r="AA37" i="33"/>
  <c r="S39" i="33"/>
  <c r="S46" i="33"/>
  <c r="F91" i="33"/>
  <c r="H27" i="33"/>
  <c r="AB27" i="33" s="1"/>
  <c r="J23" i="33"/>
  <c r="AC23" i="33" s="1"/>
  <c r="F85" i="33"/>
  <c r="H23" i="33"/>
  <c r="AB23" i="33" s="1"/>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F34" i="67"/>
  <c r="F62" i="67" s="1"/>
  <c r="M20" i="67"/>
  <c r="F34" i="15"/>
  <c r="F62" i="15" s="1"/>
  <c r="G13" i="3"/>
  <c r="BA13" i="3"/>
  <c r="BL17" i="3"/>
  <c r="AZ17" i="3" s="1"/>
  <c r="BL13" i="3"/>
  <c r="J56" i="9"/>
  <c r="J57" i="9" s="1"/>
  <c r="J59" i="9" s="1"/>
  <c r="J61" i="9" s="1"/>
  <c r="U29" i="34"/>
  <c r="E5" i="6"/>
  <c r="E32" i="6"/>
  <c r="G1" i="68"/>
  <c r="E19" i="69"/>
  <c r="E19" i="68"/>
  <c r="E19" i="11"/>
  <c r="E1" i="73"/>
  <c r="G22" i="69"/>
  <c r="G22" i="68"/>
  <c r="G26" i="12"/>
  <c r="G22" i="11"/>
  <c r="C6" i="43"/>
  <c r="B19" i="53"/>
  <c r="B37" i="72" s="1"/>
  <c r="C7" i="35"/>
  <c r="C48" i="35" s="1"/>
  <c r="D48" i="35" s="1"/>
  <c r="C7" i="33"/>
  <c r="M47" i="9"/>
  <c r="G23" i="43"/>
  <c r="C23" i="43" s="1"/>
  <c r="A4" i="51"/>
  <c r="B6" i="72" s="1"/>
  <c r="L20" i="6"/>
  <c r="K11" i="1"/>
  <c r="M11" i="1" s="1"/>
  <c r="O11" i="1" s="1"/>
  <c r="B9" i="1"/>
  <c r="E9" i="1" s="1"/>
  <c r="K7" i="1"/>
  <c r="M7" i="1" s="1"/>
  <c r="O7" i="1" s="1"/>
  <c r="P7" i="1" s="1"/>
  <c r="G1" i="67"/>
  <c r="W23" i="40"/>
  <c r="U32" i="40"/>
  <c r="AB31" i="40"/>
  <c r="S37" i="40"/>
  <c r="AB28" i="40"/>
  <c r="W28" i="40"/>
  <c r="W34" i="40"/>
  <c r="W19" i="40"/>
  <c r="S36" i="40"/>
  <c r="W37" i="40"/>
  <c r="AC14" i="40"/>
  <c r="S13" i="40"/>
  <c r="AA15" i="40"/>
  <c r="U11" i="40"/>
  <c r="AB13" i="40"/>
  <c r="U15" i="40"/>
  <c r="AB17" i="40"/>
  <c r="U8" i="40"/>
  <c r="S8" i="40"/>
  <c r="AC41" i="39"/>
  <c r="U42" i="39"/>
  <c r="U41" i="39"/>
  <c r="AB13" i="39"/>
  <c r="AA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AC37" i="33"/>
  <c r="W46" i="33"/>
  <c r="U39" i="33"/>
  <c r="U38" i="33"/>
  <c r="AB34" i="33"/>
  <c r="AB44" i="33"/>
  <c r="S30" i="33"/>
  <c r="AA30" i="33"/>
  <c r="AC14" i="33"/>
  <c r="W14" i="33"/>
  <c r="AC30" i="33"/>
  <c r="W30" i="33"/>
  <c r="S31" i="33"/>
  <c r="AA31" i="33"/>
  <c r="W13" i="33"/>
  <c r="AC13" i="33"/>
  <c r="U15" i="33"/>
  <c r="S11" i="33"/>
  <c r="U37"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W32" i="39" s="1"/>
  <c r="H32" i="39"/>
  <c r="AB32" i="39" s="1"/>
  <c r="AA32" i="39"/>
  <c r="S32" i="39"/>
  <c r="AB21" i="39"/>
  <c r="AA21" i="39"/>
  <c r="S21" i="39"/>
  <c r="AC17" i="37"/>
  <c r="J19" i="37"/>
  <c r="W19" i="37" s="1"/>
  <c r="G75" i="37"/>
  <c r="AA19" i="37"/>
  <c r="J23" i="37"/>
  <c r="AC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F23" i="33"/>
  <c r="G85" i="33"/>
  <c r="H19" i="33"/>
  <c r="U19" i="33" s="1"/>
  <c r="H17" i="33"/>
  <c r="U17" i="33" s="1"/>
  <c r="F17" i="33"/>
  <c r="S17" i="33" s="1"/>
  <c r="S37" i="21"/>
  <c r="AA23" i="21"/>
  <c r="J23" i="21"/>
  <c r="F85" i="21"/>
  <c r="G85" i="21" s="1"/>
  <c r="H23" i="21"/>
  <c r="U23" i="21" s="1"/>
  <c r="S13" i="21"/>
  <c r="AP7" i="1"/>
  <c r="AB45" i="21"/>
  <c r="AB9" i="21"/>
  <c r="AA32" i="21"/>
  <c r="S32" i="21"/>
  <c r="W9" i="21"/>
  <c r="AB32" i="21"/>
  <c r="U32" i="21"/>
  <c r="A18" i="62"/>
  <c r="B64" i="72" s="1"/>
  <c r="U32" i="39"/>
  <c r="AC32" i="39"/>
  <c r="J63" i="37"/>
  <c r="K63" i="37" s="1"/>
  <c r="L63" i="37" s="1"/>
  <c r="M63" i="37" s="1"/>
  <c r="J11" i="37"/>
  <c r="AC11" i="37" s="1"/>
  <c r="J11" i="34"/>
  <c r="W11" i="34" s="1"/>
  <c r="AC23" i="21"/>
  <c r="W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E13" i="76"/>
  <c r="E11" i="76"/>
  <c r="M6" i="67"/>
  <c r="E10" i="76"/>
  <c r="F37" i="67"/>
  <c r="F8" i="67"/>
  <c r="B10" i="76"/>
  <c r="F3" i="73"/>
  <c r="F5" i="73"/>
  <c r="F4" i="73"/>
  <c r="E7" i="76"/>
  <c r="E12" i="76"/>
  <c r="F20" i="31"/>
  <c r="B13" i="76"/>
  <c r="F26" i="67"/>
  <c r="E8" i="76"/>
  <c r="B12" i="76"/>
  <c r="B9" i="76"/>
  <c r="F38" i="67"/>
  <c r="B11" i="76"/>
  <c r="E2" i="68"/>
  <c r="F6" i="73"/>
  <c r="M9" i="67"/>
  <c r="F7" i="73"/>
  <c r="C76" i="67"/>
  <c r="D34" i="9"/>
  <c r="AO13" i="1"/>
  <c r="J15" i="67"/>
  <c r="M22" i="67"/>
  <c r="E9" i="76"/>
  <c r="B8" i="76"/>
  <c r="D35" i="9"/>
  <c r="B7" i="76"/>
  <c r="E2" i="69"/>
  <c r="C18" i="9" l="1"/>
  <c r="D18" i="9" s="1"/>
  <c r="F6" i="1"/>
  <c r="G6" i="1" s="1"/>
  <c r="J32" i="33"/>
  <c r="AC32" i="33" s="1"/>
  <c r="S32" i="33"/>
  <c r="U32" i="33"/>
  <c r="W43" i="33"/>
  <c r="S43" i="33"/>
  <c r="S42" i="33"/>
  <c r="W42" i="33"/>
  <c r="U42" i="33"/>
  <c r="D52" i="43"/>
  <c r="D55" i="43"/>
  <c r="D50" i="43"/>
  <c r="D58" i="43"/>
  <c r="S33" i="33"/>
  <c r="H25" i="33"/>
  <c r="AB25" i="33" s="1"/>
  <c r="U33" i="33"/>
  <c r="AB36" i="33"/>
  <c r="W33" i="33"/>
  <c r="S28" i="33"/>
  <c r="U27" i="33"/>
  <c r="S27" i="33"/>
  <c r="AC26" i="33"/>
  <c r="AC11" i="33"/>
  <c r="U11" i="33"/>
  <c r="J25" i="33"/>
  <c r="W25" i="33" s="1"/>
  <c r="F25" i="33"/>
  <c r="S25" i="33" s="1"/>
  <c r="U25" i="33"/>
  <c r="U23" i="33"/>
  <c r="AC21" i="33"/>
  <c r="AB21" i="33"/>
  <c r="AA19" i="33"/>
  <c r="W19" i="33"/>
  <c r="AA17" i="33"/>
  <c r="W17" i="33"/>
  <c r="H9" i="33"/>
  <c r="J9" i="33"/>
  <c r="W8" i="33"/>
  <c r="A24" i="51"/>
  <c r="B18" i="72" s="1"/>
  <c r="F32" i="67"/>
  <c r="F60" i="67" s="1"/>
  <c r="F28" i="67"/>
  <c r="F30" i="11"/>
  <c r="C48" i="11" s="1"/>
  <c r="F54" i="9"/>
  <c r="F32" i="15"/>
  <c r="F60" i="15" s="1"/>
  <c r="F52" i="9"/>
  <c r="F30" i="68"/>
  <c r="F48" i="68" s="1"/>
  <c r="M18" i="15"/>
  <c r="M18" i="67"/>
  <c r="D68" i="9"/>
  <c r="F30" i="69"/>
  <c r="F48" i="69" s="1"/>
  <c r="F31" i="12"/>
  <c r="C31" i="12" s="1"/>
  <c r="G1" i="69"/>
  <c r="K6" i="1"/>
  <c r="AP6" i="1" s="1"/>
  <c r="G1" i="15"/>
  <c r="B6" i="1"/>
  <c r="E6" i="1" s="1"/>
  <c r="F29" i="6"/>
  <c r="C7" i="34"/>
  <c r="J1" i="73"/>
  <c r="C7" i="40"/>
  <c r="C63" i="40" s="1"/>
  <c r="C7" i="39"/>
  <c r="C67" i="39" s="1"/>
  <c r="C69" i="39" s="1"/>
  <c r="C7" i="21"/>
  <c r="AA27" i="40"/>
  <c r="AA43" i="34"/>
  <c r="S43" i="34"/>
  <c r="W27" i="33"/>
  <c r="D121" i="9"/>
  <c r="D7" i="52" s="1"/>
  <c r="D6" i="52"/>
  <c r="AA36" i="33"/>
  <c r="S36" i="33"/>
  <c r="S23" i="37"/>
  <c r="AA23" i="37"/>
  <c r="AZ374" i="3"/>
  <c r="AZ318" i="3"/>
  <c r="AA17" i="37"/>
  <c r="S17" i="37"/>
  <c r="AZ572" i="3"/>
  <c r="AB19" i="33"/>
  <c r="AZ328" i="3"/>
  <c r="AB23" i="21"/>
  <c r="W23" i="37"/>
  <c r="AA35" i="33"/>
  <c r="S40" i="34"/>
  <c r="AA40" i="34"/>
  <c r="AC27" i="40"/>
  <c r="W27" i="40"/>
  <c r="AB32" i="37"/>
  <c r="U32" i="37"/>
  <c r="AZ378" i="3"/>
  <c r="AZ375" i="3"/>
  <c r="AB26" i="37"/>
  <c r="U26" i="37"/>
  <c r="AC33" i="34"/>
  <c r="W33" i="34"/>
  <c r="S11" i="39"/>
  <c r="AA11" i="39"/>
  <c r="W17" i="21"/>
  <c r="AC25" i="39"/>
  <c r="AB15" i="21"/>
  <c r="AA39" i="39"/>
  <c r="U33" i="34"/>
  <c r="AA23" i="39"/>
  <c r="AZ390" i="3"/>
  <c r="AZ351" i="3"/>
  <c r="AZ171" i="3"/>
  <c r="AZ341" i="3"/>
  <c r="AZ306" i="3"/>
  <c r="AZ584" i="3"/>
  <c r="AZ513" i="3"/>
  <c r="AZ575" i="3"/>
  <c r="AZ574" i="3"/>
  <c r="AZ502" i="3"/>
  <c r="BL585" i="3"/>
  <c r="AZ585" i="3" s="1"/>
  <c r="B72" i="43"/>
  <c r="C15" i="39"/>
  <c r="J12" i="34"/>
  <c r="H12" i="34"/>
  <c r="H25" i="37"/>
  <c r="F25" i="37"/>
  <c r="U8" i="39"/>
  <c r="AB8" i="39"/>
  <c r="AC31" i="40"/>
  <c r="W31" i="40"/>
  <c r="AB38" i="21"/>
  <c r="AZ531" i="3"/>
  <c r="AZ573" i="3"/>
  <c r="AZ583" i="3"/>
  <c r="AZ576" i="3"/>
  <c r="U36" i="39"/>
  <c r="F25" i="35"/>
  <c r="H31" i="33"/>
  <c r="H13" i="33"/>
  <c r="U13" i="33" s="1"/>
  <c r="AB12" i="36"/>
  <c r="S38" i="40"/>
  <c r="F36" i="39"/>
  <c r="F26" i="33"/>
  <c r="H26" i="33"/>
  <c r="AB31" i="36"/>
  <c r="U31" i="36"/>
  <c r="S9" i="40"/>
  <c r="AA9" i="40"/>
  <c r="AA31" i="35"/>
  <c r="S31" i="35"/>
  <c r="AA15" i="21"/>
  <c r="U38" i="37"/>
  <c r="S24" i="35"/>
  <c r="S31" i="40"/>
  <c r="U23" i="37"/>
  <c r="W14" i="36"/>
  <c r="S23" i="40"/>
  <c r="AC36" i="40"/>
  <c r="AZ14" i="3"/>
  <c r="AZ388" i="3"/>
  <c r="AZ345" i="3"/>
  <c r="AZ334" i="3"/>
  <c r="AZ372" i="3"/>
  <c r="AZ347" i="3"/>
  <c r="AZ337" i="3"/>
  <c r="AZ123" i="3"/>
  <c r="AZ376" i="3"/>
  <c r="AZ309" i="3"/>
  <c r="AC12" i="37"/>
  <c r="W47" i="34"/>
  <c r="AZ515" i="3"/>
  <c r="AZ523" i="3"/>
  <c r="AZ533" i="3"/>
  <c r="AZ547" i="3"/>
  <c r="AZ561" i="3"/>
  <c r="AZ569" i="3"/>
  <c r="AZ571" i="3"/>
  <c r="AZ524" i="3"/>
  <c r="AC28" i="21"/>
  <c r="H33" i="40"/>
  <c r="J11" i="35"/>
  <c r="H46" i="34"/>
  <c r="J30" i="34"/>
  <c r="S28" i="34"/>
  <c r="W8" i="34"/>
  <c r="AB39" i="40"/>
  <c r="J33" i="36"/>
  <c r="AC33" i="36" s="1"/>
  <c r="W25" i="37"/>
  <c r="G585" i="3"/>
  <c r="BL587" i="3"/>
  <c r="AZ587" i="3" s="1"/>
  <c r="BL586" i="3"/>
  <c r="AZ586" i="3" s="1"/>
  <c r="J43" i="39"/>
  <c r="H43" i="39"/>
  <c r="S42" i="39"/>
  <c r="AZ539" i="3"/>
  <c r="AZ529" i="3"/>
  <c r="AZ537" i="3"/>
  <c r="AZ518" i="3"/>
  <c r="AZ526" i="3"/>
  <c r="AZ546" i="3"/>
  <c r="AZ564" i="3"/>
  <c r="AB45" i="33"/>
  <c r="F33" i="40"/>
  <c r="H11" i="35"/>
  <c r="AB11" i="35" s="1"/>
  <c r="J31" i="33"/>
  <c r="F28" i="21"/>
  <c r="F12" i="36"/>
  <c r="W28" i="36"/>
  <c r="W40" i="39"/>
  <c r="J27" i="21"/>
  <c r="F27" i="21"/>
  <c r="F12" i="34"/>
  <c r="S12" i="34" s="1"/>
  <c r="F9" i="34"/>
  <c r="AA9" i="34" s="1"/>
  <c r="J9" i="34"/>
  <c r="H36" i="35"/>
  <c r="J12" i="36"/>
  <c r="J24" i="36"/>
  <c r="J39" i="37"/>
  <c r="F39" i="37"/>
  <c r="S39" i="37" s="1"/>
  <c r="H44" i="39"/>
  <c r="J44" i="39"/>
  <c r="G551" i="3"/>
  <c r="BL550" i="3"/>
  <c r="G542" i="3"/>
  <c r="AZ407" i="3"/>
  <c r="AZ400" i="3"/>
  <c r="AZ402" i="3"/>
  <c r="AZ413" i="3"/>
  <c r="BL15" i="3"/>
  <c r="AZ15" i="3" s="1"/>
  <c r="BA398" i="3"/>
  <c r="AZ398" i="3" s="1"/>
  <c r="BA399" i="3"/>
  <c r="AZ399" i="3" s="1"/>
  <c r="BL401" i="3"/>
  <c r="BA406" i="3"/>
  <c r="AZ406" i="3" s="1"/>
  <c r="BL408" i="3"/>
  <c r="BL412" i="3"/>
  <c r="AZ422" i="3"/>
  <c r="AZ443" i="3"/>
  <c r="AZ487" i="3"/>
  <c r="G574" i="3"/>
  <c r="BL16" i="3"/>
  <c r="AZ16" i="3" s="1"/>
  <c r="BA401" i="3"/>
  <c r="G404" i="3"/>
  <c r="G410" i="3"/>
  <c r="BL410" i="3"/>
  <c r="AZ410" i="3" s="1"/>
  <c r="G412" i="3"/>
  <c r="BA431" i="3"/>
  <c r="AZ469" i="3"/>
  <c r="G587" i="3"/>
  <c r="J12" i="35"/>
  <c r="BA551" i="3"/>
  <c r="AZ551" i="3" s="1"/>
  <c r="BA550" i="3"/>
  <c r="AZ550" i="3" s="1"/>
  <c r="BL548" i="3"/>
  <c r="AZ548" i="3" s="1"/>
  <c r="G398" i="3"/>
  <c r="BL400" i="3"/>
  <c r="G403" i="3"/>
  <c r="BA404" i="3"/>
  <c r="AZ404" i="3" s="1"/>
  <c r="BA405" i="3"/>
  <c r="BL409" i="3"/>
  <c r="AZ419" i="3"/>
  <c r="AZ444" i="3"/>
  <c r="AZ476"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BA335" i="3"/>
  <c r="AZ335" i="3" s="1"/>
  <c r="BA339" i="3"/>
  <c r="AZ339" i="3" s="1"/>
  <c r="BA348" i="3"/>
  <c r="BA350" i="3"/>
  <c r="AZ350" i="3" s="1"/>
  <c r="BA354" i="3"/>
  <c r="BA366" i="3"/>
  <c r="AZ366" i="3" s="1"/>
  <c r="BL375" i="3"/>
  <c r="BA386" i="3"/>
  <c r="AZ386" i="3" s="1"/>
  <c r="BL215" i="3"/>
  <c r="BA222" i="3"/>
  <c r="AZ222" i="3" s="1"/>
  <c r="BL245" i="3"/>
  <c r="BL257" i="3"/>
  <c r="BL258" i="3"/>
  <c r="AZ258" i="3" s="1"/>
  <c r="G261" i="3"/>
  <c r="BA263" i="3"/>
  <c r="BL265" i="3"/>
  <c r="G271" i="3"/>
  <c r="BA276" i="3"/>
  <c r="BA278" i="3"/>
  <c r="AZ278" i="3" s="1"/>
  <c r="BA283" i="3"/>
  <c r="AZ283" i="3" s="1"/>
  <c r="G286" i="3"/>
  <c r="BL286" i="3"/>
  <c r="AZ286" i="3" s="1"/>
  <c r="G289" i="3"/>
  <c r="G295" i="3"/>
  <c r="BA296" i="3"/>
  <c r="BA298" i="3"/>
  <c r="AZ298" i="3" s="1"/>
  <c r="BA116" i="3"/>
  <c r="AZ116" i="3" s="1"/>
  <c r="BA121" i="3"/>
  <c r="BL121" i="3"/>
  <c r="BL403" i="3"/>
  <c r="AZ403" i="3" s="1"/>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88" i="3"/>
  <c r="BA396" i="3"/>
  <c r="BA208" i="3"/>
  <c r="AZ208" i="3" s="1"/>
  <c r="BL213" i="3"/>
  <c r="BA226" i="3"/>
  <c r="BA237" i="3"/>
  <c r="AZ237" i="3" s="1"/>
  <c r="AZ301" i="3"/>
  <c r="BL122"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AZ478" i="3" s="1"/>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L216" i="3"/>
  <c r="BA223" i="3"/>
  <c r="G228" i="3"/>
  <c r="BL228" i="3"/>
  <c r="AZ228" i="3" s="1"/>
  <c r="BA230" i="3"/>
  <c r="AZ230" i="3" s="1"/>
  <c r="BL234" i="3"/>
  <c r="G238" i="3"/>
  <c r="BA240" i="3"/>
  <c r="AZ240" i="3" s="1"/>
  <c r="BA242" i="3"/>
  <c r="AZ242" i="3" s="1"/>
  <c r="BA245" i="3"/>
  <c r="AZ245" i="3" s="1"/>
  <c r="BL252" i="3"/>
  <c r="G254" i="3"/>
  <c r="BA257" i="3"/>
  <c r="AZ257" i="3" s="1"/>
  <c r="BA260" i="3"/>
  <c r="AZ260" i="3" s="1"/>
  <c r="BA262" i="3"/>
  <c r="AZ262" i="3" s="1"/>
  <c r="BA265" i="3"/>
  <c r="AZ265" i="3" s="1"/>
  <c r="BA270" i="3"/>
  <c r="BL272" i="3"/>
  <c r="G273" i="3"/>
  <c r="BA274" i="3"/>
  <c r="BL274" i="3"/>
  <c r="BA279" i="3"/>
  <c r="G292" i="3"/>
  <c r="BA294" i="3"/>
  <c r="BL301" i="3"/>
  <c r="BL302" i="3"/>
  <c r="BA114" i="3"/>
  <c r="BL123" i="3"/>
  <c r="BA216" i="3"/>
  <c r="AZ216" i="3" s="1"/>
  <c r="BA218" i="3"/>
  <c r="AZ218" i="3" s="1"/>
  <c r="BL218" i="3"/>
  <c r="BL220" i="3"/>
  <c r="BL221" i="3"/>
  <c r="BL223" i="3"/>
  <c r="BA227" i="3"/>
  <c r="AZ227" i="3" s="1"/>
  <c r="BA229" i="3"/>
  <c r="BL229" i="3"/>
  <c r="BL231" i="3"/>
  <c r="G233" i="3"/>
  <c r="BL233" i="3"/>
  <c r="AZ233" i="3" s="1"/>
  <c r="G235" i="3"/>
  <c r="BL235" i="3"/>
  <c r="AZ235" i="3" s="1"/>
  <c r="BL236" i="3"/>
  <c r="BL238" i="3"/>
  <c r="AZ238" i="3" s="1"/>
  <c r="BL243" i="3"/>
  <c r="AZ243" i="3" s="1"/>
  <c r="G244" i="3"/>
  <c r="BA247" i="3"/>
  <c r="BL247" i="3"/>
  <c r="BA249" i="3"/>
  <c r="BL249" i="3"/>
  <c r="BA251" i="3"/>
  <c r="AZ251" i="3" s="1"/>
  <c r="BL251" i="3"/>
  <c r="BA253" i="3"/>
  <c r="BL260" i="3"/>
  <c r="G262" i="3"/>
  <c r="BL263" i="3"/>
  <c r="G264" i="3"/>
  <c r="BL270" i="3"/>
  <c r="BA272" i="3"/>
  <c r="BL275" i="3"/>
  <c r="AZ275" i="3" s="1"/>
  <c r="G277" i="3"/>
  <c r="BL285" i="3"/>
  <c r="BL287" i="3"/>
  <c r="BA290" i="3"/>
  <c r="G297" i="3"/>
  <c r="BL299" i="3"/>
  <c r="BL113" i="3"/>
  <c r="BL115" i="3"/>
  <c r="AZ115" i="3" s="1"/>
  <c r="BA118" i="3"/>
  <c r="BL118" i="3"/>
  <c r="BA122" i="3"/>
  <c r="AZ122" i="3" s="1"/>
  <c r="BL125" i="3"/>
  <c r="AZ125" i="3" s="1"/>
  <c r="BL126" i="3"/>
  <c r="BA144" i="3"/>
  <c r="AZ144"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24" i="3"/>
  <c r="AZ124" i="3" s="1"/>
  <c r="BA126" i="3"/>
  <c r="AZ126" i="3" s="1"/>
  <c r="BA129" i="3"/>
  <c r="BL133" i="3"/>
  <c r="AZ133" i="3" s="1"/>
  <c r="BL139" i="3"/>
  <c r="AZ139" i="3" s="1"/>
  <c r="G140" i="3"/>
  <c r="BL141" i="3"/>
  <c r="BL143" i="3"/>
  <c r="AZ143" i="3" s="1"/>
  <c r="G146" i="3"/>
  <c r="G147" i="3"/>
  <c r="G154"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AZ40" i="3" s="1"/>
  <c r="BL41" i="3"/>
  <c r="BL45" i="3"/>
  <c r="BA48" i="3"/>
  <c r="BA49" i="3"/>
  <c r="AZ49" i="3" s="1"/>
  <c r="BA51" i="3"/>
  <c r="G55" i="3"/>
  <c r="BL56" i="3"/>
  <c r="BA58" i="3"/>
  <c r="AZ58" i="3" s="1"/>
  <c r="BL59" i="3"/>
  <c r="BL60" i="3"/>
  <c r="BA61" i="3"/>
  <c r="BA68" i="3"/>
  <c r="BA73" i="3"/>
  <c r="BA94" i="3"/>
  <c r="AZ94" i="3" s="1"/>
  <c r="P65" i="71"/>
  <c r="P66" i="71"/>
  <c r="Y26" i="71"/>
  <c r="Z26" i="71" s="1"/>
  <c r="C28" i="71"/>
  <c r="Y28" i="71"/>
  <c r="Z28" i="71" s="1"/>
  <c r="Y25" i="71"/>
  <c r="Z25" i="71" s="1"/>
  <c r="Y35" i="71"/>
  <c r="Z35" i="71" s="1"/>
  <c r="Y37" i="71"/>
  <c r="Z37" i="71" s="1"/>
  <c r="X36" i="71"/>
  <c r="X35" i="71"/>
  <c r="X38" i="71"/>
  <c r="C47" i="71"/>
  <c r="D47" i="71" s="1"/>
  <c r="D46" i="71"/>
  <c r="BA37" i="3"/>
  <c r="G39" i="3"/>
  <c r="BL39" i="3"/>
  <c r="AZ39" i="3" s="1"/>
  <c r="G43" i="3"/>
  <c r="G44" i="3"/>
  <c r="BA45" i="3"/>
  <c r="AZ45" i="3" s="1"/>
  <c r="BA46" i="3"/>
  <c r="BL49" i="3"/>
  <c r="BL50" i="3"/>
  <c r="AZ50" i="3" s="1"/>
  <c r="BL51" i="3"/>
  <c r="G53" i="3"/>
  <c r="BL53" i="3"/>
  <c r="AZ53" i="3" s="1"/>
  <c r="BA56" i="3"/>
  <c r="BA57" i="3"/>
  <c r="AZ57" i="3" s="1"/>
  <c r="BL58" i="3"/>
  <c r="G60" i="3"/>
  <c r="BA60" i="3"/>
  <c r="AZ60" i="3" s="1"/>
  <c r="BA63" i="3"/>
  <c r="AZ63" i="3" s="1"/>
  <c r="BA66" i="3"/>
  <c r="AZ66" i="3" s="1"/>
  <c r="BA71" i="3"/>
  <c r="AZ71" i="3" s="1"/>
  <c r="G76" i="3"/>
  <c r="BL77" i="3"/>
  <c r="AZ77" i="3" s="1"/>
  <c r="BA79" i="3"/>
  <c r="AZ79" i="3" s="1"/>
  <c r="BL83" i="3"/>
  <c r="G88" i="3"/>
  <c r="BA90" i="3"/>
  <c r="G98" i="3"/>
  <c r="BA105" i="3"/>
  <c r="BA111" i="3"/>
  <c r="P27" i="6"/>
  <c r="AB32" i="71"/>
  <c r="AA34" i="71"/>
  <c r="AA30" i="71"/>
  <c r="D56" i="71"/>
  <c r="T56" i="71"/>
  <c r="C60" i="71"/>
  <c r="D59" i="71"/>
  <c r="N67" i="71"/>
  <c r="B66" i="71"/>
  <c r="F66" i="71"/>
  <c r="Q67" i="71"/>
  <c r="T80" i="71"/>
  <c r="C79" i="71"/>
  <c r="BL167" i="3"/>
  <c r="AZ167" i="3" s="1"/>
  <c r="BL178" i="3"/>
  <c r="BA180" i="3"/>
  <c r="AZ180" i="3" s="1"/>
  <c r="BL182" i="3"/>
  <c r="G183" i="3"/>
  <c r="BA185" i="3"/>
  <c r="BL191" i="3"/>
  <c r="AZ191" i="3" s="1"/>
  <c r="BA193" i="3"/>
  <c r="BA196" i="3"/>
  <c r="AZ196" i="3" s="1"/>
  <c r="G203" i="3"/>
  <c r="BA205" i="3"/>
  <c r="AZ205" i="3" s="1"/>
  <c r="BL20" i="3"/>
  <c r="BA21" i="3"/>
  <c r="AZ21" i="3" s="1"/>
  <c r="BA25" i="3"/>
  <c r="BA26" i="3"/>
  <c r="BL28" i="3"/>
  <c r="BA29" i="3"/>
  <c r="AZ29" i="3" s="1"/>
  <c r="AZ38" i="3"/>
  <c r="AZ52" i="3"/>
  <c r="BL81" i="3"/>
  <c r="BA82" i="3"/>
  <c r="AZ82" i="3" s="1"/>
  <c r="AZ100" i="3"/>
  <c r="AA18" i="36"/>
  <c r="S18" i="36"/>
  <c r="F34" i="71"/>
  <c r="F35" i="71" s="1"/>
  <c r="F36" i="71" s="1"/>
  <c r="V36" i="71" s="1"/>
  <c r="AB33" i="71"/>
  <c r="AB28" i="71"/>
  <c r="T72" i="71"/>
  <c r="C71" i="71"/>
  <c r="U76" i="71"/>
  <c r="E75" i="71"/>
  <c r="E74" i="71" s="1"/>
  <c r="BA153" i="3"/>
  <c r="BL155" i="3"/>
  <c r="AZ155" i="3" s="1"/>
  <c r="BA164" i="3"/>
  <c r="AZ164" i="3" s="1"/>
  <c r="BA166" i="3"/>
  <c r="AZ166" i="3" s="1"/>
  <c r="BA169" i="3"/>
  <c r="AZ169" i="3" s="1"/>
  <c r="BL171"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AZ27" i="3" s="1"/>
  <c r="BA28" i="3"/>
  <c r="AZ28" i="3" s="1"/>
  <c r="BA31" i="3"/>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97" i="3"/>
  <c r="BL100" i="3"/>
  <c r="BL105" i="3"/>
  <c r="BL107" i="3"/>
  <c r="G112" i="3"/>
  <c r="BL112" i="3"/>
  <c r="F40" i="68"/>
  <c r="C21" i="68"/>
  <c r="AC29" i="39"/>
  <c r="W29" i="39"/>
  <c r="E28" i="71"/>
  <c r="AA27" i="71"/>
  <c r="AA28" i="71"/>
  <c r="D38" i="71"/>
  <c r="C39" i="71"/>
  <c r="C31" i="71"/>
  <c r="Y30" i="71"/>
  <c r="Z30" i="71" s="1"/>
  <c r="AA38" i="71"/>
  <c r="AA39" i="71"/>
  <c r="D84" i="71"/>
  <c r="C83" i="71"/>
  <c r="AB26" i="71"/>
  <c r="V24" i="71"/>
  <c r="E23" i="71"/>
  <c r="E22" i="71" s="1"/>
  <c r="E21" i="71" s="1"/>
  <c r="E20" i="71" s="1"/>
  <c r="E19" i="71" s="1"/>
  <c r="E18" i="71" s="1"/>
  <c r="E17" i="71" s="1"/>
  <c r="E16" i="71" s="1"/>
  <c r="G81" i="3"/>
  <c r="G85" i="3"/>
  <c r="BL85" i="3"/>
  <c r="BA86" i="3"/>
  <c r="AZ86" i="3" s="1"/>
  <c r="BA87" i="3"/>
  <c r="BA91" i="3"/>
  <c r="AZ91" i="3" s="1"/>
  <c r="G96" i="3"/>
  <c r="BL97" i="3"/>
  <c r="BL101" i="3"/>
  <c r="AZ101" i="3" s="1"/>
  <c r="BL102" i="3"/>
  <c r="AZ102" i="3" s="1"/>
  <c r="G104" i="3"/>
  <c r="G105" i="3"/>
  <c r="BL106" i="3"/>
  <c r="BA108" i="3"/>
  <c r="BA110" i="3"/>
  <c r="AZ110" i="3" s="1"/>
  <c r="F3" i="35"/>
  <c r="S21" i="33"/>
  <c r="S21" i="37"/>
  <c r="S25" i="40"/>
  <c r="B77" i="43"/>
  <c r="AA18" i="35"/>
  <c r="O67" i="71"/>
  <c r="AB27" i="71"/>
  <c r="C87" i="71"/>
  <c r="E79" i="71"/>
  <c r="E78" i="71" s="1"/>
  <c r="AB25" i="71"/>
  <c r="C43" i="71"/>
  <c r="C35" i="71"/>
  <c r="N68" i="71"/>
  <c r="E38" i="71"/>
  <c r="E39" i="71" s="1"/>
  <c r="E40" i="71" s="1"/>
  <c r="U40" i="71" s="1"/>
  <c r="B34" i="71"/>
  <c r="B35" i="71" s="1"/>
  <c r="B36" i="71" s="1"/>
  <c r="S36" i="71" s="1"/>
  <c r="X33" i="71"/>
  <c r="AB37" i="71"/>
  <c r="BA80" i="3"/>
  <c r="G84" i="3"/>
  <c r="BL84" i="3"/>
  <c r="AZ84" i="3" s="1"/>
  <c r="BA89" i="3"/>
  <c r="G99" i="3"/>
  <c r="BA103" i="3"/>
  <c r="AZ103" i="3" s="1"/>
  <c r="BA104" i="3"/>
  <c r="AZ104" i="3" s="1"/>
  <c r="BA106" i="3"/>
  <c r="BL108" i="3"/>
  <c r="G110" i="3"/>
  <c r="BL111" i="3"/>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AZ56"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Q71" i="67"/>
  <c r="C27" i="67"/>
  <c r="B13" i="70"/>
  <c r="F64" i="67"/>
  <c r="C36" i="68"/>
  <c r="D9" i="68"/>
  <c r="F26" i="15"/>
  <c r="F6" i="15"/>
  <c r="F36" i="15"/>
  <c r="D3" i="73"/>
  <c r="F7" i="15"/>
  <c r="M9" i="15"/>
  <c r="M6" i="15"/>
  <c r="F42" i="15"/>
  <c r="F16" i="67"/>
  <c r="F42" i="67"/>
  <c r="F9" i="15"/>
  <c r="M24" i="67"/>
  <c r="F8" i="15"/>
  <c r="M23" i="15"/>
  <c r="L47" i="15"/>
  <c r="M22" i="15"/>
  <c r="M24" i="15"/>
  <c r="F16" i="15"/>
  <c r="L48" i="67"/>
  <c r="F43" i="67"/>
  <c r="D5" i="73"/>
  <c r="D9" i="69"/>
  <c r="F37" i="15"/>
  <c r="F40" i="67"/>
  <c r="F7" i="67"/>
  <c r="M29" i="15"/>
  <c r="L47" i="67"/>
  <c r="C36" i="69"/>
  <c r="M28" i="67"/>
  <c r="M8" i="67"/>
  <c r="M26" i="15"/>
  <c r="F9" i="67"/>
  <c r="C76" i="15"/>
  <c r="D6" i="73"/>
  <c r="D4" i="73"/>
  <c r="M23" i="67"/>
  <c r="F13" i="15"/>
  <c r="M29" i="67"/>
  <c r="F27" i="69"/>
  <c r="M8" i="15"/>
  <c r="D7" i="73"/>
  <c r="M28" i="15"/>
  <c r="F38" i="15"/>
  <c r="F13" i="67"/>
  <c r="F43" i="15"/>
  <c r="J15" i="15"/>
  <c r="M26" i="67"/>
  <c r="L48" i="15"/>
  <c r="F40" i="15"/>
  <c r="W32" i="33" l="1"/>
  <c r="L56" i="67"/>
  <c r="I54" i="67"/>
  <c r="J53" i="67"/>
  <c r="Q52" i="67" s="1"/>
  <c r="J57" i="67"/>
  <c r="J55" i="67" s="1"/>
  <c r="J58" i="67" s="1"/>
  <c r="Q50" i="67" s="1"/>
  <c r="AA25" i="33"/>
  <c r="AC25" i="33"/>
  <c r="AC9" i="33"/>
  <c r="W9" i="33"/>
  <c r="AB9" i="33"/>
  <c r="U9" i="33"/>
  <c r="C48" i="69"/>
  <c r="C30" i="68"/>
  <c r="L59" i="15"/>
  <c r="Q61" i="15" s="1"/>
  <c r="N59" i="15"/>
  <c r="M59" i="15"/>
  <c r="M7" i="15"/>
  <c r="J6" i="15" s="1"/>
  <c r="J18" i="15" s="1"/>
  <c r="F50" i="15"/>
  <c r="Q71" i="15"/>
  <c r="F71" i="15"/>
  <c r="F31" i="15"/>
  <c r="C27" i="15"/>
  <c r="F51" i="15"/>
  <c r="F66" i="15"/>
  <c r="N370" i="46"/>
  <c r="F26" i="43"/>
  <c r="E26" i="43"/>
  <c r="H26" i="43"/>
  <c r="G26" i="43"/>
  <c r="P6" i="1"/>
  <c r="C13" i="12" s="1"/>
  <c r="N94" i="46"/>
  <c r="D67" i="39"/>
  <c r="D69" i="39" s="1"/>
  <c r="G16" i="1"/>
  <c r="F10" i="39" s="1"/>
  <c r="AA10" i="39" s="1"/>
  <c r="L58" i="67"/>
  <c r="Q60" i="67" s="1"/>
  <c r="M59" i="67"/>
  <c r="N59" i="67"/>
  <c r="L59" i="67"/>
  <c r="Q74" i="67" s="1"/>
  <c r="F65" i="15"/>
  <c r="F71" i="67"/>
  <c r="F68" i="67"/>
  <c r="F68" i="15"/>
  <c r="C6" i="15"/>
  <c r="C32" i="15" s="1"/>
  <c r="F64" i="15"/>
  <c r="J57" i="15"/>
  <c r="J55" i="15" s="1"/>
  <c r="J58" i="15" s="1"/>
  <c r="Q50" i="15" s="1"/>
  <c r="I54" i="15"/>
  <c r="L58" i="15"/>
  <c r="Q60" i="15" s="1"/>
  <c r="J53" i="15"/>
  <c r="L56" i="15" s="1"/>
  <c r="F50" i="67"/>
  <c r="F59" i="67" s="1"/>
  <c r="M7" i="67"/>
  <c r="J6" i="67" s="1"/>
  <c r="J18" i="67" s="1"/>
  <c r="C36" i="71"/>
  <c r="D35" i="71"/>
  <c r="C86" i="71"/>
  <c r="D86" i="71" s="1"/>
  <c r="D87" i="71"/>
  <c r="D31" i="71"/>
  <c r="C32" i="71"/>
  <c r="AZ25" i="3"/>
  <c r="AZ111" i="3"/>
  <c r="AZ223" i="3"/>
  <c r="AC44" i="39"/>
  <c r="W44" i="39"/>
  <c r="AC24" i="36"/>
  <c r="W24" i="36"/>
  <c r="AC31" i="33"/>
  <c r="W31" i="33"/>
  <c r="AB43" i="39"/>
  <c r="U43" i="39"/>
  <c r="W11" i="35"/>
  <c r="AC11" i="35"/>
  <c r="AB26" i="33"/>
  <c r="U26" i="33"/>
  <c r="AB12" i="34"/>
  <c r="U12" i="34"/>
  <c r="E28" i="6"/>
  <c r="K14" i="1" s="1"/>
  <c r="K16" i="1" s="1"/>
  <c r="AZ141" i="3"/>
  <c r="AZ299" i="3"/>
  <c r="AZ296" i="3"/>
  <c r="AZ234" i="3"/>
  <c r="AZ354" i="3"/>
  <c r="O65" i="71"/>
  <c r="D66" i="71"/>
  <c r="O66" i="71"/>
  <c r="C44" i="71"/>
  <c r="D43" i="71"/>
  <c r="C40" i="71"/>
  <c r="D39" i="71"/>
  <c r="AZ31" i="3"/>
  <c r="C70" i="71"/>
  <c r="D70" i="71" s="1"/>
  <c r="D71" i="71"/>
  <c r="D60" i="71"/>
  <c r="T60" i="71"/>
  <c r="AZ105" i="3"/>
  <c r="AZ61" i="3"/>
  <c r="AZ182" i="3"/>
  <c r="AZ302" i="3"/>
  <c r="AZ277" i="3"/>
  <c r="AZ256" i="3"/>
  <c r="AZ397" i="3"/>
  <c r="AZ118" i="3"/>
  <c r="AZ249" i="3"/>
  <c r="AZ270" i="3"/>
  <c r="AZ368" i="3"/>
  <c r="AZ121" i="3"/>
  <c r="AB44" i="39"/>
  <c r="U44" i="39"/>
  <c r="W12" i="36"/>
  <c r="AC12" i="36"/>
  <c r="AC43" i="39"/>
  <c r="W43" i="39"/>
  <c r="AB33" i="40"/>
  <c r="U33" i="40"/>
  <c r="S26" i="33"/>
  <c r="AA26" i="33"/>
  <c r="W12" i="34"/>
  <c r="AC12" i="34"/>
  <c r="S9" i="34"/>
  <c r="AZ206" i="3"/>
  <c r="AZ170" i="3"/>
  <c r="AZ285" i="3"/>
  <c r="V20" i="71"/>
  <c r="AZ108" i="3"/>
  <c r="C78" i="71"/>
  <c r="D78" i="71" s="1"/>
  <c r="D79" i="71"/>
  <c r="N65" i="71"/>
  <c r="N66" i="71"/>
  <c r="T28" i="71"/>
  <c r="D28" i="71"/>
  <c r="U28" i="71" s="1"/>
  <c r="C27" i="71"/>
  <c r="AZ244" i="3"/>
  <c r="AZ239" i="3"/>
  <c r="AZ229" i="3"/>
  <c r="AZ294" i="3"/>
  <c r="AZ274" i="3"/>
  <c r="AZ461" i="3"/>
  <c r="AZ429" i="3"/>
  <c r="AZ263" i="3"/>
  <c r="AB36" i="35"/>
  <c r="U36" i="35"/>
  <c r="AA27" i="21"/>
  <c r="S27" i="21"/>
  <c r="AA12" i="36"/>
  <c r="S12" i="36"/>
  <c r="AA33" i="40"/>
  <c r="S33" i="40"/>
  <c r="S36" i="39"/>
  <c r="AA36" i="39"/>
  <c r="AA25" i="37"/>
  <c r="S25" i="37"/>
  <c r="G5" i="3"/>
  <c r="B3" i="3" s="1"/>
  <c r="E536" i="3" s="1"/>
  <c r="AZ42" i="3"/>
  <c r="AZ32" i="3"/>
  <c r="AZ215" i="3"/>
  <c r="C82" i="71"/>
  <c r="D82" i="71" s="1"/>
  <c r="D83" i="71"/>
  <c r="AZ97" i="3"/>
  <c r="AZ178" i="3"/>
  <c r="AZ51" i="3"/>
  <c r="AZ19" i="3"/>
  <c r="AZ272" i="3"/>
  <c r="AZ247" i="3"/>
  <c r="AZ428" i="3"/>
  <c r="AZ491" i="3"/>
  <c r="AZ405" i="3"/>
  <c r="W12" i="35"/>
  <c r="AC12" i="35"/>
  <c r="AZ401" i="3"/>
  <c r="AC39" i="37"/>
  <c r="W39" i="37"/>
  <c r="AC9" i="34"/>
  <c r="W9" i="34"/>
  <c r="W27" i="21"/>
  <c r="AC27" i="21"/>
  <c r="AA28" i="21"/>
  <c r="S28" i="21"/>
  <c r="AB46" i="34"/>
  <c r="U46" i="34"/>
  <c r="S25" i="35"/>
  <c r="AA25" i="35"/>
  <c r="U25" i="37"/>
  <c r="AB25" i="37"/>
  <c r="J7" i="37"/>
  <c r="K1" i="73"/>
  <c r="E554" i="3"/>
  <c r="E409" i="3"/>
  <c r="E68" i="3"/>
  <c r="E235" i="3"/>
  <c r="E405" i="3"/>
  <c r="E190" i="3"/>
  <c r="E564" i="3"/>
  <c r="E401" i="3"/>
  <c r="E540" i="3"/>
  <c r="AQ6" i="3"/>
  <c r="E218" i="3"/>
  <c r="E90" i="3"/>
  <c r="E244" i="3"/>
  <c r="E209" i="3"/>
  <c r="E375" i="3"/>
  <c r="E163" i="3"/>
  <c r="E167" i="3"/>
  <c r="E352" i="3"/>
  <c r="E537" i="3"/>
  <c r="E397" i="3"/>
  <c r="E403" i="3"/>
  <c r="E319" i="3"/>
  <c r="E390" i="3"/>
  <c r="E565" i="3"/>
  <c r="E280" i="3"/>
  <c r="Q6" i="3"/>
  <c r="E256" i="3"/>
  <c r="E448" i="3"/>
  <c r="E404" i="3"/>
  <c r="E480" i="3"/>
  <c r="E516" i="3"/>
  <c r="E551" i="3"/>
  <c r="E230" i="3"/>
  <c r="E260" i="3"/>
  <c r="E245" i="3"/>
  <c r="E293" i="3"/>
  <c r="E453" i="3"/>
  <c r="E99" i="3"/>
  <c r="E573" i="3"/>
  <c r="E562" i="3"/>
  <c r="E72" i="3"/>
  <c r="E279" i="3"/>
  <c r="E35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AE11" i="1"/>
  <c r="AE9" i="1"/>
  <c r="F27" i="68"/>
  <c r="AE7" i="1"/>
  <c r="AE8" i="1"/>
  <c r="AE12" i="1"/>
  <c r="AE10" i="1"/>
  <c r="C16" i="67"/>
  <c r="C16" i="15"/>
  <c r="G1" i="73"/>
  <c r="F1" i="67" l="1"/>
  <c r="D26" i="43"/>
  <c r="C25" i="43" s="1"/>
  <c r="Q61" i="67"/>
  <c r="F59" i="15"/>
  <c r="C49" i="15"/>
  <c r="Q74" i="15"/>
  <c r="M17" i="67"/>
  <c r="Q73" i="67"/>
  <c r="J10" i="39"/>
  <c r="W10" i="39" s="1"/>
  <c r="H10" i="39"/>
  <c r="U10" i="39" s="1"/>
  <c r="M17" i="15"/>
  <c r="J10" i="40"/>
  <c r="AC10" i="40" s="1"/>
  <c r="F1" i="15"/>
  <c r="S10" i="39"/>
  <c r="H10" i="40"/>
  <c r="AB10" i="40" s="1"/>
  <c r="E318" i="3"/>
  <c r="E111" i="3"/>
  <c r="E571" i="3"/>
  <c r="E458" i="3"/>
  <c r="E45" i="3"/>
  <c r="E85" i="3"/>
  <c r="E336" i="3"/>
  <c r="E382" i="3"/>
  <c r="E117" i="3"/>
  <c r="E130" i="3"/>
  <c r="V6" i="3"/>
  <c r="E569" i="3"/>
  <c r="E366" i="3"/>
  <c r="E166" i="3"/>
  <c r="P6" i="3"/>
  <c r="E274" i="3"/>
  <c r="E481" i="3"/>
  <c r="AA6" i="3"/>
  <c r="E213" i="3"/>
  <c r="E523" i="3"/>
  <c r="E501" i="3"/>
  <c r="E546" i="3"/>
  <c r="E207" i="3"/>
  <c r="E471" i="3"/>
  <c r="E306" i="3"/>
  <c r="E187" i="3"/>
  <c r="E66" i="3"/>
  <c r="E47" i="3"/>
  <c r="E48" i="3"/>
  <c r="E312" i="3"/>
  <c r="E155" i="3"/>
  <c r="E365" i="3"/>
  <c r="E36" i="3"/>
  <c r="E473" i="3"/>
  <c r="E25" i="3"/>
  <c r="E543" i="3"/>
  <c r="E220" i="3"/>
  <c r="E408" i="3"/>
  <c r="E86" i="3"/>
  <c r="E63" i="3"/>
  <c r="E64" i="3"/>
  <c r="E491" i="3"/>
  <c r="E433" i="3"/>
  <c r="E457" i="3"/>
  <c r="E519" i="3"/>
  <c r="E511" i="3"/>
  <c r="E253" i="3"/>
  <c r="E518" i="3"/>
  <c r="E61" i="3"/>
  <c r="E395" i="3"/>
  <c r="E294" i="3"/>
  <c r="E358" i="3"/>
  <c r="E239" i="3"/>
  <c r="E334" i="3"/>
  <c r="E444" i="3"/>
  <c r="E252" i="3"/>
  <c r="E496" i="3"/>
  <c r="E262" i="3"/>
  <c r="E303" i="3"/>
  <c r="E298" i="3"/>
  <c r="E574" i="3"/>
  <c r="E317" i="3"/>
  <c r="E548" i="3"/>
  <c r="E257" i="3"/>
  <c r="E474" i="3"/>
  <c r="E82" i="3"/>
  <c r="E488" i="3"/>
  <c r="E374" i="3"/>
  <c r="E464" i="3"/>
  <c r="E57" i="3"/>
  <c r="E24" i="3"/>
  <c r="E552" i="3"/>
  <c r="E364" i="3"/>
  <c r="E234" i="3"/>
  <c r="E346" i="3"/>
  <c r="E376" i="3"/>
  <c r="E16" i="3"/>
  <c r="E41" i="3"/>
  <c r="E22" i="3"/>
  <c r="AL6" i="3"/>
  <c r="E84" i="3"/>
  <c r="E241" i="3"/>
  <c r="E442" i="3"/>
  <c r="E31" i="3"/>
  <c r="E150" i="3"/>
  <c r="E450" i="3"/>
  <c r="E527" i="3"/>
  <c r="E193" i="3"/>
  <c r="E314" i="3"/>
  <c r="E583" i="3"/>
  <c r="E578" i="3"/>
  <c r="E290" i="3"/>
  <c r="E415" i="3"/>
  <c r="E407" i="3"/>
  <c r="E151" i="3"/>
  <c r="E553" i="3"/>
  <c r="E295" i="3"/>
  <c r="E581" i="3"/>
  <c r="I6" i="3"/>
  <c r="E429" i="3"/>
  <c r="E128" i="3"/>
  <c r="E254" i="3"/>
  <c r="E321" i="3"/>
  <c r="O6" i="3"/>
  <c r="E272" i="3"/>
  <c r="E411" i="3"/>
  <c r="E208" i="3"/>
  <c r="E532" i="3"/>
  <c r="E127" i="3"/>
  <c r="E459" i="3"/>
  <c r="E373" i="3"/>
  <c r="E149" i="3"/>
  <c r="E520" i="3"/>
  <c r="E65" i="3"/>
  <c r="E141" i="3"/>
  <c r="E340" i="3"/>
  <c r="E170" i="3"/>
  <c r="E276" i="3"/>
  <c r="E440" i="3"/>
  <c r="E158" i="3"/>
  <c r="E420" i="3"/>
  <c r="E308" i="3"/>
  <c r="E198" i="3"/>
  <c r="E310" i="3"/>
  <c r="E258" i="3"/>
  <c r="E575" i="3"/>
  <c r="C49" i="67"/>
  <c r="J5" i="15"/>
  <c r="J24" i="15" s="1"/>
  <c r="Q73" i="15"/>
  <c r="F10" i="40"/>
  <c r="S10" i="40" s="1"/>
  <c r="M14" i="1"/>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289" i="3"/>
  <c r="E325" i="3"/>
  <c r="E38" i="3"/>
  <c r="E60" i="3"/>
  <c r="E178" i="3"/>
  <c r="E419" i="3"/>
  <c r="E422" i="3"/>
  <c r="E105" i="3"/>
  <c r="E80" i="3"/>
  <c r="E428" i="3"/>
  <c r="E497" i="3"/>
  <c r="T6" i="3"/>
  <c r="E102" i="3"/>
  <c r="E18" i="3"/>
  <c r="E494" i="3"/>
  <c r="E233" i="3"/>
  <c r="E267" i="3"/>
  <c r="E59" i="3"/>
  <c r="E95" i="3"/>
  <c r="E449" i="3"/>
  <c r="E28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12" i="3"/>
  <c r="E299" i="3"/>
  <c r="E79" i="3"/>
  <c r="E372" i="3"/>
  <c r="E108" i="3"/>
  <c r="J6" i="3"/>
  <c r="E427" i="3"/>
  <c r="E116" i="3"/>
  <c r="E49" i="3"/>
  <c r="E115" i="3"/>
  <c r="E556" i="3"/>
  <c r="E173" i="3"/>
  <c r="E34" i="3"/>
  <c r="E482" i="3"/>
  <c r="E309" i="3"/>
  <c r="E67" i="3"/>
  <c r="E160" i="3"/>
  <c r="E389" i="3"/>
  <c r="E417" i="3"/>
  <c r="E430" i="3"/>
  <c r="E510" i="3"/>
  <c r="E539" i="3"/>
  <c r="E502" i="3"/>
  <c r="AP6" i="3"/>
  <c r="E37" i="3"/>
  <c r="E349" i="3"/>
  <c r="E467" i="3"/>
  <c r="E371" i="3"/>
  <c r="E184" i="3"/>
  <c r="E283" i="3"/>
  <c r="E391" i="3"/>
  <c r="E174" i="3"/>
  <c r="AF6" i="3"/>
  <c r="E197" i="3"/>
  <c r="E512" i="3"/>
  <c r="E470" i="3"/>
  <c r="E356" i="3"/>
  <c r="E35" i="3"/>
  <c r="E329" i="3"/>
  <c r="E393" i="3"/>
  <c r="E507" i="3"/>
  <c r="AH6" i="3"/>
  <c r="E463" i="3"/>
  <c r="E226" i="3"/>
  <c r="L6" i="3"/>
  <c r="E15" i="3"/>
  <c r="E194" i="3"/>
  <c r="E392" i="3"/>
  <c r="E123"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3" i="6"/>
  <c r="J5" i="67"/>
  <c r="J24" i="67" s="1"/>
  <c r="Q52" i="15"/>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44" i="71"/>
  <c r="T44" i="71"/>
  <c r="D36" i="71"/>
  <c r="T36" i="71"/>
  <c r="T40" i="71"/>
  <c r="D40" i="71"/>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T32" i="71"/>
  <c r="D3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10" i="15"/>
  <c r="C5" i="15" s="1"/>
  <c r="C38" i="15" s="1"/>
  <c r="F41" i="15"/>
  <c r="M27" i="67"/>
  <c r="M27" i="15"/>
  <c r="AE6" i="1"/>
  <c r="F41" i="67" s="1"/>
  <c r="L36" i="43" l="1"/>
  <c r="L37" i="43" s="1"/>
  <c r="O37" i="43" s="1"/>
  <c r="E24" i="43"/>
  <c r="M32" i="43" s="1"/>
  <c r="U10" i="40"/>
  <c r="AB10" i="39"/>
  <c r="F69" i="67"/>
  <c r="C48" i="15"/>
  <c r="C66" i="15" s="1"/>
  <c r="W10" i="40"/>
  <c r="AA10" i="40"/>
  <c r="F25" i="12"/>
  <c r="C26" i="12" s="1"/>
  <c r="D25" i="12" s="1"/>
  <c r="C48" i="67"/>
  <c r="C66" i="67" s="1"/>
  <c r="AC6" i="3"/>
  <c r="H6" i="3"/>
  <c r="E6" i="3" s="1"/>
  <c r="D116" i="43"/>
  <c r="F22" i="68"/>
  <c r="F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D10" i="69"/>
  <c r="C17" i="15"/>
  <c r="C34" i="69"/>
  <c r="C17" i="67"/>
  <c r="Q36" i="43" l="1"/>
  <c r="Q37" i="43"/>
  <c r="M37" i="43"/>
  <c r="P36" i="43"/>
  <c r="O36" i="43"/>
  <c r="N37" i="43"/>
  <c r="P37" i="43"/>
  <c r="M36" i="43"/>
  <c r="N36" i="43"/>
  <c r="Q32" i="43"/>
  <c r="O32" i="43"/>
  <c r="P32" i="43"/>
  <c r="N32" i="43"/>
  <c r="C26" i="11"/>
  <c r="D22" i="11" s="1"/>
  <c r="C44" i="11"/>
  <c r="D41" i="11" s="1"/>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C34" i="68"/>
  <c r="F6" i="67"/>
  <c r="E6" i="76"/>
  <c r="C14" i="15"/>
  <c r="B6" i="76"/>
  <c r="C6" i="67" l="1"/>
  <c r="C10" i="67" s="1"/>
  <c r="C5" i="67" s="1"/>
  <c r="C38" i="67" s="1"/>
  <c r="F31" i="67"/>
  <c r="C8" i="69"/>
  <c r="C5" i="69" s="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F35" i="67"/>
  <c r="M21" i="15"/>
  <c r="C25" i="68" l="1"/>
  <c r="C22" i="68" s="1"/>
  <c r="C31" i="68"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103" i="9"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D19" i="9"/>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1" i="1"/>
  <c r="AO12" i="1"/>
  <c r="AO7" i="1"/>
  <c r="AO6" i="1"/>
  <c r="AO8" i="1"/>
  <c r="AO10" i="1"/>
  <c r="D103" i="9" l="1"/>
  <c r="G20" i="9"/>
  <c r="K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c r="C78" i="9"/>
  <c r="M54" i="9"/>
  <c r="D56" i="9"/>
  <c r="D58" i="9"/>
  <c r="C97" i="9"/>
  <c r="B31" i="72"/>
  <c r="D15" i="53"/>
  <c r="B21" i="72"/>
  <c r="D7" i="53"/>
  <c r="B20" i="72"/>
  <c r="B53" i="72"/>
  <c r="F5" i="52"/>
  <c r="F119" i="9"/>
  <c r="D54" i="9"/>
  <c r="C68" i="9"/>
  <c r="B52" i="72"/>
  <c r="G4" i="52"/>
  <c r="B32" i="72"/>
  <c r="D14" i="53"/>
  <c r="E81" i="9"/>
  <c r="E80" i="9"/>
  <c r="C80" i="9"/>
  <c r="D8" i="52"/>
  <c r="B48" i="72"/>
  <c r="E4" i="52"/>
  <c r="I4" i="52"/>
  <c r="C105" i="9"/>
  <c r="C86" i="9"/>
  <c r="C93" i="9"/>
  <c r="H5" i="52"/>
  <c r="H119" i="9"/>
  <c r="C85" i="9"/>
  <c r="C95" i="9"/>
  <c r="C96" i="9"/>
  <c r="E96" i="9"/>
  <c r="E97" i="9"/>
  <c r="D119" i="9"/>
  <c r="D5" i="52"/>
  <c r="B49" i="72"/>
  <c r="D122" i="9"/>
  <c r="D123" i="9"/>
  <c r="D9" i="52"/>
  <c r="B47" i="72"/>
  <c r="E118" i="9"/>
  <c r="D118" i="9"/>
  <c r="D4" i="52"/>
  <c r="B51" i="72"/>
  <c r="G118" i="9"/>
  <c r="F118" i="9"/>
  <c r="F4" i="52"/>
  <c r="H4" i="52"/>
  <c r="C104" i="9"/>
  <c r="D5" i="53"/>
  <c r="D6" i="53"/>
  <c r="B22" i="72"/>
  <c r="M48" i="9"/>
  <c r="C64" i="9"/>
  <c r="C63" i="9"/>
  <c r="C67" i="9"/>
  <c r="D59" i="9"/>
  <c r="M55" i="9"/>
  <c r="D13" i="53"/>
  <c r="B30" i="72"/>
  <c r="N61" i="9"/>
  <c r="N59" i="9"/>
  <c r="N60" i="9"/>
  <c r="D53" i="9"/>
  <c r="D52" i="9"/>
  <c r="C72" i="9"/>
  <c r="C79" i="9"/>
  <c r="C81" i="9"/>
  <c r="H107" i="9"/>
  <c r="H108" i="9"/>
  <c r="C6" i="74"/>
  <c r="N58" i="9"/>
  <c r="H101" i="9"/>
  <c r="D45" i="9"/>
  <c r="D55" i="9"/>
  <c r="M53" i="9"/>
  <c r="N57" i="9"/>
  <c r="P57"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<sst xmlns="http://schemas.openxmlformats.org/spreadsheetml/2006/main" count="9143" uniqueCount="3773">
  <si>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</si>
  <si>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</si>
  <si>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</si>
  <si>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</si>
  <si>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</si>
  <si>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</si>
  <si>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</si>
  <si>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</si>
  <si>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</si>
  <si>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</si>
  <si>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</si>
  <si>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</si>
  <si>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</si>
  <si>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</si>
  <si>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</si>
  <si>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</si>
  <si>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</si>
  <si>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</si>
  <si>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</si>
  <si>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</si>
  <si>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</si>
  <si>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</si>
  <si>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</si>
  <si>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</si>
  <si>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</si>
  <si>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</si>
  <si>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</si>
  <si>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</si>
  <si>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</si>
  <si>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</si>
  <si>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</si>
  <si>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</si>
  <si>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</si>
  <si>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</si>
  <si>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</si>
  <si>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</si>
  <si>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</si>
  <si>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</si>
  <si>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</si>
  <si>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</si>
  <si>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</si>
  <si>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</si>
  <si>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</si>
  <si>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</si>
  <si>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</si>
  <si>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</si>
  <si>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</si>
  <si>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</si>
  <si>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</si>
  <si>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</si>
  <si>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</si>
  <si>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</si>
  <si>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</si>
  <si>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</si>
  <si>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</si>
  <si>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</si>
  <si>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</si>
  <si>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</si>
  <si>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</si>
  <si>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</si>
  <si>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</si>
  <si>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</si>
  <si>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</si>
  <si>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</si>
  <si>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</si>
  <si>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</si>
  <si>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</si>
  <si>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</si>
  <si>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</si>
  <si>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</si>
  <si>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</si>
  <si>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</si>
  <si>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</si>
  <si>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</si>
  <si>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</si>
  <si>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</si>
  <si>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</si>
  <si>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</si>
  <si>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</si>
  <si>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</si>
  <si>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</si>
  <si>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</si>
  <si>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</si>
  <si>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</si>
  <si>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</si>
  <si>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</si>
  <si>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</si>
  <si>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</si>
  <si>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</si>
  <si>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</si>
  <si>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</si>
  <si>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</si>
  <si>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</si>
  <si>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</si>
  <si>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</si>
  <si>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</si>
  <si>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</si>
  <si>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</si>
  <si>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</si>
  <si>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</si>
  <si>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</si>
  <si>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</si>
  <si>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</si>
  <si>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</si>
  <si>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</si>
  <si>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</si>
  <si>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</si>
  <si>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</si>
  <si>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</si>
  <si>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</si>
  <si>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</si>
  <si>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</si>
  <si>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</si>
  <si>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</si>
  <si>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</si>
  <si>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</si>
  <si>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</si>
  <si>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</si>
  <si>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</si>
  <si>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</si>
  <si>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</si>
  <si>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</si>
  <si>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</si>
  <si>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</si>
  <si>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</si>
  <si>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</si>
  <si>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</si>
  <si>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</si>
  <si>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</si>
  <si>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</si>
  <si>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</si>
  <si>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</si>
  <si>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</si>
  <si>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</si>
  <si>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</si>
  <si>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</si>
  <si>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</si>
  <si>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</si>
  <si>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</si>
  <si>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</si>
  <si>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</si>
  <si>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</si>
  <si>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</si>
  <si>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</si>
  <si>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</si>
  <si>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</si>
  <si>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</si>
  <si>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</si>
  <si>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</si>
  <si>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</si>
  <si>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</si>
  <si>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</si>
  <si>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</si>
  <si>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</si>
  <si>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</si>
  <si>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</si>
  <si>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</si>
  <si>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</si>
  <si>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</si>
  <si>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</si>
  <si>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</si>
  <si>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</si>
  <si>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</si>
  <si>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</si>
  <si>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</si>
  <si>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</si>
  <si>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</si>
  <si>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</si>
  <si>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</si>
  <si>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</si>
  <si>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</si>
  <si>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</si>
  <si>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</si>
  <si>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</si>
  <si>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</si>
  <si>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</si>
  <si>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</si>
  <si>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</si>
  <si>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</si>
  <si>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</si>
  <si>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</si>
  <si>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</si>
  <si>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</si>
  <si>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</si>
  <si>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</si>
  <si>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</si>
  <si>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</si>
  <si>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</si>
  <si>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</si>
  <si>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</si>
  <si>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</si>
  <si>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</si>
  <si>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</si>
  <si>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</si>
  <si>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</si>
  <si>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</si>
  <si>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</si>
  <si>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</si>
  <si>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</si>
  <si>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</si>
  <si>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</si>
  <si>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</si>
  <si>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</si>
  <si>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</si>
  <si>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</si>
  <si>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</si>
  <si>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</si>
  <si>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</si>
  <si>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</si>
  <si>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</si>
  <si>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</si>
  <si>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</si>
  <si>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</si>
  <si>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</si>
  <si>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</si>
  <si>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</si>
  <si>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</si>
  <si>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</si>
  <si>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</si>
  <si>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</si>
  <si>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</si>
  <si>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</si>
  <si>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</si>
  <si>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</si>
  <si>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</si>
  <si>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</si>
  <si>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</si>
  <si>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</si>
  <si>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</si>
  <si>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</si>
  <si>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</si>
  <si>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</si>
  <si>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</si>
  <si>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</si>
  <si>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</si>
  <si>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</si>
  <si>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</si>
  <si>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</si>
  <si>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</si>
  <si>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</si>
  <si>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</si>
  <si>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</si>
  <si>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</si>
  <si>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</si>
  <si>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</si>
  <si>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</si>
  <si>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</si>
  <si>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</si>
  <si>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</si>
  <si>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</si>
  <si>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</si>
  <si>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</si>
  <si>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</si>
  <si>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</si>
  <si>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</si>
  <si>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</si>
  <si>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</si>
  <si>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</si>
  <si>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</si>
  <si>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</si>
  <si>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</si>
  <si>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</si>
  <si>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</si>
  <si>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</si>
  <si>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</si>
  <si>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</si>
  <si>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</si>
  <si>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</si>
  <si>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</si>
  <si>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</si>
  <si>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</si>
  <si>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</si>
  <si>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</si>
  <si>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</si>
  <si>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</si>
  <si>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</si>
  <si>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</si>
  <si>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</si>
  <si>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</si>
  <si>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</si>
  <si>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</si>
  <si>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</si>
  <si>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</si>
  <si>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</si>
  <si>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</si>
  <si>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</si>
  <si>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</si>
  <si>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</si>
  <si>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</si>
  <si>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</si>
  <si>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</si>
  <si>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</si>
  <si>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</si>
  <si>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</si>
  <si>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</si>
  <si>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</si>
  <si>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</si>
  <si>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</si>
  <si>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</si>
  <si>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</si>
  <si>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</si>
  <si>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</si>
  <si>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</si>
  <si>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</si>
  <si>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</si>
  <si>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</si>
  <si>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</si>
  <si>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</si>
  <si>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</si>
  <si>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</si>
  <si>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</si>
  <si>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</si>
  <si>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</si>
  <si>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</si>
  <si>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</si>
  <si>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</si>
  <si>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</si>
  <si>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</si>
  <si>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</si>
  <si>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</si>
  <si>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</si>
  <si>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</si>
  <si>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</si>
  <si>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</si>
  <si>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</si>
  <si>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</si>
  <si>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</si>
  <si>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</si>
  <si>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</si>
  <si>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</si>
  <si>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</si>
  <si>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</si>
  <si>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</si>
  <si>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</si>
  <si>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</si>
  <si>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</si>
  <si>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</si>
  <si>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</si>
  <si>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</si>
  <si>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</si>
  <si>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</si>
  <si>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</si>
  <si>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</si>
  <si>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</si>
  <si>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</si>
  <si>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</si>
  <si>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</si>
  <si>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</si>
  <si>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</si>
  <si>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</si>
  <si>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</si>
  <si>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</si>
  <si>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</si>
  <si>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</si>
  <si>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</si>
  <si>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</si>
  <si>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</si>
  <si>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</si>
  <si>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</si>
  <si>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</si>
  <si>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</si>
  <si>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</si>
  <si>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</si>
  <si>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</si>
  <si>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</si>
  <si>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</si>
  <si>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</si>
  <si>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</si>
  <si>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</si>
  <si>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</si>
  <si>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</si>
  <si>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</si>
  <si>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</si>
  <si>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</si>
  <si>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</si>
  <si>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</si>
  <si>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</si>
  <si>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</si>
  <si>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</si>
  <si>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</si>
  <si>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</si>
  <si>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</si>
  <si>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</si>
  <si>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</si>
  <si>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</si>
  <si>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</si>
  <si>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</si>
  <si>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</si>
  <si>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</si>
  <si>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</si>
  <si>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</si>
  <si>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</si>
  <si>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</si>
  <si>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</si>
  <si>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</si>
  <si>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</si>
  <si>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</si>
  <si>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</si>
  <si>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</si>
  <si>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</si>
  <si>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</si>
  <si>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</si>
  <si>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</si>
  <si>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</si>
  <si>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</si>
  <si>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</si>
  <si>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</si>
  <si>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</si>
  <si>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</si>
  <si>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</si>
  <si>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</si>
  <si>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</si>
  <si>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</si>
  <si>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</si>
  <si>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</si>
  <si>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</si>
  <si>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</si>
  <si>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</si>
  <si>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</si>
  <si>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</si>
  <si>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</si>
  <si>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</si>
  <si>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</si>
  <si>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</si>
  <si>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</si>
  <si>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</si>
  <si>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</si>
  <si>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</si>
  <si>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</si>
  <si>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</si>
  <si>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</si>
  <si>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</si>
  <si>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</si>
  <si>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</si>
  <si>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</si>
  <si>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</si>
  <si>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</si>
  <si>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</si>
  <si>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</si>
  <si>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</si>
  <si>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</si>
  <si>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</si>
  <si>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</si>
  <si>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</si>
  <si>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</si>
  <si>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</si>
  <si>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</si>
  <si>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</si>
  <si>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</si>
  <si>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</si>
  <si>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</si>
  <si>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</si>
  <si>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</si>
  <si>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</si>
  <si>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</si>
  <si>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</si>
  <si>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</si>
  <si>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</si>
  <si>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</si>
  <si>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</si>
  <si>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</si>
  <si>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</si>
  <si>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</si>
  <si>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</si>
  <si>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</si>
  <si>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</si>
  <si>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</si>
  <si>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</si>
  <si>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</si>
  <si>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</si>
  <si>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</si>
  <si>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</si>
  <si>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</si>
  <si>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</si>
  <si>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</si>
  <si>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</si>
  <si>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</si>
  <si>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</si>
  <si>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</si>
  <si>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</si>
  <si>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</si>
  <si>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</si>
  <si>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</si>
  <si>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</si>
  <si>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</si>
  <si>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</si>
  <si>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</si>
  <si>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</si>
  <si>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</si>
  <si>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</si>
  <si>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</si>
  <si>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</si>
  <si>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</si>
  <si>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</si>
  <si>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</si>
  <si>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</si>
  <si>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</si>
  <si>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</si>
  <si>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</si>
  <si>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</si>
  <si>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</si>
  <si>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</si>
  <si>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</si>
  <si>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</si>
  <si>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</si>
  <si>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</si>
  <si>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</si>
  <si>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</si>
  <si>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</si>
  <si>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</si>
  <si>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</si>
  <si>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</si>
  <si>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</si>
  <si>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</si>
  <si>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</si>
  <si>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</si>
  <si>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</si>
  <si>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</si>
  <si>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</si>
  <si>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</si>
  <si>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</si>
  <si>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</si>
  <si>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</si>
  <si>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</si>
  <si>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</si>
  <si>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</si>
  <si>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</si>
  <si>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</si>
  <si>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</si>
  <si>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</si>
  <si>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</si>
  <si>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</si>
  <si>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</si>
  <si>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</si>
  <si>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</si>
  <si>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</si>
  <si>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</si>
  <si>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</si>
  <si>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</si>
  <si>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</si>
  <si>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</si>
  <si>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</si>
  <si>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</si>
  <si>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</si>
  <si>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</si>
  <si>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</si>
  <si>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</si>
  <si>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</si>
  <si>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</si>
  <si>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</si>
  <si>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</si>
  <si>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</si>
  <si>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</si>
  <si>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</si>
  <si>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</si>
  <si>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</si>
  <si>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</si>
  <si>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</si>
  <si>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</si>
  <si>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</si>
  <si>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</si>
  <si>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</si>
  <si>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</si>
  <si>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</si>
  <si>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</si>
  <si>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</si>
  <si>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</si>
  <si>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</si>
  <si>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</si>
  <si>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</si>
  <si>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</si>
  <si>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</si>
  <si>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</si>
  <si>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</si>
  <si>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</si>
  <si>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</si>
  <si>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</si>
  <si>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</si>
  <si>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</si>
  <si>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</si>
  <si>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</si>
  <si>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</si>
  <si>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</si>
  <si>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</si>
  <si>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</si>
  <si>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</si>
  <si>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</si>
  <si>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</si>
  <si>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</si>
  <si>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</si>
  <si>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</si>
  <si>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</si>
  <si>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</si>
  <si>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</si>
  <si>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</si>
  <si>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</si>
  <si>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</si>
  <si>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</si>
  <si>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</si>
  <si>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</si>
  <si>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</si>
  <si>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</si>
  <si>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</si>
  <si>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</si>
  <si>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</si>
  <si>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</si>
  <si>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</si>
  <si>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</si>
  <si>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</si>
  <si>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</si>
  <si>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</si>
  <si>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</si>
  <si>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</si>
  <si>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</si>
  <si>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</si>
  <si>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</si>
  <si>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</si>
  <si>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</si>
  <si>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</si>
  <si>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</si>
  <si>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</si>
  <si>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</si>
  <si>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</si>
  <si>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</si>
  <si>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</si>
  <si>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</si>
  <si>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</si>
  <si>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</si>
  <si>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</si>
  <si>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</si>
  <si>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</si>
  <si>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</si>
  <si>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</si>
  <si>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</si>
  <si>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</si>
  <si>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</si>
  <si>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</si>
  <si>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</si>
  <si>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</si>
  <si>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</si>
  <si>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</si>
  <si>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</si>
  <si>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</si>
  <si>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</si>
  <si>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</si>
  <si>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</si>
  <si>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</si>
  <si>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</si>
  <si>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</si>
  <si>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</si>
  <si>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</si>
  <si>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</si>
  <si>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</si>
  <si>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</si>
  <si>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</si>
  <si>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</si>
  <si>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</si>
  <si>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</si>
  <si>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</si>
  <si>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</si>
  <si>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</si>
  <si>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</si>
  <si>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</si>
  <si>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</si>
  <si>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</si>
  <si>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</si>
  <si>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</si>
  <si>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</si>
  <si>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</si>
  <si>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</si>
  <si>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</si>
  <si>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</si>
  <si>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</si>
  <si>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</si>
  <si>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</si>
  <si>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</si>
  <si>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</si>
  <si>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</si>
  <si>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</si>
  <si>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</si>
  <si>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</si>
  <si>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</si>
  <si>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</si>
  <si>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</si>
  <si>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</si>
  <si>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</si>
  <si>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</si>
  <si>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</si>
  <si>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</si>
  <si>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</si>
  <si>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</si>
  <si>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</si>
  <si>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</si>
  <si>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</si>
  <si>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</si>
  <si>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</si>
  <si>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</si>
  <si>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</si>
  <si>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</si>
  <si>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</si>
  <si>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</si>
  <si>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</si>
  <si>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</si>
  <si>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</si>
  <si>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</si>
  <si>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</si>
  <si>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</si>
  <si>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</si>
  <si>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</si>
  <si>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</si>
  <si>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</si>
  <si>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</si>
  <si>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</si>
  <si>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</si>
  <si>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</si>
  <si>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</si>
  <si>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</si>
  <si>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</si>
  <si>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</si>
  <si>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</si>
  <si>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</si>
  <si>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</si>
  <si>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</si>
  <si>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</si>
  <si>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</si>
  <si>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</si>
  <si>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</si>
  <si>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</si>
  <si>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</si>
  <si>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</si>
  <si>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</si>
  <si>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</si>
  <si>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</si>
  <si>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</si>
  <si>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</si>
  <si>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</si>
  <si>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</si>
  <si>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</si>
  <si>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</si>
  <si>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</si>
  <si>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</si>
  <si>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</si>
  <si>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</si>
  <si>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</si>
  <si>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</si>
  <si>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</si>
  <si>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</si>
  <si>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</si>
  <si>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</si>
  <si>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</si>
  <si>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</si>
  <si>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</si>
  <si>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</si>
  <si>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</si>
  <si>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</si>
  <si>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</si>
  <si>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</si>
  <si>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</si>
  <si>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</si>
  <si>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</si>
  <si>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</si>
  <si>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</si>
  <si>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</si>
  <si>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</si>
  <si>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</si>
  <si>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</si>
  <si>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</si>
  <si>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</si>
  <si>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</si>
  <si>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</si>
  <si>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</si>
  <si>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</si>
  <si>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</si>
  <si>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</si>
  <si>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</si>
  <si>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</si>
  <si>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</si>
  <si>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</si>
  <si>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</si>
  <si>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</si>
  <si>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</si>
  <si>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</si>
  <si>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</si>
  <si>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</si>
  <si>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</si>
  <si>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</si>
  <si>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</si>
  <si>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</si>
  <si>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</si>
  <si>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</si>
  <si>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</si>
  <si>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</si>
  <si>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</si>
  <si>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</si>
  <si>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</si>
  <si>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</si>
  <si>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</si>
  <si>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</si>
  <si>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</si>
  <si>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</si>
  <si>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</si>
  <si>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</si>
  <si>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</si>
  <si>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</si>
  <si>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</si>
  <si>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</si>
  <si>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</si>
  <si>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</si>
  <si>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</si>
  <si>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</si>
  <si>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</si>
  <si>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</si>
  <si>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</si>
  <si>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</si>
  <si>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</si>
  <si>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</si>
  <si>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</si>
  <si>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</si>
  <si>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</si>
  <si>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</si>
  <si>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</si>
  <si>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</si>
  <si>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</si>
  <si>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</si>
  <si>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</si>
  <si>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</si>
  <si>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</si>
  <si>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</si>
  <si>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</si>
  <si>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</si>
  <si>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</si>
  <si>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</si>
  <si>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</si>
  <si>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</si>
  <si>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</si>
  <si>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</si>
  <si>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</si>
  <si>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</si>
  <si>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</si>
  <si>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</si>
  <si>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</si>
  <si>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</si>
  <si>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</si>
  <si>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</si>
  <si>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</si>
  <si>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</si>
  <si>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</si>
  <si>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</si>
  <si>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</si>
  <si>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</si>
  <si>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</si>
  <si>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</si>
  <si>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</si>
  <si>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</si>
  <si>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</si>
  <si>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</si>
  <si>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</si>
  <si>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</si>
  <si>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</si>
  <si>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</si>
  <si>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</si>
  <si>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</si>
  <si>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</si>
  <si>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</si>
  <si>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</si>
  <si>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</si>
  <si>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</si>
  <si>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</si>
  <si>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</si>
  <si>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</si>
  <si>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</si>
  <si>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</si>
  <si>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</si>
  <si>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</si>
  <si>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</si>
  <si>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</si>
  <si>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</si>
  <si>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</si>
  <si>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</si>
  <si>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</si>
  <si>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</si>
  <si>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</si>
  <si>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</si>
  <si>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</si>
  <si>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</si>
  <si>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</si>
  <si>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</si>
  <si>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</si>
  <si>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</si>
  <si>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</si>
  <si>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</si>
  <si>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</si>
  <si>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</si>
  <si>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</si>
  <si>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</si>
  <si>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</si>
  <si>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</si>
  <si>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</si>
  <si>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</si>
  <si>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</si>
  <si>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</si>
  <si>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</si>
  <si>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</si>
  <si>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</si>
  <si>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</si>
  <si>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</si>
  <si>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</si>
  <si>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</si>
  <si>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</si>
  <si>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</si>
  <si>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</si>
  <si>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</si>
  <si>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</si>
  <si>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</si>
  <si>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</si>
  <si>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</si>
  <si>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</si>
  <si>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</si>
  <si>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</si>
  <si>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</si>
  <si>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</si>
  <si>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</si>
  <si>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</si>
  <si>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</si>
  <si>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</si>
  <si>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</si>
  <si>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</si>
  <si>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</si>
  <si>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</si>
  <si>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</si>
  <si>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</si>
  <si>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</si>
  <si>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</si>
  <si>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</si>
  <si>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</si>
  <si>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</si>
  <si>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</si>
  <si>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</si>
  <si>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</si>
  <si>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</si>
  <si>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</si>
  <si>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</si>
  <si>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</si>
  <si>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</si>
  <si>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</si>
  <si>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</si>
  <si>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</si>
  <si>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</si>
  <si>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</si>
  <si>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</si>
  <si>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</si>
  <si>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</si>
  <si>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</si>
  <si>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</si>
  <si>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</si>
  <si>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</si>
  <si>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</si>
  <si>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</si>
  <si>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</si>
  <si>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</si>
  <si>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</si>
  <si>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</si>
  <si>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</si>
  <si>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</si>
  <si>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</si>
  <si>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</si>
  <si>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</si>
  <si>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</si>
  <si>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</si>
  <si>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</si>
  <si>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</si>
  <si>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</si>
  <si>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</si>
  <si>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</si>
  <si>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</si>
  <si>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</si>
  <si>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</si>
  <si>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</si>
  <si>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</si>
  <si>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</si>
  <si>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</si>
  <si>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</si>
  <si>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</si>
  <si>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</si>
  <si>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</si>
  <si>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</si>
  <si>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</si>
  <si>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</si>
  <si>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</si>
  <si>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</si>
  <si>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</si>
  <si>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</si>
  <si>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</si>
  <si>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</si>
  <si>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</si>
  <si>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</si>
  <si>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</si>
  <si>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</si>
  <si>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</si>
  <si>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</si>
  <si>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</si>
  <si>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</si>
  <si>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</si>
  <si>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</si>
  <si>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</si>
  <si>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</si>
  <si>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</si>
  <si>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</si>
  <si>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</si>
  <si>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</si>
  <si>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</si>
  <si>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</si>
  <si>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</si>
  <si>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</si>
  <si>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</si>
  <si>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</si>
  <si>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</si>
  <si>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</si>
  <si>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</si>
  <si>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</si>
  <si>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</si>
  <si>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</si>
  <si>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</si>
  <si>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</si>
  <si>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</si>
  <si>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</si>
  <si>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</si>
  <si>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</si>
  <si>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</si>
  <si>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</si>
  <si>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</si>
  <si>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</si>
  <si>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</si>
  <si>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</si>
  <si>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</si>
  <si>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</si>
  <si>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</si>
  <si>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</si>
  <si>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</si>
  <si>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</si>
  <si>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</si>
  <si>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</si>
  <si>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</si>
  <si>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</si>
  <si>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</si>
  <si>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</si>
  <si>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</si>
  <si>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</si>
  <si>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</si>
  <si>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</si>
  <si>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</si>
  <si>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</si>
  <si>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</si>
  <si>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</si>
  <si>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</si>
  <si>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</si>
  <si>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</si>
  <si>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</si>
  <si>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</si>
  <si>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</si>
  <si>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</si>
  <si>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</si>
  <si>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</si>
  <si>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</si>
  <si>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</si>
  <si>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</si>
  <si>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</si>
  <si>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</si>
  <si>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</si>
  <si>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</si>
  <si>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</si>
  <si>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</si>
  <si>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</si>
  <si>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</si>
  <si>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</si>
  <si>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</si>
  <si>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</si>
  <si>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</si>
  <si>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</si>
  <si>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</si>
  <si>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</si>
  <si>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</si>
  <si>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</si>
  <si>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</si>
  <si>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</si>
  <si>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</si>
  <si>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</si>
  <si>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</si>
  <si>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</si>
  <si>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</si>
  <si>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</si>
  <si>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</si>
  <si>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</si>
  <si>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</si>
  <si>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</si>
  <si>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</si>
  <si>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</si>
  <si>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</si>
  <si>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</si>
  <si>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</si>
  <si>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</si>
  <si>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</si>
  <si>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</si>
  <si>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</si>
  <si>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</si>
  <si>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</si>
  <si>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</si>
  <si>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</si>
  <si>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</si>
  <si>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</si>
  <si>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</si>
  <si>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</si>
  <si>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</si>
  <si>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</si>
  <si>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</si>
  <si>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</si>
  <si>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</si>
  <si>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</si>
  <si>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</si>
  <si>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</si>
  <si>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</si>
  <si>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</si>
  <si>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</si>
  <si>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</si>
  <si>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</si>
  <si>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</si>
  <si>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</si>
  <si>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</si>
  <si>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</si>
  <si>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</si>
  <si>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</si>
  <si>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</si>
  <si>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</si>
  <si>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</si>
  <si>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</si>
  <si>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</si>
  <si>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</si>
  <si>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</si>
  <si>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</si>
  <si>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</si>
  <si>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</si>
  <si>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</si>
  <si>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</si>
  <si>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</si>
  <si>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</si>
  <si>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</si>
  <si>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</si>
  <si>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</si>
  <si>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</si>
  <si>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</si>
  <si>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</si>
  <si>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</si>
  <si>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</si>
  <si>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</si>
  <si>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</si>
  <si>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</si>
  <si>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</si>
  <si>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</si>
  <si>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</si>
  <si>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</si>
  <si>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</si>
  <si>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</si>
  <si>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</si>
  <si>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</si>
  <si>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</si>
  <si>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</si>
  <si>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</si>
  <si>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</si>
  <si>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</si>
  <si>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</si>
  <si>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</si>
  <si>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</si>
  <si>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</si>
  <si>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</si>
  <si>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</si>
  <si>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</si>
  <si>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</si>
  <si>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</si>
  <si>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</si>
  <si>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</si>
  <si>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</si>
  <si>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</si>
  <si>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</si>
  <si>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</si>
  <si>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</si>
  <si>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</si>
  <si>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</si>
  <si>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</si>
  <si>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</si>
  <si>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</si>
  <si>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</si>
  <si>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</si>
  <si>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</si>
  <si>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</si>
  <si>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</si>
  <si>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</si>
  <si>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</si>
  <si>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</si>
  <si>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</si>
  <si>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</si>
  <si>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</si>
  <si>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</si>
  <si>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</si>
  <si>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</si>
  <si>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</si>
  <si>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</si>
  <si>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</si>
  <si>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</si>
  <si>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</si>
  <si>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</si>
  <si>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</si>
  <si>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</si>
  <si>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</si>
  <si>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</si>
  <si>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</si>
  <si>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</si>
  <si>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</si>
  <si>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</si>
  <si>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</si>
  <si>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</si>
  <si>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</si>
  <si>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</si>
  <si>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</si>
  <si>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</si>
  <si>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</si>
  <si>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</si>
  <si>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</si>
  <si>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</si>
  <si>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</si>
  <si>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</si>
  <si>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</si>
  <si>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</si>
  <si>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</si>
  <si>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</si>
  <si>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</si>
  <si>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</si>
  <si>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</si>
  <si>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</si>
  <si>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</si>
  <si>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</si>
  <si>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</si>
  <si>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</si>
  <si>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</si>
  <si>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</si>
  <si>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</si>
  <si>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</si>
  <si>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</si>
  <si>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</si>
  <si>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</si>
  <si>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</si>
  <si>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</si>
  <si>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</si>
  <si>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</si>
  <si>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</si>
  <si>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</si>
  <si>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</si>
  <si>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</si>
  <si>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</si>
  <si>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</si>
  <si>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</si>
  <si>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</si>
  <si>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</si>
  <si>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</si>
  <si>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</si>
  <si>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</si>
  <si>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</si>
  <si>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</si>
  <si>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</si>
  <si>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</si>
  <si>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</si>
  <si>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</si>
  <si>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</si>
  <si>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</si>
  <si>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</si>
  <si>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</si>
  <si>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</si>
  <si>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</si>
  <si>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</si>
  <si>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</si>
  <si>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</si>
  <si>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</si>
  <si>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</si>
  <si>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</si>
  <si>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</si>
  <si>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</si>
  <si>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</si>
  <si>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</si>
  <si>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</si>
  <si>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</si>
  <si>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</si>
  <si>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</si>
  <si>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</si>
  <si>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</si>
  <si>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</si>
  <si>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</si>
  <si>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</si>
  <si>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</si>
  <si>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</si>
  <si>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</si>
  <si>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</si>
  <si>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</si>
  <si>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</si>
  <si>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</si>
  <si>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</si>
  <si>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</si>
  <si>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</si>
  <si>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</si>
  <si>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</si>
  <si>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</si>
  <si>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</si>
  <si>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</si>
  <si>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</si>
  <si>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</si>
  <si>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</si>
  <si>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</si>
  <si>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</si>
  <si>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</si>
  <si>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</si>
  <si>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</si>
  <si>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</si>
  <si>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</si>
  <si>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</si>
  <si>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</si>
  <si>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</si>
  <si>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</si>
  <si>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</si>
  <si>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</si>
  <si>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</si>
  <si>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</si>
  <si>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</si>
  <si>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</si>
  <si>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</si>
  <si>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</si>
  <si>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</si>
  <si>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</si>
  <si>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</si>
  <si>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</si>
  <si>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</si>
  <si>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</si>
  <si>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</si>
  <si>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</si>
  <si>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</si>
  <si>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</si>
  <si>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</si>
  <si>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</si>
  <si>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</si>
  <si>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</si>
  <si>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</si>
  <si>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</si>
  <si>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</si>
  <si>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</si>
  <si>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</si>
  <si>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</si>
  <si>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</si>
  <si>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</si>
  <si>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</si>
  <si>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</si>
  <si>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</si>
  <si>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</si>
  <si>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</si>
  <si>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</si>
  <si>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</si>
  <si>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</si>
  <si>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</si>
  <si>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</si>
  <si>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</si>
  <si>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</si>
  <si>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</si>
  <si>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</si>
  <si>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</si>
  <si>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</si>
  <si>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</si>
  <si>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</si>
  <si>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</si>
  <si>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</si>
  <si>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</si>
  <si>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</si>
  <si>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</si>
  <si>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</si>
  <si>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</si>
  <si>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</si>
  <si>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</si>
  <si>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</si>
  <si>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</si>
  <si>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</si>
  <si>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</si>
  <si>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</si>
  <si>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</si>
  <si>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</si>
  <si>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</si>
  <si>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</si>
  <si>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</si>
  <si>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</si>
  <si>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</si>
  <si>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</si>
  <si>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</si>
  <si>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</si>
  <si>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</si>
  <si>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</si>
  <si>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</si>
  <si>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</si>
  <si>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</si>
  <si>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</si>
  <si>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</si>
  <si>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</si>
  <si>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</si>
  <si>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</si>
  <si>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</si>
  <si>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</si>
  <si>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</si>
  <si>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</si>
  <si>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</si>
  <si>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</si>
  <si>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</si>
  <si>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</si>
  <si>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</si>
  <si>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</si>
  <si>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</si>
  <si>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</si>
  <si>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</si>
  <si>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</si>
  <si>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</si>
  <si>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</si>
  <si>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</si>
  <si>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</si>
  <si>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</si>
  <si>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</si>
  <si>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</si>
  <si>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</si>
  <si>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</si>
  <si>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</si>
  <si>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</si>
  <si>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</si>
  <si>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</si>
  <si>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</si>
  <si>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</si>
  <si>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</si>
  <si>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</si>
  <si>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</si>
  <si>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</si>
  <si>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</si>
  <si>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</si>
  <si>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</si>
  <si>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</si>
  <si>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</si>
  <si>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</si>
  <si>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</si>
  <si>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</si>
  <si>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</si>
  <si>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</si>
  <si>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</si>
  <si>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</si>
  <si>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</si>
  <si>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</si>
  <si>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</si>
  <si>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</si>
  <si>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</si>
  <si>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</si>
  <si>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</si>
  <si>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</si>
  <si>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</si>
  <si>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</si>
  <si>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</si>
  <si>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</si>
  <si>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</si>
  <si>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</si>
  <si>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</si>
  <si>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</si>
  <si>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</si>
  <si>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</si>
  <si>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</si>
  <si>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</si>
  <si>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</si>
  <si>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</si>
  <si>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</si>
  <si>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</si>
  <si>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</si>
  <si>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</si>
  <si>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</si>
  <si>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</si>
  <si>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</si>
  <si>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</si>
  <si>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</si>
  <si>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</si>
  <si>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</si>
  <si>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</si>
  <si>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</si>
  <si>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</si>
  <si>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</si>
  <si>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</si>
  <si>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</si>
  <si>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</si>
  <si>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</si>
  <si>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</si>
  <si>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</si>
  <si>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</si>
  <si>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</si>
  <si>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</si>
  <si>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</si>
  <si>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</si>
  <si>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</si>
  <si>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</si>
  <si>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</si>
  <si>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</si>
  <si>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</si>
  <si>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</si>
  <si>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</si>
  <si>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</si>
  <si>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</si>
  <si>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</si>
  <si>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</si>
  <si>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</si>
  <si>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</si>
  <si>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</si>
  <si>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</si>
  <si>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</si>
  <si>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</si>
  <si>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</si>
  <si>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</si>
  <si>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</si>
  <si>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</si>
  <si>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</si>
  <si>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</si>
  <si>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</si>
  <si>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</si>
  <si>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</si>
  <si>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</si>
  <si>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</si>
  <si>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</si>
  <si>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</si>
  <si>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</si>
  <si>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</si>
  <si>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</si>
  <si>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</si>
  <si>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</si>
  <si>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</si>
  <si>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</si>
  <si>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</si>
  <si>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</si>
  <si>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</si>
  <si>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</si>
  <si>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</si>
  <si>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</si>
  <si>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</si>
  <si>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</si>
  <si>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</si>
  <si>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</si>
  <si>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</si>
  <si>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</si>
  <si>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</si>
  <si>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</si>
  <si>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</si>
  <si>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</si>
  <si>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</si>
  <si>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</si>
  <si>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</si>
  <si>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</si>
  <si>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</si>
  <si>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</si>
  <si>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</si>
  <si>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</si>
  <si>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</si>
  <si>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</si>
  <si>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</si>
  <si>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</si>
  <si>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</si>
  <si>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</si>
  <si>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</si>
  <si>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</si>
  <si>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</si>
  <si>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</si>
  <si>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</si>
  <si>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</si>
  <si>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</si>
  <si>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</si>
  <si>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</si>
  <si>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</si>
  <si>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</si>
  <si>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</si>
  <si>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</si>
  <si>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</si>
  <si>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</si>
  <si>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</si>
  <si>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</si>
  <si>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</si>
  <si>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</si>
  <si>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</si>
  <si>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</si>
  <si>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</si>
  <si>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</si>
  <si>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</si>
  <si>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</si>
  <si>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</si>
  <si>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</si>
  <si>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</si>
  <si>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</si>
  <si>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</si>
  <si>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</si>
  <si>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</si>
  <si>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</si>
  <si>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</si>
  <si>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</si>
  <si>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</si>
  <si>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</si>
  <si>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</si>
  <si>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</si>
  <si>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</si>
  <si>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</si>
  <si>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</si>
  <si>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</si>
  <si>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</si>
  <si>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</si>
  <si>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</si>
  <si>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</si>
  <si>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</si>
  <si>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</si>
  <si>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</si>
  <si>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</si>
  <si>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</si>
  <si>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</si>
  <si>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</si>
  <si>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</si>
  <si>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</si>
  <si>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</si>
  <si>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</si>
  <si>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</si>
  <si>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</si>
  <si>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</si>
  <si>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</si>
  <si>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</si>
  <si>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</si>
  <si>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</si>
  <si>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</si>
  <si>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</si>
  <si>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</si>
  <si>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</si>
  <si>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</si>
  <si>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</si>
  <si>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</si>
  <si>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</si>
  <si>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</si>
  <si>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</si>
  <si>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</si>
  <si>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</si>
  <si>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</si>
  <si>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</si>
  <si>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</si>
  <si>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</si>
  <si>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</si>
  <si>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</si>
  <si>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</si>
  <si>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</si>
  <si>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</si>
  <si>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</si>
  <si>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</si>
  <si>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</si>
  <si>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</si>
  <si>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</si>
  <si>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</si>
  <si>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</si>
  <si>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</si>
  <si>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</si>
  <si>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</si>
  <si>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</si>
  <si>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</si>
  <si>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</si>
  <si>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</si>
  <si>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</si>
  <si>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</si>
  <si>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</si>
  <si>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</si>
  <si>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</si>
  <si>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</si>
  <si>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</si>
  <si>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</si>
  <si>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</si>
  <si>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</si>
  <si>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</si>
  <si>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</si>
  <si>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</si>
  <si>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</si>
  <si>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</si>
  <si>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</si>
  <si>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</si>
  <si>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</si>
  <si>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</si>
  <si>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</si>
  <si>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</si>
  <si>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</si>
  <si>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</si>
  <si>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</si>
  <si>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</si>
  <si>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</si>
  <si>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</si>
  <si>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</si>
  <si>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</si>
  <si>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</si>
  <si>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</si>
  <si>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</si>
  <si>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</si>
  <si>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</si>
  <si>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</si>
  <si>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</si>
  <si>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</si>
  <si>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</si>
  <si>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</si>
  <si>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</si>
  <si>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</si>
  <si>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</si>
  <si>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</si>
  <si>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</si>
  <si>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</si>
  <si>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</si>
  <si>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</si>
  <si>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</si>
  <si>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</si>
  <si>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</si>
  <si>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</si>
  <si>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</si>
  <si>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</si>
  <si>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</si>
  <si>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</si>
  <si>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</si>
  <si>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</si>
  <si>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</si>
  <si>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</si>
  <si>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</si>
  <si>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</si>
  <si>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</si>
  <si>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</si>
  <si>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</si>
  <si>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</si>
  <si>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</si>
  <si>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</si>
  <si>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</si>
  <si>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</si>
  <si>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</si>
  <si>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</si>
  <si>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</si>
  <si>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</si>
  <si>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</si>
  <si>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</si>
  <si>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</si>
  <si>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</si>
  <si>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</si>
  <si>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</si>
  <si>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</si>
  <si>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</si>
  <si>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</si>
  <si>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</si>
  <si>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</si>
  <si>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</si>
  <si>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</si>
  <si>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</si>
  <si>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</si>
  <si>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</si>
  <si>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</si>
  <si>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</si>
  <si>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</si>
  <si>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</si>
  <si>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</si>
  <si>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</si>
  <si>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</si>
  <si>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</si>
  <si>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</si>
  <si>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</si>
  <si>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</si>
  <si>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</si>
  <si>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</si>
  <si>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</si>
  <si>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</si>
  <si>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</si>
  <si>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</si>
  <si>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</si>
  <si>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</si>
  <si>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</si>
  <si>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</si>
  <si>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</si>
  <si>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</si>
  <si>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</si>
  <si>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</si>
  <si>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</si>
  <si>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</si>
  <si>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</si>
  <si>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</si>
  <si>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</si>
  <si>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</si>
  <si>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</si>
  <si>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</si>
  <si>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</si>
  <si>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</si>
  <si>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</si>
  <si>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</si>
  <si>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</si>
  <si>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</si>
  <si>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</si>
  <si>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</si>
  <si>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</si>
  <si>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</si>
  <si>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</si>
  <si>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</si>
  <si>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</si>
  <si>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</si>
  <si>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</si>
  <si>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</si>
  <si>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</si>
  <si>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</si>
  <si>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</si>
  <si>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</si>
  <si>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</si>
  <si>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</si>
  <si>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</si>
  <si>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</si>
  <si>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</si>
  <si>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</si>
  <si>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</si>
  <si>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</si>
  <si>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</si>
  <si>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</si>
  <si>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</si>
  <si>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</si>
  <si>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</si>
  <si>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</si>
  <si>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</si>
  <si>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</si>
  <si>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</si>
  <si>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</si>
  <si>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</si>
  <si>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</si>
  <si>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</si>
  <si>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</si>
  <si>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</si>
  <si>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</si>
  <si>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</si>
  <si>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</si>
  <si>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</si>
  <si>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</si>
  <si>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</si>
  <si>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</si>
  <si>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</si>
  <si>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</si>
  <si>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</si>
  <si>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</si>
  <si>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</si>
  <si>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</si>
  <si>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</si>
  <si>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</si>
  <si>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</si>
  <si>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</si>
  <si>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</si>
  <si>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</si>
  <si>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</si>
  <si>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</si>
  <si>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</si>
  <si>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</si>
  <si>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</si>
  <si>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</si>
  <si>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</si>
  <si>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</si>
  <si>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</si>
  <si>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</si>
  <si>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</si>
  <si>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</si>
  <si>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</si>
  <si>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</si>
  <si>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</si>
  <si>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</si>
  <si>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</si>
  <si>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</si>
  <si>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</si>
  <si>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</si>
  <si>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</si>
  <si>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</si>
  <si>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</si>
  <si>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</si>
  <si>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</si>
  <si>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</si>
  <si>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</si>
  <si>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</si>
  <si>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</si>
  <si>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</si>
  <si>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</si>
  <si>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</si>
  <si>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</si>
  <si>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</si>
  <si>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</si>
  <si>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</si>
  <si>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</si>
  <si>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</si>
  <si>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</si>
  <si>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</si>
  <si>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</si>
  <si>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</si>
  <si>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</si>
  <si>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</si>
  <si>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</si>
  <si>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</si>
  <si>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</si>
  <si>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</si>
  <si>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</si>
  <si>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</si>
  <si>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</si>
  <si>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</si>
  <si>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</si>
  <si>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</si>
  <si>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</si>
  <si>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</si>
  <si>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</si>
  <si>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</si>
  <si>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</si>
  <si>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</si>
  <si>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</si>
  <si>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</si>
  <si>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</si>
  <si>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</si>
  <si>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</si>
  <si>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</si>
  <si>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</si>
  <si>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</si>
  <si>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</si>
  <si>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</si>
  <si>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</si>
  <si>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</si>
  <si>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</si>
  <si>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</si>
  <si>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</si>
  <si>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</si>
  <si>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</si>
  <si>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</si>
  <si>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</si>
  <si>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</si>
  <si>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</si>
  <si>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</si>
  <si>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</si>
  <si>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</si>
  <si>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</si>
  <si>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</si>
  <si>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</si>
  <si>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</si>
  <si>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</si>
  <si>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</si>
  <si>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</si>
  <si>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</si>
  <si>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</si>
  <si>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</si>
  <si>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</si>
  <si>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</si>
  <si>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</si>
  <si>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</si>
  <si>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</si>
  <si>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</si>
  <si>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</si>
  <si>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</si>
  <si>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</si>
  <si>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</si>
  <si>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</si>
  <si>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</si>
  <si>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</si>
  <si>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</si>
  <si>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</si>
  <si>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</si>
  <si>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</si>
  <si>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</si>
  <si>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</si>
  <si>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</si>
  <si>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</si>
  <si>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</si>
  <si>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</si>
  <si>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</si>
  <si>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</si>
  <si>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</si>
  <si>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</si>
  <si>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</si>
  <si>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</si>
  <si>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</si>
  <si>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</si>
  <si>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</si>
  <si>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</si>
  <si>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</si>
  <si>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</si>
  <si>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</si>
  <si>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</si>
  <si>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</si>
  <si>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</si>
  <si>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</si>
  <si>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</si>
  <si>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</si>
  <si>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</si>
  <si>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</si>
  <si>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</si>
  <si>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</si>
  <si>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</si>
  <si>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</si>
  <si>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</si>
  <si>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</si>
  <si>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</si>
  <si>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</si>
  <si>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</si>
  <si>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</si>
  <si>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</si>
  <si>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</si>
  <si>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</si>
  <si>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</si>
  <si>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</si>
  <si>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</si>
  <si>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</si>
  <si>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</si>
  <si>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</si>
  <si>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</si>
  <si>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</si>
  <si>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</si>
  <si>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</si>
  <si>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</si>
  <si>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</si>
  <si>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</si>
  <si>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</si>
  <si>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</si>
  <si>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</si>
  <si>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</si>
  <si>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</si>
  <si>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</si>
  <si>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</si>
  <si>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</si>
  <si>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</si>
  <si>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</si>
  <si>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</si>
  <si>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</si>
  <si>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</si>
  <si>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</si>
  <si>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</si>
  <si>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</si>
  <si>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</si>
  <si>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</si>
  <si>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</si>
  <si>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</si>
  <si>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</si>
  <si>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</si>
  <si>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</si>
  <si>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</si>
  <si>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</si>
  <si>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</si>
  <si>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</si>
  <si>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</si>
  <si>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</si>
  <si>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</si>
  <si>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</si>
  <si>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</si>
  <si>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</si>
  <si>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</si>
  <si>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</si>
  <si>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</si>
  <si>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</si>
  <si>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</si>
  <si>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</si>
  <si>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</si>
  <si>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</si>
  <si>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</si>
  <si>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</si>
  <si>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</si>
  <si>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</si>
  <si>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</si>
  <si>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</si>
  <si>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</si>
  <si>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</si>
  <si>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</si>
  <si>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</si>
  <si>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</si>
  <si>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</si>
  <si>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</si>
  <si>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</si>
  <si>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</si>
  <si>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</si>
  <si>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</si>
  <si>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</si>
  <si>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</si>
  <si>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</si>
  <si>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</si>
  <si>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</si>
  <si>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</si>
  <si>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</si>
  <si>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</si>
  <si>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</si>
  <si>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</si>
  <si>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</si>
  <si>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</si>
  <si>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</si>
  <si>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</si>
  <si>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</si>
  <si>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</si>
  <si>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</si>
  <si>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</si>
  <si>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</si>
  <si>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</si>
  <si>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</si>
  <si>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</si>
  <si>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</si>
  <si>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</si>
  <si>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</si>
  <si>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</si>
  <si>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</si>
  <si>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</si>
  <si>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</si>
  <si>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</si>
  <si>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</si>
  <si>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</si>
  <si>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</si>
  <si>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</si>
  <si>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</si>
  <si>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</si>
  <si>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</si>
  <si>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</si>
  <si>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</si>
  <si>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</si>
  <si>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</si>
  <si>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</si>
  <si>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</si>
  <si>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</si>
  <si>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</si>
  <si>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</si>
  <si>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</si>
  <si>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</si>
  <si>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</si>
  <si>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</si>
  <si>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</si>
  <si>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</si>
  <si>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</si>
  <si>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</si>
  <si>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</si>
  <si>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</si>
  <si>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</si>
  <si>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</si>
  <si>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</si>
  <si>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</si>
  <si>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</si>
  <si>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</si>
  <si>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</si>
  <si>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</si>
  <si>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</si>
  <si>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</si>
  <si>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</si>
  <si>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</si>
  <si>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</si>
  <si>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</si>
  <si>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</si>
  <si>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</si>
  <si>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</si>
  <si>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</si>
  <si>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</si>
  <si>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</si>
  <si>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</si>
  <si>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</si>
  <si>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</si>
  <si>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</si>
  <si>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</si>
  <si>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</si>
  <si>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</si>
  <si>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</si>
  <si>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</si>
  <si>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</si>
  <si>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</si>
  <si>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</si>
  <si>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</si>
  <si>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</si>
  <si>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</si>
  <si>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</si>
  <si>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</si>
  <si>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</si>
  <si>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</si>
  <si>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</si>
  <si>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</si>
  <si>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</si>
  <si>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</si>
  <si>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</si>
  <si>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</si>
  <si>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</si>
  <si>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</si>
  <si>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</si>
  <si>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</si>
  <si>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</si>
  <si>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</si>
  <si>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</si>
  <si>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</si>
  <si>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</si>
  <si>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</si>
  <si>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</si>
  <si>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</si>
  <si>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</si>
  <si>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</si>
  <si>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</si>
  <si>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</si>
  <si>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</si>
  <si>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</si>
  <si>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</si>
  <si>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</si>
  <si>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</si>
  <si>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</si>
  <si>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</si>
  <si>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</si>
  <si>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</si>
  <si>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</si>
  <si>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</si>
  <si>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</si>
  <si>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</si>
  <si>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</si>
  <si>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</si>
  <si>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</si>
  <si>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</si>
  <si>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</si>
  <si>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</si>
  <si>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</si>
  <si>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</si>
  <si>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</si>
  <si>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</si>
  <si>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</si>
  <si>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</si>
  <si>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</si>
  <si>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</si>
  <si>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</si>
  <si>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</si>
  <si>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</si>
  <si>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</si>
  <si>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</si>
  <si>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</si>
  <si>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</si>
  <si>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</si>
  <si>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</si>
  <si>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</si>
  <si>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</si>
  <si>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</si>
  <si>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</si>
  <si>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</si>
  <si>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</si>
  <si>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</si>
  <si>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</si>
  <si>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</si>
  <si>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</si>
  <si>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</si>
  <si>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</si>
  <si>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</si>
  <si>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</si>
  <si>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</si>
  <si>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</si>
  <si>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</si>
  <si>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</si>
  <si>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</si>
  <si>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</si>
  <si>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</si>
  <si>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</si>
  <si>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</si>
  <si>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</si>
  <si>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</si>
  <si>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</si>
  <si>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</si>
  <si>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</si>
  <si>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</si>
  <si>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</si>
  <si>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</si>
  <si>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</si>
  <si>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</si>
  <si>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</si>
  <si>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</si>
  <si>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</si>
  <si>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</si>
  <si>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</si>
  <si>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</si>
  <si>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</si>
  <si>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</si>
  <si>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</si>
  <si>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</si>
  <si>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</si>
  <si>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</si>
  <si>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</si>
  <si>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</si>
  <si>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</si>
  <si>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</si>
  <si>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</si>
  <si>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</si>
  <si>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</si>
  <si>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</si>
  <si>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</si>
  <si>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</si>
  <si>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</si>
  <si>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</si>
  <si>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</si>
  <si>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</si>
  <si>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</si>
  <si>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</si>
  <si>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</si>
  <si>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</si>
  <si>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</si>
  <si>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</si>
  <si>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</si>
  <si>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</si>
  <si>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</si>
  <si>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</si>
  <si>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</si>
  <si>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</si>
  <si>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</si>
  <si>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</si>
  <si>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</si>
  <si>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</si>
  <si>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</si>
  <si>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</si>
  <si>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</si>
  <si>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</si>
  <si>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</si>
  <si>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</si>
  <si>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</si>
  <si>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</si>
  <si>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</si>
  <si>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</si>
  <si>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</si>
  <si>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</si>
  <si>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</si>
  <si>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</si>
  <si>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</si>
  <si>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</si>
  <si>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</si>
  <si>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</si>
  <si>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</si>
  <si>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</si>
  <si>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</si>
  <si>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</si>
  <si>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</si>
  <si>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</si>
  <si>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</si>
  <si>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</si>
  <si>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</si>
  <si>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</si>
  <si>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</si>
  <si>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</si>
  <si>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</si>
  <si>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</si>
  <si>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</si>
  <si>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</si>
  <si>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</si>
  <si>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</si>
  <si>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</si>
  <si>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</si>
  <si>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</si>
  <si>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</si>
  <si>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</si>
  <si>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</si>
  <si>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</si>
  <si>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</si>
  <si>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</si>
  <si>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</si>
  <si>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</si>
  <si>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</si>
  <si>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</si>
  <si>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</si>
  <si>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</si>
  <si>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</si>
  <si>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</si>
  <si>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</si>
  <si>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</si>
  <si>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</si>
  <si>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</si>
  <si>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</si>
  <si>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</si>
  <si>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</si>
  <si>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</si>
  <si>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</si>
  <si>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</si>
  <si>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</si>
  <si>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</si>
  <si>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</si>
  <si>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</si>
  <si>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</si>
  <si>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</si>
  <si>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</si>
  <si>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</si>
  <si>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</si>
  <si>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</si>
  <si>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</si>
  <si>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</si>
  <si>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</si>
  <si>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</si>
  <si>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</si>
  <si>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</si>
  <si>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</si>
  <si>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</si>
  <si>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</si>
  <si>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</si>
  <si>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</si>
  <si>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</si>
  <si>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</si>
  <si>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</si>
  <si>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</si>
  <si>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</si>
  <si>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</si>
  <si>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</si>
  <si>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</si>
  <si>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</si>
  <si>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</si>
  <si>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</si>
  <si>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</si>
  <si>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</si>
  <si>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</si>
  <si>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</si>
  <si>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</si>
  <si>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</si>
  <si>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</si>
  <si>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</si>
  <si>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</si>
  <si>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</si>
  <si>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</si>
  <si>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</si>
  <si>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</si>
  <si>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</si>
  <si>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</si>
  <si>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</si>
  <si>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</si>
  <si>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</si>
  <si>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</si>
  <si>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</si>
  <si>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</si>
  <si>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</si>
  <si>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</si>
  <si>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</si>
  <si>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</si>
  <si>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</si>
  <si>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</si>
  <si>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</si>
  <si>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</si>
  <si>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</si>
  <si>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</si>
  <si>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</si>
  <si>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</si>
  <si>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</si>
  <si>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</si>
  <si>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</si>
  <si>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</si>
  <si>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</si>
  <si>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</si>
  <si>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</si>
  <si>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</si>
  <si>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</si>
  <si>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</si>
  <si>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</si>
  <si>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</si>
  <si>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</si>
  <si>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</si>
  <si>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</si>
  <si>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</si>
  <si>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</si>
  <si>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</si>
  <si>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</si>
  <si>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</si>
  <si>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</si>
  <si>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</si>
  <si>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</si>
  <si>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</si>
  <si>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</si>
  <si>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</si>
  <si>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</si>
  <si>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</si>
  <si>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</si>
  <si>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</si>
  <si>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</si>
  <si>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</si>
  <si>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</si>
  <si>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</si>
  <si>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</si>
  <si>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</si>
  <si>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</si>
  <si>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</si>
  <si>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</si>
  <si>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</si>
  <si>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</si>
  <si>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</si>
  <si>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</si>
  <si>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</si>
  <si>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</si>
  <si>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</si>
  <si>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</si>
  <si>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</si>
  <si>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</si>
  <si>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</si>
  <si>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</si>
  <si>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</si>
  <si>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</si>
  <si>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</si>
  <si>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</si>
  <si>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</si>
  <si>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</si>
  <si>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</si>
  <si>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</si>
  <si>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</si>
  <si>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</si>
  <si>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</si>
  <si>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</si>
  <si>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</si>
  <si>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</si>
  <si>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</si>
  <si>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</si>
  <si>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</si>
  <si>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</si>
  <si>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</si>
  <si>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</si>
  <si>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</si>
  <si>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</si>
  <si>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</si>
  <si>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</si>
  <si>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</si>
  <si>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</si>
  <si>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</si>
  <si>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</si>
  <si>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</si>
  <si>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</si>
  <si>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</si>
  <si>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</si>
  <si>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</si>
  <si>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</si>
  <si>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</si>
  <si>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</si>
  <si>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</si>
  <si>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</si>
  <si>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</si>
  <si>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</si>
  <si>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</si>
  <si>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</si>
  <si>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</si>
  <si>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</si>
  <si>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</si>
  <si>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</si>
  <si>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</si>
  <si>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</si>
  <si>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</si>
  <si>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</si>
  <si>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</si>
  <si>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</si>
  <si>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</si>
  <si>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</si>
  <si>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</si>
  <si>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</si>
  <si>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</si>
  <si>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</si>
  <si>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</si>
  <si>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</si>
  <si>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</si>
  <si>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</si>
  <si>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</si>
  <si>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</si>
  <si>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</si>
  <si>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</si>
  <si>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</si>
  <si>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</si>
  <si>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</si>
  <si>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</si>
  <si>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</si>
  <si>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</si>
  <si>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</si>
  <si>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</si>
  <si>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</si>
  <si>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</si>
  <si>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</si>
  <si>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</si>
  <si>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</si>
  <si>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</si>
  <si>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</si>
  <si>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</si>
  <si>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</si>
  <si>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</si>
  <si>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</si>
  <si>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</si>
  <si>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</si>
  <si>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</si>
  <si>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</si>
  <si>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</si>
  <si>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</si>
  <si>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</si>
  <si>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</si>
  <si>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</si>
  <si>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</si>
  <si>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</si>
  <si>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</si>
  <si>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</si>
  <si>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</si>
  <si>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</si>
  <si>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</si>
  <si>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</si>
  <si>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</si>
  <si>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</si>
  <si>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</si>
  <si>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</si>
  <si>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</si>
  <si>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</si>
  <si>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</si>
  <si>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</si>
  <si>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</si>
  <si>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</si>
  <si>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</si>
  <si>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</si>
  <si>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</si>
  <si>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</si>
  <si>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</si>
  <si>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</si>
  <si>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</si>
  <si>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</si>
  <si>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</si>
  <si>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</si>
  <si>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</si>
  <si>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</si>
  <si>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</si>
  <si>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</si>
  <si>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</si>
  <si>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</si>
  <si>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</si>
  <si>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</si>
  <si>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</si>
  <si>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</si>
  <si>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</si>
  <si>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</si>
  <si>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</si>
  <si>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</si>
  <si>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</si>
  <si>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</si>
  <si>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</si>
  <si>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</si>
  <si>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</si>
  <si>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</si>
  <si>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</si>
  <si>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</si>
  <si>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</si>
  <si>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</si>
  <si>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</si>
  <si>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</si>
  <si>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</si>
  <si>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</si>
  <si>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</si>
  <si>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</si>
  <si>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</si>
  <si>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</si>
  <si>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</si>
  <si>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</si>
  <si>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</si>
  <si>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</si>
  <si>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</si>
  <si>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</si>
  <si>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</si>
  <si>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</si>
  <si>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</si>
  <si>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</si>
  <si>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</si>
  <si>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</si>
  <si>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</si>
  <si>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</si>
  <si>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</si>
  <si>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</si>
  <si>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</si>
  <si>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</si>
  <si>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</si>
  <si>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</si>
  <si>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</si>
  <si>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</si>
  <si>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</si>
  <si>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</si>
  <si>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</si>
  <si>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</si>
  <si>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</si>
  <si>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</si>
  <si>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</si>
  <si>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</si>
  <si>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</si>
  <si>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</si>
  <si>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</si>
  <si>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</si>
  <si>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</si>
  <si>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</si>
  <si>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</si>
  <si>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</si>
  <si>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</si>
  <si>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</si>
  <si>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</si>
  <si>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</si>
  <si>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</si>
  <si>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</si>
  <si>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</si>
  <si>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</si>
  <si>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</si>
  <si>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</si>
  <si>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</si>
  <si>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</si>
  <si>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</si>
  <si>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</si>
  <si>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</si>
  <si>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</si>
  <si>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</si>
  <si>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</si>
  <si>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</si>
  <si>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</si>
  <si>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</si>
  <si>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</si>
  <si>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</si>
  <si>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</si>
  <si>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</si>
  <si>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</si>
  <si>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</si>
  <si>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</si>
  <si>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</si>
  <si>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</si>
  <si>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</si>
  <si>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</si>
  <si>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</si>
  <si>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</si>
  <si>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</si>
  <si>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</si>
  <si>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</si>
  <si>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</si>
  <si>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</si>
  <si>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</si>
  <si>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</si>
  <si>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</si>
  <si>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</si>
  <si>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</si>
  <si>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</si>
  <si>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</si>
  <si>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</si>
  <si>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</si>
  <si>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</si>
  <si>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</si>
  <si>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</si>
  <si>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</si>
  <si>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</si>
  <si>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</si>
  <si>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</si>
  <si>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</si>
  <si>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</si>
  <si>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</si>
  <si>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</si>
  <si>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</si>
  <si>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</si>
  <si>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</si>
  <si>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</si>
  <si>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</si>
  <si>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</si>
  <si>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</si>
  <si>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</si>
  <si>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</si>
  <si>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</si>
  <si>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</si>
  <si>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</si>
  <si>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</si>
  <si>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</si>
  <si>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</si>
  <si>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</si>
  <si>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</si>
  <si>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</si>
  <si>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</si>
  <si>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</si>
  <si>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</si>
  <si>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</si>
  <si>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</si>
  <si>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</si>
  <si>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</si>
  <si>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</si>
  <si>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</si>
  <si>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</si>
  <si>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</si>
  <si>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</si>
  <si>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</si>
  <si>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</si>
  <si>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</si>
  <si>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</si>
  <si>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</si>
  <si>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</si>
  <si>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</si>
  <si>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</si>
  <si>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</si>
  <si>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</si>
  <si>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</si>
  <si>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</si>
  <si>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</si>
  <si>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</si>
  <si>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</si>
  <si>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</si>
  <si>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</si>
  <si>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</si>
  <si>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</si>
  <si>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</si>
  <si>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</si>
  <si>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</si>
  <si>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</si>
  <si>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</si>
  <si>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</si>
  <si>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</si>
  <si>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</si>
  <si>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</si>
  <si>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</si>
  <si>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</si>
  <si>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</si>
  <si>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</si>
  <si>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</si>
  <si>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</si>
  <si>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</si>
  <si>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</si>
  <si>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</si>
  <si>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</si>
  <si>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</si>
  <si>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</si>
  <si>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</si>
  <si>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</si>
  <si>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</si>
  <si>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</si>
  <si>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</si>
  <si>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</si>
  <si>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</si>
  <si>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</si>
  <si>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</si>
  <si>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</si>
  <si>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</si>
  <si>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</si>
  <si>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</si>
  <si>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</si>
  <si>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</si>
  <si>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</si>
  <si>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</si>
  <si>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</si>
  <si>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</si>
  <si>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</si>
  <si>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</si>
  <si>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</si>
  <si>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</si>
  <si>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</si>
  <si>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</si>
  <si>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</si>
  <si>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</si>
  <si>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</si>
  <si>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</si>
  <si>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</si>
  <si>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</si>
  <si>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</si>
  <si>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</si>
  <si>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</si>
  <si>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</si>
  <si>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</si>
  <si>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</si>
  <si>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</si>
  <si>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</si>
  <si>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</si>
  <si>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</si>
  <si>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</si>
  <si>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</si>
  <si>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</si>
  <si>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</si>
  <si>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</si>
  <si>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</si>
  <si>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</si>
  <si>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</si>
  <si>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</si>
  <si>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</si>
  <si>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</si>
  <si>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</si>
  <si>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</si>
  <si>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</si>
  <si>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</si>
  <si>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</si>
  <si>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</si>
  <si>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</si>
  <si>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</si>
  <si>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</si>
  <si>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</si>
  <si>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</si>
  <si>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</si>
  <si>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</si>
  <si>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</si>
  <si>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</si>
  <si>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</si>
  <si>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</si>
  <si>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</si>
  <si>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</si>
  <si>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</si>
  <si>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</si>
  <si>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</si>
  <si>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</si>
  <si>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</si>
  <si>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</si>
  <si>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</si>
  <si>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</si>
  <si>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</si>
  <si>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</si>
  <si>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</si>
  <si>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</si>
  <si>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</si>
  <si>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</si>
  <si>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</si>
  <si>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</si>
  <si>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</si>
  <si>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</si>
  <si>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</si>
  <si>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</si>
  <si>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</si>
  <si>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</si>
  <si>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</si>
  <si>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</si>
  <si>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</si>
  <si>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</si>
  <si>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</si>
  <si>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</si>
  <si>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</si>
  <si>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</si>
  <si>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</si>
  <si>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</si>
  <si>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</si>
  <si>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</si>
  <si>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</si>
  <si>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</si>
  <si>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</si>
  <si>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</si>
  <si>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</si>
  <si>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</si>
  <si>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</si>
  <si>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</si>
  <si>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</si>
  <si>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</si>
  <si>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</si>
  <si>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</si>
  <si>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</si>
  <si>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</si>
  <si>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</si>
  <si>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</si>
  <si>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</si>
  <si>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</si>
  <si>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</si>
  <si>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</si>
  <si>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</si>
  <si>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</si>
  <si>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</si>
  <si>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</si>
  <si>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</si>
  <si>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</si>
  <si>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</si>
  <si>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</si>
  <si>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</si>
  <si>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</si>
  <si>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</si>
  <si>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</si>
  <si>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</si>
  <si>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</si>
  <si>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</si>
  <si>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</si>
  <si>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</si>
  <si>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</si>
  <si>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</si>
  <si>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</si>
  <si>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</si>
  <si>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</si>
  <si>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</si>
  <si>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</si>
  <si>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</si>
  <si>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</si>
  <si>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</si>
  <si>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</si>
  <si>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</si>
  <si>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</si>
  <si>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</si>
  <si>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</si>
  <si>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</si>
  <si>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</si>
  <si>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</si>
  <si>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</si>
  <si>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</si>
  <si>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</si>
  <si>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</si>
  <si>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</si>
  <si>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</si>
  <si>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</si>
  <si>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</si>
  <si>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</si>
  <si>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</si>
  <si>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</si>
  <si>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</si>
  <si>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</si>
  <si>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</si>
  <si>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</si>
  <si>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</si>
  <si>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</si>
  <si>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</si>
  <si>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</si>
  <si>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</si>
  <si>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</si>
  <si>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</si>
  <si>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</si>
  <si>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</si>
  <si>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</si>
  <si>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</si>
  <si>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</si>
  <si>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</si>
  <si>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</si>
  <si>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</si>
  <si>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</si>
  <si>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</si>
  <si>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</si>
  <si>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</si>
  <si>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</si>
  <si>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</si>
  <si>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</si>
  <si>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</si>
  <si>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</si>
  <si>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</si>
  <si>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</si>
  <si>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</si>
  <si>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</si>
  <si>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</si>
  <si>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</si>
  <si>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</si>
  <si>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</si>
  <si>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</si>
  <si>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</si>
  <si>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</si>
  <si>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</si>
  <si>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</si>
  <si>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</si>
  <si>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</si>
  <si>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</si>
  <si>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</si>
  <si>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</si>
  <si>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</si>
  <si>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</si>
  <si>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</si>
  <si>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</si>
  <si>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</si>
  <si>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</si>
  <si>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</si>
  <si>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</si>
  <si>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</si>
  <si>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</si>
  <si>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</si>
  <si>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</si>
  <si>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</si>
  <si>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</si>
  <si>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</si>
  <si>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</si>
  <si>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</si>
  <si>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</si>
  <si>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</si>
  <si>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</si>
  <si>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</si>
  <si>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</si>
  <si>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</si>
  <si>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</si>
  <si>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</si>
  <si>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</si>
  <si>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</si>
  <si>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</si>
  <si>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</si>
  <si>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</si>
  <si>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</si>
  <si>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</si>
  <si>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</si>
  <si>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</si>
  <si>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</si>
  <si>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</si>
  <si>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</si>
  <si>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</si>
  <si>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</si>
  <si>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</si>
  <si>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</si>
  <si>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</si>
  <si>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</si>
  <si>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</si>
  <si>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</si>
  <si>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</si>
  <si>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</si>
  <si>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</si>
  <si>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</si>
  <si>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</si>
  <si>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</si>
  <si>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</si>
  <si>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</si>
  <si>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</si>
  <si>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</si>
  <si>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</si>
  <si>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</si>
  <si>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</si>
  <si>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</si>
  <si>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</si>
  <si>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</si>
  <si>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</si>
  <si>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</si>
  <si>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</si>
  <si>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</si>
  <si>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</si>
  <si>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</si>
  <si>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</si>
  <si>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</si>
  <si>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</si>
  <si>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</si>
  <si>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</si>
  <si>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</si>
  <si>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</si>
  <si>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</si>
  <si>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</si>
  <si>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</si>
  <si>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</si>
  <si>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</si>
  <si>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</si>
  <si>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</si>
  <si>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</si>
  <si>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</si>
  <si>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</si>
  <si>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</si>
  <si>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</si>
  <si>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</si>
  <si>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</si>
  <si>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</si>
  <si>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</si>
  <si>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</si>
  <si>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</si>
  <si>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</si>
  <si>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</si>
  <si>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</si>
  <si>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</si>
  <si>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</si>
  <si>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</si>
  <si>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</si>
  <si>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</si>
  <si>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</si>
  <si>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</si>
  <si>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</si>
  <si>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</si>
  <si>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</si>
  <si>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</si>
  <si>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</si>
  <si>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</si>
  <si>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</si>
  <si>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</si>
  <si>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</si>
  <si>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</si>
  <si>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</si>
  <si>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</si>
  <si>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</si>
  <si>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</si>
  <si>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</si>
  <si>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</si>
  <si>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</si>
  <si>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</si>
  <si>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</si>
  <si>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</si>
  <si>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</si>
  <si>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</si>
  <si>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</si>
  <si>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</si>
  <si>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</si>
  <si>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</si>
  <si>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</si>
  <si>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</si>
  <si>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</si>
  <si>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</si>
  <si>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</si>
  <si>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</si>
  <si>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</si>
  <si>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</si>
  <si>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</si>
  <si>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</si>
  <si>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</si>
  <si>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</si>
  <si>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</si>
  <si>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</si>
  <si>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</si>
  <si>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</si>
  <si>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</si>
  <si>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</si>
  <si>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</si>
  <si>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</si>
  <si>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</si>
  <si>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</si>
  <si>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</si>
  <si>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</si>
  <si>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</si>
  <si>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</si>
  <si>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</si>
  <si>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</si>
  <si>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</si>
  <si>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</si>
  <si>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</si>
  <si>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</si>
  <si>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</si>
  <si>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</si>
  <si>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</si>
  <si>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</si>
  <si>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</si>
  <si>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</si>
  <si>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</si>
  <si>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</si>
  <si>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</si>
  <si>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</si>
  <si>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</si>
  <si>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</si>
  <si>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</si>
  <si>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</si>
  <si>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</si>
  <si>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</si>
  <si>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</si>
  <si>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</si>
  <si>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</si>
  <si>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</si>
  <si>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</si>
  <si>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</si>
  <si>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</si>
  <si>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</si>
  <si>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</si>
  <si>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</si>
  <si>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</si>
  <si>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</si>
  <si>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</si>
  <si>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</si>
  <si>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</si>
  <si>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</si>
  <si>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</si>
  <si>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</si>
  <si>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</si>
  <si>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</si>
  <si>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</si>
  <si>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</si>
  <si>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</si>
  <si>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</si>
  <si>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</si>
  <si>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</si>
  <si>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</si>
  <si>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</si>
  <si>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</si>
  <si>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</si>
  <si>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</si>
  <si>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</si>
  <si>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</si>
  <si>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</si>
  <si>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</si>
  <si>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</si>
  <si>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</si>
  <si>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</si>
  <si>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</si>
  <si>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</si>
  <si>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</si>
  <si>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</si>
  <si>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</si>
  <si>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</si>
  <si>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</si>
  <si>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</si>
  <si>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</si>
  <si>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</si>
  <si>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</si>
  <si>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</si>
  <si>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</si>
  <si>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</si>
  <si>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</si>
  <si>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</si>
  <si>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</si>
  <si>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</si>
  <si>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</si>
  <si>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</si>
  <si>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</si>
  <si>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</si>
  <si>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</si>
  <si>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</si>
  <si>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</si>
  <si>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</si>
  <si>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</si>
  <si>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</si>
  <si>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</si>
  <si>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</si>
  <si>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</si>
  <si>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</si>
  <si>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</si>
  <si>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</si>
  <si>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</si>
  <si>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</si>
  <si>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</si>
  <si>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</si>
  <si>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</si>
  <si>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</si>
  <si>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</si>
  <si>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</si>
  <si>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</si>
  <si>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</si>
  <si>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</si>
  <si>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</si>
  <si>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</si>
  <si>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</si>
  <si>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</si>
  <si>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</si>
  <si>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</si>
  <si>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</si>
  <si>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</si>
  <si>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</si>
  <si>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</si>
  <si>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</si>
  <si>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</si>
  <si>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</si>
  <si>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</si>
  <si>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</si>
  <si>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</si>
  <si>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</si>
  <si>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</si>
  <si>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</si>
  <si>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</si>
  <si>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</si>
  <si>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</si>
  <si>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</si>
  <si>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</si>
  <si>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</si>
  <si>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</si>
  <si>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</si>
  <si>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</si>
  <si>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</si>
  <si>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</si>
  <si>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</si>
  <si>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</si>
  <si>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</si>
  <si>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</si>
  <si>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</si>
  <si>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</si>
  <si>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</si>
  <si>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</si>
  <si>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</si>
  <si>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</si>
  <si>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</si>
  <si>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</si>
  <si>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</si>
  <si>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</si>
  <si>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</si>
  <si>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</si>
  <si>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</si>
  <si>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</si>
  <si>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</si>
  <si>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</si>
  <si>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</si>
  <si>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</si>
  <si>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</si>
  <si>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</si>
  <si>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</si>
  <si>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</si>
  <si>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</si>
  <si>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</si>
  <si>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</si>
  <si>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</si>
  <si>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</si>
  <si>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</si>
  <si>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</si>
  <si>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</si>
  <si>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</si>
  <si>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</si>
  <si>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</si>
  <si>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</si>
  <si>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</si>
  <si>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</si>
  <si>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</si>
  <si>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</si>
  <si>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</si>
  <si>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</si>
  <si>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</si>
  <si>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</si>
  <si>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</si>
  <si>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</si>
  <si>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</si>
  <si>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</si>
  <si>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</si>
  <si>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</si>
  <si>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</si>
  <si>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</si>
  <si>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</si>
  <si>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</si>
  <si>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</si>
  <si>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</si>
  <si>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</si>
  <si>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</si>
  <si>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</si>
  <si>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</si>
  <si>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</si>
  <si>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</si>
  <si>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</si>
  <si>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</si>
  <si>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</si>
  <si>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</si>
  <si>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</si>
  <si>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</si>
  <si>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</si>
  <si>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</si>
  <si>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</si>
  <si>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</si>
  <si>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</si>
  <si>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</si>
  <si>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</si>
  <si>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</si>
  <si>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</si>
  <si>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</si>
  <si>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</si>
  <si>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</si>
  <si>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</si>
  <si>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</si>
  <si>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</si>
  <si>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</si>
  <si>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</si>
  <si>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</si>
  <si>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</si>
  <si>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</si>
  <si>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</si>
  <si>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</si>
  <si>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</si>
  <si>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</si>
  <si>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</si>
  <si>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</si>
  <si>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</si>
  <si>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</si>
  <si>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</si>
  <si>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</si>
  <si>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</si>
  <si>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</si>
  <si>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</si>
  <si>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</si>
  <si>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</si>
  <si>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</si>
  <si>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</si>
  <si>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</si>
  <si>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</si>
  <si>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</si>
  <si>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</si>
  <si>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否</t>
  </si>
  <si>
    <t>是</t>
  </si>
  <si>
    <t>地上</t>
  </si>
  <si>
    <t>自然人</t>
  </si>
  <si>
    <t>商业</t>
    <phoneticPr fontId="7" type="noConversion"/>
  </si>
  <si>
    <t>成新度</t>
  </si>
  <si>
    <t>望京核心地段新活力，万科时代中心全面升级</t>
  </si>
  <si>
    <t>【万科时代中心144.5平低楼层近地铁简装朝南/面积144.5m²/价格1.7万元/月/简装/适合业态:美容美发、儿童亲子、休闲娱乐】-北京贝壳商业地产</t>
  </si>
  <si>
    <t>【嘉美风尚中心146.8平近地铁精装朝东南/面积146.8m²/价格3.17万元/月/精装/适合业态:】-北京贝壳商业地产</t>
  </si>
  <si>
    <t>【悠乐汇216平低楼层近地铁简装朝东北/面积216m²/价格3.95万元/月/简装/适合业态:餐饮、美容美发、休闲娱乐、生活服务】-北京贝壳商业地产</t>
  </si>
  <si>
    <t>万科时代中心</t>
    <phoneticPr fontId="134" type="noConversion"/>
  </si>
  <si>
    <t>不临街</t>
    <phoneticPr fontId="134" type="noConversion"/>
  </si>
  <si>
    <t>嘉美风尚</t>
    <phoneticPr fontId="134" type="noConversion"/>
  </si>
  <si>
    <t>悠乐汇</t>
    <phoneticPr fontId="134" type="noConversion"/>
  </si>
  <si>
    <t>临阜荣街</t>
    <phoneticPr fontId="134" type="noConversion"/>
  </si>
  <si>
    <t>【悠乐汇47.57平低楼层近地铁精装朝东/面积47.57m²/价格0.9万元/月/精装/适合业态:餐饮、美容美发】-北京贝壳商业地产</t>
  </si>
  <si>
    <t>临望京东路，且离地铁近</t>
    <phoneticPr fontId="134" type="noConversion"/>
  </si>
  <si>
    <t>【东亚望京中心111.42平低楼层近地铁精装朝东南/面积111.42m²/价格3.3万元/月/精装/适合业态:餐饮、美容美发、休闲娱乐】-北京贝壳商业地产</t>
  </si>
  <si>
    <t>东亚望京中心</t>
    <phoneticPr fontId="134" type="noConversion"/>
  </si>
  <si>
    <t>临阜安东街、地铁口</t>
    <phoneticPr fontId="134" type="noConversion"/>
  </si>
  <si>
    <t>1-4层均价</t>
    <phoneticPr fontId="134" type="noConversion"/>
  </si>
  <si>
    <t>宗地容积率</t>
  </si>
  <si>
    <t>楼层修正</t>
  </si>
  <si>
    <t>不临65条商业街</t>
  </si>
  <si>
    <t>与级别开发程度不一致</t>
  </si>
  <si>
    <t>通路</t>
  </si>
  <si>
    <t>通电</t>
  </si>
  <si>
    <t>通讯</t>
  </si>
  <si>
    <t>通上水</t>
  </si>
  <si>
    <t>通下水</t>
  </si>
  <si>
    <t>燃气</t>
  </si>
  <si>
    <t>平整</t>
  </si>
  <si>
    <t>未包含在土地购买价格中</t>
  </si>
  <si>
    <t>已包含在土地取得成本中</t>
  </si>
  <si>
    <t>收益法 (元)</t>
  </si>
  <si>
    <t>押一</t>
  </si>
  <si>
    <t>钢混</t>
  </si>
  <si>
    <t>非生产用房</t>
  </si>
  <si>
    <t>北京市</t>
  </si>
  <si>
    <t>成本法 (元)</t>
  </si>
  <si>
    <t>位于北京市朝阳区望京街9号商业楼1层103房产【（2016）朝阳区不动产权第0114432号、（2016）朝阳区不动产权第0114433号】一处 - 司法拍卖 - 阿里资产</t>
  </si>
  <si>
    <t>撤回</t>
    <phoneticPr fontId="134" type="noConversion"/>
  </si>
  <si>
    <r>
      <t>1</t>
    </r>
    <r>
      <rPr>
        <sz val="11"/>
        <color theme="1"/>
        <rFont val="宋体"/>
        <family val="3"/>
        <charset val="134"/>
        <scheme val="minor"/>
      </rPr>
      <t>-103</t>
    </r>
    <phoneticPr fontId="134" type="noConversion"/>
  </si>
  <si>
    <t>位于北京市朝阳区望京街9号商业楼4层4105、4106、4109、4110号商业用房 - 司法拍卖 - 阿里资产</t>
  </si>
  <si>
    <t>4层</t>
    <phoneticPr fontId="134" type="noConversion"/>
  </si>
  <si>
    <t>北京市朝阳区望京街9号楼2035-2041、2045-2062共25套商业房屋</t>
  </si>
  <si>
    <t>2层</t>
    <phoneticPr fontId="134" type="noConversion"/>
  </si>
  <si>
    <t>评估值</t>
    <phoneticPr fontId="134" type="noConversion"/>
  </si>
  <si>
    <t>成交价</t>
    <phoneticPr fontId="134" type="noConversion"/>
  </si>
  <si>
    <t>撤回未成交</t>
    <phoneticPr fontId="134" type="noConversion"/>
  </si>
  <si>
    <t>【方恒时代中心80平低楼层近地铁毛坯朝东/面积80m²/价格1.61万元/月/毛坯/适合业态:批发零售、美容美发、儿童亲子、休闲娱乐、生活服务】-北京贝壳商业地产</t>
  </si>
  <si>
    <t>方恒时代中心</t>
    <phoneticPr fontId="134" type="noConversion"/>
  </si>
  <si>
    <t>【华鼎世家171.78平低楼层近地铁精装朝东南/面积171.78m²/价格4万元/月/精装/适合业态:美容美发、儿童亲子、休闲娱乐、生活服务、汽车服务】-北京贝壳商业地产</t>
  </si>
  <si>
    <t>华鼎世家</t>
    <phoneticPr fontId="134" type="noConversion"/>
  </si>
  <si>
    <t>临阜安西路</t>
    <phoneticPr fontId="134" type="noConversion"/>
  </si>
  <si>
    <t>单套模式</t>
  </si>
  <si>
    <t>租金</t>
  </si>
  <si>
    <t>正常</t>
  </si>
  <si>
    <t>商业</t>
    <phoneticPr fontId="30" type="noConversion"/>
  </si>
  <si>
    <t>挂牌</t>
  </si>
  <si>
    <t>挂牌</t>
    <phoneticPr fontId="30" type="noConversion"/>
  </si>
  <si>
    <t>较好</t>
  </si>
  <si>
    <t>七通</t>
  </si>
  <si>
    <t>临主干道</t>
  </si>
  <si>
    <t>临主干道</t>
    <phoneticPr fontId="30" type="noConversion"/>
  </si>
  <si>
    <t>临次干道</t>
    <phoneticPr fontId="30" type="noConversion"/>
  </si>
  <si>
    <t>临支路</t>
  </si>
  <si>
    <t>临支路</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</si>
  <si>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</si>
  <si>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</si>
  <si>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</si>
  <si>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</si>
  <si>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1层</t>
  </si>
  <si>
    <r>
      <t>2</t>
    </r>
    <r>
      <rPr>
        <sz val="11"/>
        <color theme="1"/>
        <rFont val="宋体"/>
        <family val="3"/>
        <charset val="134"/>
        <scheme val="minor"/>
      </rPr>
      <t>017.12.20</t>
    </r>
    <phoneticPr fontId="134" type="noConversion"/>
  </si>
  <si>
    <t>含物业费</t>
    <phoneticPr fontId="134" type="noConversion"/>
  </si>
  <si>
    <t>好</t>
  </si>
  <si>
    <t>一般</t>
  </si>
  <si>
    <t>大</t>
    <phoneticPr fontId="30" type="noConversion"/>
  </si>
  <si>
    <t>精装修</t>
    <phoneticPr fontId="30" type="noConversion"/>
  </si>
  <si>
    <t>普通装修</t>
  </si>
  <si>
    <t>普通装修</t>
    <phoneticPr fontId="30" type="noConversion"/>
  </si>
  <si>
    <t>商业街</t>
  </si>
  <si>
    <t>商业街</t>
    <phoneticPr fontId="30" type="noConversion"/>
  </si>
  <si>
    <t>底商</t>
  </si>
  <si>
    <t>底商</t>
    <phoneticPr fontId="30" type="noConversion"/>
  </si>
  <si>
    <t>标的物名称</t>
  </si>
  <si>
    <t>关联项目</t>
  </si>
  <si>
    <t>省份</t>
  </si>
  <si>
    <t>城市</t>
  </si>
  <si>
    <t>区县</t>
  </si>
  <si>
    <t>标的物类型</t>
  </si>
  <si>
    <t>建筑面积(㎡)</t>
  </si>
  <si>
    <t>使用土地面积(㎡)</t>
  </si>
  <si>
    <t>首次起拍日期</t>
  </si>
  <si>
    <t>最新结束日期</t>
  </si>
  <si>
    <t>时长(天)</t>
  </si>
  <si>
    <t>最新拍卖状态</t>
  </si>
  <si>
    <t>最新拍卖阶段</t>
  </si>
  <si>
    <t>首次起拍价(万元)</t>
  </si>
  <si>
    <t>首次评估价(万元)</t>
  </si>
  <si>
    <t>最新起拍价(万元)</t>
  </si>
  <si>
    <t>最新评估价(万元)</t>
  </si>
  <si>
    <t>成交价(万元)</t>
  </si>
  <si>
    <t>起拍折价率(%)</t>
  </si>
  <si>
    <t>成交折价率(%)</t>
  </si>
  <si>
    <t>起拍均价(元/㎡)</t>
  </si>
  <si>
    <t>评估均价(元/㎡)</t>
  </si>
  <si>
    <t>成交均价(元/㎡)</t>
  </si>
  <si>
    <t>历次起拍折扣</t>
  </si>
  <si>
    <t>处置单位</t>
  </si>
  <si>
    <t>外部链接</t>
  </si>
  <si>
    <t>北京市朝阳区望京街10号院16层1601、1602、1603、1606、1607、1609、1610、1701、1801</t>
  </si>
  <si>
    <t/>
  </si>
  <si>
    <t>北京</t>
  </si>
  <si>
    <t>朝阳区</t>
  </si>
  <si>
    <t>即将开始</t>
  </si>
  <si>
    <t>二拍</t>
  </si>
  <si>
    <t>7.0折、5.6折</t>
  </si>
  <si>
    <t>杭州市滨江区人民法院</t>
  </si>
  <si>
    <t>https://sf-item.taobao.com/sf_item/962527855939.htm</t>
  </si>
  <si>
    <t>北京市朝阳区望京东园523号楼2层1021</t>
    <phoneticPr fontId="134" type="noConversion"/>
  </si>
  <si>
    <t>融科橄榄城</t>
    <phoneticPr fontId="134" type="noConversion"/>
  </si>
  <si>
    <t>已流拍</t>
  </si>
  <si>
    <t>一拍</t>
  </si>
  <si>
    <t>7.0折</t>
  </si>
  <si>
    <t>北京金融法院</t>
  </si>
  <si>
    <t>https://sf-item.taobao.com/sf_item/946495686334.htm</t>
  </si>
  <si>
    <t>北京市朝阳区望京东园523号楼2层1023</t>
  </si>
  <si>
    <t>https://sf-item.taobao.com/sf_item/946495098723.htm</t>
  </si>
  <si>
    <t>北京市朝阳区望京中环南路甲2号24层A2705、24层A2706、24层A2707、24层A2708房产</t>
  </si>
  <si>
    <t>10.0折</t>
  </si>
  <si>
    <t>甘肃省兰州市中级人民法院</t>
  </si>
  <si>
    <t>https://sf-item.taobao.com/sf_item/946169435699.htm</t>
  </si>
  <si>
    <t>北京市朝阳区望京中环南路甲2号24层A2703房产</t>
  </si>
  <si>
    <t>https://sf-item.taobao.com/sf_item/947782976531.htm</t>
  </si>
  <si>
    <t>北京市朝阳区望京中环南路甲2号24层A2701房产</t>
  </si>
  <si>
    <t>https://sf-item.taobao.com/sf_item/947212933900.htm</t>
  </si>
  <si>
    <t>北京市朝阳区望京中环南路甲2号22层B2502房产</t>
  </si>
  <si>
    <t>https://sf-item.taobao.com/sf_item/946611606966.htm</t>
  </si>
  <si>
    <t>北京市朝阳区望京街2号楼20层2005室文化办公</t>
  </si>
  <si>
    <t>望京小街</t>
  </si>
  <si>
    <t>已成交</t>
  </si>
  <si>
    <t>哈尔滨市道外区人民法院</t>
  </si>
  <si>
    <t>https://sf-item.taobao.com/sf_item/867928289429.htm</t>
  </si>
  <si>
    <t>北京市朝阳区望京中环南路甲2号19层B2107的房产及相应的土地使用权</t>
  </si>
  <si>
    <t>望京中央广场</t>
  </si>
  <si>
    <t>7.5折、6.8折</t>
  </si>
  <si>
    <t>北京市西城区人民法院</t>
  </si>
  <si>
    <t>https://sf-item.taobao.com/sf_item/875237812257.htm</t>
  </si>
  <si>
    <t>北京市朝阳区望京中环南路甲2号19层B2106的房产及相应的土地使用权</t>
  </si>
  <si>
    <t>https://sf-item.taobao.com/sf_item/874379075172.htm</t>
  </si>
  <si>
    <t>北京市朝阳区望京中环南路甲2号19层A2101、北京市朝阳区望京中环南路甲2号19层A2102的房产及相应的土地使用权</t>
  </si>
  <si>
    <t>望京西路</t>
  </si>
  <si>
    <t>https://sf-item.taobao.com/sf_item/867699528744.htm</t>
  </si>
  <si>
    <t>北京市朝阳区望京中环南路甲2号19层A2103、北京市朝阳区望京中环南路甲2号19层A2107的房产及相应的土地使用权</t>
  </si>
  <si>
    <t>https://sf-item.taobao.com/sf_item/866907035326.htm</t>
  </si>
  <si>
    <t>北京市朝阳区望京中环南路甲2号19层A2105、北京市朝阳区望京中环南路甲2号19层A2106、北京市朝阳区望京中环南路甲2号19层A2108的房产及相应的土地使用权</t>
  </si>
  <si>
    <t>https://sf-item.taobao.com/sf_item/867077762839.htm</t>
  </si>
  <si>
    <t>北京市朝阳区望京中环南路甲2号19层B2101的房产及相应的土地使用权</t>
  </si>
  <si>
    <t>8.0折</t>
  </si>
  <si>
    <t>https://sf-item.taobao.com/sf_item/854518222439.htm</t>
  </si>
  <si>
    <t>北京市朝阳区望京中环南路甲2号19层B2103的房产及相应的土地使用权</t>
  </si>
  <si>
    <t>https://sf-item.taobao.com/sf_item/854505410551.htm</t>
  </si>
  <si>
    <t>北京市朝阳区望京中环南路甲2号19层B2102的房产及相应的土地使用权</t>
  </si>
  <si>
    <t>https://sf-item.taobao.com/sf_item/854518398060.htm</t>
  </si>
  <si>
    <t>北京市朝阳区望京中环南路甲2号19层B2108的房产及相应的土地使用权</t>
  </si>
  <si>
    <t>https://sf-item.taobao.com/sf_item/854351071940.htm</t>
  </si>
  <si>
    <t>8.5折</t>
  </si>
  <si>
    <t>包头市青山区人民法院</t>
  </si>
  <si>
    <t>位于北京市朝阳区望京街9号商业楼1层103房产【（2016）朝阳区不动产权第0114432号、（2016）朝阳区不动产权第0114433号】一处</t>
  </si>
  <si>
    <t>已撤回</t>
  </si>
  <si>
    <t>南阳市宛城区人民法院</t>
  </si>
  <si>
    <t>https://sf-item.taobao.com/sf_item/850741091078.htm</t>
  </si>
  <si>
    <t>北京市朝阳区望京东园四区5号楼14层1402</t>
  </si>
  <si>
    <t>北京绿地中心</t>
  </si>
  <si>
    <t>北京市丰台区人民法院</t>
  </si>
  <si>
    <t>https://paimai.jd.com/307292316</t>
  </si>
  <si>
    <t>北京市朝阳区望京东园四区5号楼23层2304</t>
  </si>
  <si>
    <t>https://paimai.jd.com/307292317</t>
  </si>
  <si>
    <t>北京市第一中级人民法院</t>
  </si>
  <si>
    <t>https://otc.cbex.com/sfpm/detail/CAF5529F8473441ADF97C2414ECFED2D.html</t>
  </si>
  <si>
    <t>北京市朝阳区望京园603号楼9层1007号房屋</t>
  </si>
  <si>
    <t>华鼎世家</t>
  </si>
  <si>
    <t>北京市昌平区人民法院</t>
  </si>
  <si>
    <t>https://sf-item.taobao.com/sf_item/766167512859.htm</t>
  </si>
  <si>
    <t>北京市朝阳区望京北路39号11号楼1层会所</t>
  </si>
  <si>
    <t>三河市人民法院</t>
  </si>
  <si>
    <t>https://sf-item.taobao.com/sf_item/732720525470.htm</t>
  </si>
  <si>
    <t>北京市朝阳区望京北路39号11号楼-1层会所</t>
  </si>
  <si>
    <t>https://sf-item.taobao.com/sf_item/733001099713.htm</t>
  </si>
  <si>
    <t>北京市朝阳区望京中环南路甲2号16层B1805</t>
  </si>
  <si>
    <t>8.0折、6.4折</t>
  </si>
  <si>
    <t>北京市朝阳区人民法院</t>
  </si>
  <si>
    <t>https://paimai.jd.com/297881096</t>
  </si>
  <si>
    <t>北京朝阳区阜通东大街1号院3号楼（望京SOHO）25层3单元132901室、132902室、132903室、132905室房产</t>
  </si>
  <si>
    <t>9.0折、8.6折</t>
  </si>
  <si>
    <t>喀什市人民法院</t>
  </si>
  <si>
    <t>https://sf-item.taobao.com/sf_item/730153787172.htm</t>
  </si>
  <si>
    <t>位于北京市朝阳区望京街9号商业楼4层4105、4106、4109、4110号商业用房</t>
  </si>
  <si>
    <t>8.0折、7.2折</t>
  </si>
  <si>
    <t>河南省新乡市中级人民法院</t>
  </si>
  <si>
    <t>再次拍卖 （破）北京市朝阳区望京SOHOT2写字楼8套办公房地产及地下车位</t>
  </si>
  <si>
    <t>重新拍卖</t>
  </si>
  <si>
    <t>7.6折、7.2折</t>
  </si>
  <si>
    <t>https://sf-item.taobao.com/sf_item/697280665045.htm</t>
  </si>
  <si>
    <t>北京市朝阳区望京东园七区17号楼5层503</t>
  </si>
  <si>
    <t>保利中央公园</t>
  </si>
  <si>
    <t>https://paimai.jd.com/292024833</t>
  </si>
  <si>
    <t>朝阳区望京东园四区11号楼55层5503号</t>
  </si>
  <si>
    <t>望京东园七区</t>
  </si>
  <si>
    <t>北京市房山区人民法院</t>
  </si>
  <si>
    <t>https://paimai.jd.com/291172010</t>
  </si>
  <si>
    <t>北京市朝阳区望京东园515号楼1至2层01</t>
  </si>
  <si>
    <t>融科橄榄城</t>
  </si>
  <si>
    <t>北京市大兴区人民法院</t>
  </si>
  <si>
    <t>https://paimai.jd.com/291012620</t>
  </si>
  <si>
    <t>北京市朝阳区望京西园314号楼1至2层B座3单元102号</t>
  </si>
  <si>
    <t>望京新城</t>
  </si>
  <si>
    <t>已暂缓</t>
  </si>
  <si>
    <t>未知</t>
  </si>
  <si>
    <t>7.0折、7.0折</t>
  </si>
  <si>
    <t>北京市第二中级人民法院</t>
  </si>
  <si>
    <t>https://sf-item.taobao.com/sf_item/683453637121.htm?track_id=09e04c78-8806-4b91-9447-55632575275c</t>
  </si>
  <si>
    <t>北京市朝阳区望京东园四区11号楼5207号</t>
  </si>
  <si>
    <t>https://paimai.jd.com/290706060</t>
  </si>
  <si>
    <t>北京市朝阳区望京园603号楼26层3009号</t>
  </si>
  <si>
    <t>https://sf-item.taobao.com/sf_item/684260086524.htm</t>
  </si>
  <si>
    <t>北京市朝阳区望京园603号楼26层3010号</t>
  </si>
  <si>
    <t>https://sf-item.taobao.com/sf_item/684261030195.htm</t>
  </si>
  <si>
    <t>北京市朝阳区望京东园七区17号楼2层201</t>
  </si>
  <si>
    <t>变卖</t>
  </si>
  <si>
    <t>7.0折、5.6折、5.6折</t>
  </si>
  <si>
    <t>https://paimai.jd.com/289208132</t>
  </si>
  <si>
    <t>北京市朝阳区望京东园七区17号楼2层202</t>
  </si>
  <si>
    <t>https://paimai.jd.com/289208127</t>
  </si>
  <si>
    <t>朝阳区望京东园三区11号楼-2至3层105房屋（实际门牌为106）</t>
  </si>
  <si>
    <t>国风北京</t>
  </si>
  <si>
    <t>北京市石景山区人民法院</t>
  </si>
  <si>
    <t>https://paimai.jd.com/286641959</t>
  </si>
  <si>
    <t>北京市朝阳区望京东园三区11号楼-2至3层102号</t>
  </si>
  <si>
    <t>https://paimai.jd.com/285876870</t>
  </si>
  <si>
    <t>朝阳区望京东园三区11号楼-2至3层101房产</t>
  </si>
  <si>
    <t>https://paimai.jd.com/285847838</t>
  </si>
  <si>
    <t>北京市朝阳区望京园401号楼23层2717</t>
  </si>
  <si>
    <t>东亚望京中心</t>
  </si>
  <si>
    <t>https://paimai.jd.com/285249228</t>
  </si>
  <si>
    <t>北京市朝阳区望京东园七区8号楼1至2层8-4房产</t>
  </si>
  <si>
    <t>https://sf-item.taobao.com/sf_item/660423104514.htm</t>
  </si>
  <si>
    <t>北京市朝阳区望京中环南路甲2号9至10层B908房屋</t>
  </si>
  <si>
    <t>https://sf-item.taobao.com/sf_item/661541927142.htm</t>
  </si>
  <si>
    <t>北京市朝阳区望京东园523号楼10层2112号的25%份额</t>
  </si>
  <si>
    <t>7.1折、5.6折、5.6折、5.6折</t>
  </si>
  <si>
    <t>赣州市章贡区人民法院</t>
  </si>
  <si>
    <t>https://sf-item.taobao.com/sf_item/656453522018.htm</t>
  </si>
  <si>
    <t>北京市朝阳区望京街2号楼15层1506</t>
  </si>
  <si>
    <t>望京合生麒麟社公寓</t>
  </si>
  <si>
    <t>https://paimai.jd.com/282508713</t>
  </si>
  <si>
    <t>（破）北京市朝阳区望京SOHOT2写字楼8套办公房地产及地下车位</t>
  </si>
  <si>
    <t>10.0折、8.0折</t>
  </si>
  <si>
    <t>http://sf-item.taobao.com/sf_item/655506181803.htm?track_id=e1a76d6d-ec01-4432-aa44-549a15d3f2dd</t>
  </si>
  <si>
    <t>北京市朝阳区望京中环南路甲2号13至14层A1506号</t>
  </si>
  <si>
    <t>佳境天城</t>
  </si>
  <si>
    <t>https://paimai.jd.com/279552004</t>
  </si>
  <si>
    <t>北京市朝阳区望京东园四区5号楼22层2208（196.37㎡）</t>
  </si>
  <si>
    <t>北京市海淀区人民法院</t>
  </si>
  <si>
    <t>https://paimai.jd.com/276796433</t>
  </si>
  <si>
    <t>北京市朝阳区望京西路甲50号1号楼12-18层办公用房及-1、-3层地下车库</t>
  </si>
  <si>
    <t>北京市第三中级人民法院</t>
  </si>
  <si>
    <t>https://sf-item.taobao.com/sf_item/642035782122.htm</t>
  </si>
  <si>
    <t>北京市朝阳区崔各庄乡大望京村昆泰嘉瑞公寓小区618-1号楼1201号房产</t>
  </si>
  <si>
    <t>修武县人民法院</t>
  </si>
  <si>
    <t>https://sf-item.taobao.com/sf_item/636619098071.htm</t>
  </si>
  <si>
    <t>北京市朝阳区望京园401号楼29层3309</t>
  </si>
  <si>
    <t>https://sf-item.taobao.com/sf_item/631991488345.htm</t>
  </si>
  <si>
    <t>北京市朝阳区望京园601号楼21层2503号</t>
  </si>
  <si>
    <t>https://sf-item.taobao.com/sf_item/625386973959.htm</t>
  </si>
  <si>
    <t>北京市朝阳区望京园601号楼21层2502号</t>
  </si>
  <si>
    <t>https://sf-item.taobao.com/sf_item/625387017895.htm</t>
  </si>
  <si>
    <t>北京市朝阳区望京街4号楼27层2710号</t>
  </si>
  <si>
    <t>https://paimai.jd.com/116497589</t>
  </si>
  <si>
    <t>北京市朝阳区望京园401号楼33层3816号办公用途房地产</t>
  </si>
  <si>
    <t>邹城市人民法院</t>
  </si>
  <si>
    <t>https://sf-item.taobao.com/sf_item/612651381895.htm</t>
  </si>
  <si>
    <t>北京市朝阳区望京园401号楼33层3818号办公用途房地产</t>
  </si>
  <si>
    <t>https://sf-item.taobao.com/sf_item/612894554882.htm</t>
  </si>
  <si>
    <t>北京市朝阳区望京东园514号楼1层101、2层201、3层301、4层401</t>
  </si>
  <si>
    <t>7.9折</t>
  </si>
  <si>
    <t>https://paimai.jd.com/110257252</t>
  </si>
  <si>
    <t>北京市朝阳区望京园602号楼4层529号（56.82㎡）</t>
  </si>
  <si>
    <t>悠乐汇</t>
  </si>
  <si>
    <t>https://paimai.jd.com/108832745</t>
  </si>
  <si>
    <t>北京市朝阳区望京西园429号楼1层102</t>
  </si>
  <si>
    <t>吉林省白山市中级人民法院</t>
  </si>
  <si>
    <t>https://sf-item.taobao.com/sf_item/582811893422.htm</t>
  </si>
  <si>
    <t>北京市朝阳区望京西园429号楼2层206（底层商铺）</t>
  </si>
  <si>
    <t>https://sf-item.taobao.com/sf_item/578006578278.htm</t>
  </si>
  <si>
    <t>北京市朝阳区望京西园429号楼106（底层商铺）</t>
  </si>
  <si>
    <t>https://sf-item.taobao.com/sf_item/577882197986.htm</t>
  </si>
  <si>
    <t>北京市朝阳区望京西园429号楼2层201</t>
  </si>
  <si>
    <t>https://sf-item.taobao.com/sf_item/578124779285.htm</t>
  </si>
  <si>
    <t>北京市望京西园429号楼1层103</t>
  </si>
  <si>
    <t>https://sf-item.taobao.com/sf_item/578006270971.htm</t>
  </si>
  <si>
    <t>北京市朝阳区望京西园429号楼2层208</t>
  </si>
  <si>
    <t>https://sf-item.taobao.com/sf_item/578006546330.htm</t>
  </si>
  <si>
    <t>北京市朝阳区望京西园429 号楼2层207（底层商铺）</t>
  </si>
  <si>
    <t>https://sf-item.taobao.com/sf_item/578124635537.htm</t>
  </si>
  <si>
    <t>北京市朝阳区望京西园429号楼1层108</t>
  </si>
  <si>
    <t>https://sf-item.taobao.com/sf_item/577713684569.htm</t>
  </si>
  <si>
    <t>北京市朝阳区望京西园429号楼203（底层商铺）</t>
  </si>
  <si>
    <t>https://sf-item.taobao.com/sf_item/578006334875.htm</t>
  </si>
  <si>
    <t>北京市朝阳区望京西园429号楼2层205</t>
  </si>
  <si>
    <t>https://sf-item.taobao.com/sf_item/577713393000.htm</t>
  </si>
  <si>
    <t>北京市朝阳区望京西园429号楼1层105（底层商铺）</t>
  </si>
  <si>
    <t>https://sf-item.taobao.com/sf_item/577713728473.htm</t>
  </si>
  <si>
    <t>北京市朝阳区望京西园429号楼2层209（底层商铺）</t>
  </si>
  <si>
    <t>https://sf-item.taobao.com/sf_item/578124771325.htm</t>
  </si>
  <si>
    <t>望京明苑</t>
  </si>
  <si>
    <t>https://paimai.jd.com/106313387</t>
  </si>
  <si>
    <t>北京市朝阳区望京阜荣街15号院地下商业及车库部分-3层F062</t>
  </si>
  <si>
    <t>嘉美风尚中心</t>
  </si>
  <si>
    <t>https://paimai.jd.com/106350713</t>
  </si>
  <si>
    <t>北京市朝阳区望京东园515号楼1-2层02室</t>
  </si>
  <si>
    <t>甘肃省高级人民法院</t>
  </si>
  <si>
    <t>https://paimai.jd.com/106008276</t>
  </si>
  <si>
    <t>北京市朝阳区望京园603号楼22层2607号房屋</t>
  </si>
  <si>
    <t>8.8折、7.0折</t>
  </si>
  <si>
    <t>https://sf-item.taobao.com/sf_item/554912922982.htm</t>
  </si>
  <si>
    <t>北京市朝阳区望京B29，1号塔楼11层2单元-121209号</t>
  </si>
  <si>
    <t>8.1折</t>
  </si>
  <si>
    <t>山西省太原市中级人民法院</t>
  </si>
  <si>
    <t>https://sf-item.taobao.com/sf_item/553839720201.htm</t>
  </si>
  <si>
    <t>北京市朝阳区望京B29，1号塔楼11层2单元-121211号</t>
  </si>
  <si>
    <t>https://sf-item.taobao.com/sf_item/553993195107.htm</t>
  </si>
  <si>
    <t>北京市朝阳区望京园602号楼2层201-269共28套房屋</t>
  </si>
  <si>
    <t>https://sf-item.taobao.com/sf_item/552948002013.htm</t>
  </si>
  <si>
    <t>北京市朝阳区望京街4号楼4层417室文化办公用途房地产</t>
  </si>
  <si>
    <t>https://sf-item.taobao.com/sf_item/539012252247.htm</t>
  </si>
  <si>
    <t>北京市朝阳区望京街4号楼22层2210室文化办公用途房地产</t>
  </si>
  <si>
    <t>https://sf-item.taobao.com/sf_item/538852943702.htm</t>
  </si>
  <si>
    <r>
      <t>2</t>
    </r>
    <r>
      <rPr>
        <sz val="11"/>
        <color theme="1"/>
        <rFont val="宋体"/>
        <family val="3"/>
        <charset val="134"/>
        <scheme val="minor"/>
      </rPr>
      <t>025-2</t>
    </r>
    <phoneticPr fontId="134" type="noConversion"/>
  </si>
  <si>
    <r>
      <t>2</t>
    </r>
    <r>
      <rPr>
        <sz val="11"/>
        <color theme="1"/>
        <rFont val="宋体"/>
        <family val="3"/>
        <charset val="134"/>
        <scheme val="minor"/>
      </rPr>
      <t>025-1</t>
    </r>
    <phoneticPr fontId="134" type="noConversion"/>
  </si>
  <si>
    <r>
      <t>2</t>
    </r>
    <r>
      <rPr>
        <sz val="11"/>
        <color theme="1"/>
        <rFont val="宋体"/>
        <family val="3"/>
        <charset val="134"/>
        <scheme val="minor"/>
      </rPr>
      <t>024-4</t>
    </r>
    <phoneticPr fontId="134" type="noConversion"/>
  </si>
  <si>
    <r>
      <t>2</t>
    </r>
    <r>
      <rPr>
        <sz val="11"/>
        <color theme="1"/>
        <rFont val="宋体"/>
        <family val="3"/>
        <charset val="134"/>
        <scheme val="minor"/>
      </rPr>
      <t>024-3</t>
    </r>
    <phoneticPr fontId="134" type="noConversion"/>
  </si>
  <si>
    <r>
      <t>2</t>
    </r>
    <r>
      <rPr>
        <sz val="11"/>
        <color theme="1"/>
        <rFont val="宋体"/>
        <family val="3"/>
        <charset val="134"/>
        <scheme val="minor"/>
      </rPr>
      <t>024-2</t>
    </r>
    <phoneticPr fontId="134" type="noConversion"/>
  </si>
  <si>
    <r>
      <t>2</t>
    </r>
    <r>
      <rPr>
        <sz val="11"/>
        <color theme="1"/>
        <rFont val="宋体"/>
        <family val="3"/>
        <charset val="134"/>
        <scheme val="minor"/>
      </rPr>
      <t>024-1</t>
    </r>
    <phoneticPr fontId="134" type="noConversion"/>
  </si>
  <si>
    <t>2023-4</t>
    <phoneticPr fontId="134" type="noConversion"/>
  </si>
  <si>
    <t>万科急售北京商业资产背后：商业地产寒冬的三大预警信号</t>
  </si>
  <si>
    <t>【12图】望京街边底商，可燃气 独立证照 可京东，低价出租,北京朝阳望京商铺租售/生意转让出租-北京58同城</t>
  </si>
  <si>
    <t>https://sf-item.taobao.com/sf_item/855567354234.htm</t>
    <phoneticPr fontId="134" type="noConversion"/>
  </si>
  <si>
    <t>北京市朝阳区望京中环南路甲2号2层二层7号、8号、9号房产</t>
    <phoneticPr fontId="134" type="noConversion"/>
  </si>
  <si>
    <t xml:space="preserve">佳境天城 </t>
    <phoneticPr fontId="134" type="noConversion"/>
  </si>
  <si>
    <t>北京市朝阳区望京街4号楼1412号办公</t>
    <phoneticPr fontId="134" type="noConversion"/>
  </si>
  <si>
    <t>https://sf-item.taobao.com/sf_item/729554285293.htm</t>
    <phoneticPr fontId="134" type="noConversion"/>
  </si>
  <si>
    <t>项目详细信息</t>
  </si>
  <si>
    <t>现房销售信息公示详细信息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</si>
</sst>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name val="宋体"/>
      <family val="3"/>
      <charset val="134"/>
      <scheme val="minor"/>
    </font>
    <font>
      <sz val="12"/>
      <color theme="1"/>
      <name val="宋体"/>
      <family val="2"/>
      <scheme val="minor"/>
    </font>
    <font>
      <sz val="12"/>
      <color rgb="FFFF0000"/>
      <name val="宋体"/>
      <family val="2"/>
      <scheme val="minor"/>
    </font>
    <font>
      <sz val="12"/>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xf numFmtId="0" fontId="273"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lignment vertical="center"/>
    </xf>
    <xf numFmtId="14" fontId="95" fillId="0" borderId="0" xfId="0" applyNumberFormat="1" applyFont="1">
      <alignment vertical="center"/>
    </xf>
    <xf numFmtId="14" fontId="0" fillId="0" borderId="0" xfId="0" applyNumberFormat="1">
      <alignment vertical="center"/>
    </xf>
    <xf numFmtId="0" fontId="95" fillId="5" borderId="0" xfId="0" applyFon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72" fillId="0" borderId="0" xfId="0" applyFont="1">
      <alignment vertical="center"/>
    </xf>
    <xf numFmtId="0" fontId="94" fillId="0" borderId="9" xfId="0" applyFont="1" applyBorder="1" applyAlignment="1" applyProtection="1">
      <alignment horizontal="center" vertical="center" wrapText="1"/>
      <protection locked="0"/>
    </xf>
    <xf numFmtId="0" fontId="273" fillId="0" borderId="0" xfId="20" applyAlignment="1">
      <alignment wrapText="1"/>
    </xf>
    <xf numFmtId="0" fontId="273" fillId="0" borderId="0" xfId="20"/>
    <xf numFmtId="14" fontId="273" fillId="0" borderId="0" xfId="20" applyNumberFormat="1"/>
    <xf numFmtId="0" fontId="274" fillId="0" borderId="0" xfId="20" applyFont="1" applyAlignment="1">
      <alignment wrapText="1"/>
    </xf>
    <xf numFmtId="0" fontId="248" fillId="0" borderId="0" xfId="20" applyFont="1"/>
    <xf numFmtId="14" fontId="248" fillId="0" borderId="0" xfId="20" applyNumberFormat="1" applyFont="1"/>
    <xf numFmtId="0" fontId="273" fillId="5" borderId="0" xfId="20" applyFill="1" applyAlignment="1">
      <alignment wrapText="1"/>
    </xf>
    <xf numFmtId="0" fontId="273" fillId="5" borderId="0" xfId="20" applyFill="1"/>
    <xf numFmtId="14" fontId="273" fillId="5" borderId="0" xfId="20" applyNumberFormat="1" applyFill="1"/>
    <xf numFmtId="0" fontId="248" fillId="0" borderId="0" xfId="20" applyFont="1" applyAlignment="1">
      <alignment wrapText="1"/>
    </xf>
    <xf numFmtId="49" fontId="0" fillId="0" borderId="0" xfId="0" applyNumberFormat="1">
      <alignment vertical="center"/>
    </xf>
    <xf numFmtId="49" fontId="95" fillId="0" borderId="0" xfId="0" applyNumberFormat="1" applyFont="1">
      <alignment vertical="center"/>
    </xf>
    <xf numFmtId="9" fontId="0" fillId="0" borderId="0" xfId="17" applyFont="1">
      <alignment vertical="center"/>
    </xf>
    <xf numFmtId="181" fontId="0" fillId="0" borderId="0" xfId="17" applyNumberFormat="1" applyFont="1">
      <alignment vertical="center"/>
    </xf>
    <xf numFmtId="10" fontId="54" fillId="6" borderId="0" xfId="0" applyNumberFormat="1" applyFont="1" applyFill="1" applyAlignment="1" applyProtection="1">
      <alignment horizontal="left" vertical="center"/>
      <protection locked="0"/>
    </xf>
    <xf numFmtId="0" fontId="271" fillId="0" borderId="0" xfId="19" applyAlignment="1"/>
    <xf numFmtId="0" fontId="275" fillId="9" borderId="0" xfId="20" applyFont="1" applyFill="1" applyAlignment="1">
      <alignment wrapText="1"/>
    </xf>
    <xf numFmtId="0" fontId="275" fillId="9" borderId="0" xfId="20" applyFont="1" applyFill="1"/>
    <xf numFmtId="14" fontId="275" fillId="9" borderId="0" xfId="20" applyNumberFormat="1" applyFont="1" applyFill="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C213918A-A600-4596-8B28-2BFB7C2E5599}"/>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18711</xdr:rowOff>
    </xdr:from>
    <xdr:to>
      <xdr:col>7</xdr:col>
      <xdr:colOff>514350</xdr:colOff>
      <xdr:row>29</xdr:row>
      <xdr:rowOff>8245</xdr:rowOff>
    </xdr:to>
    <xdr:pic>
      <xdr:nvPicPr>
        <xdr:cNvPr id="2" name="图片 1">
          <a:extLst>
            <a:ext uri="{FF2B5EF4-FFF2-40B4-BE49-F238E27FC236}">
              <a16:creationId xmlns:a16="http://schemas.microsoft.com/office/drawing/2014/main" id="{224D7A55-A612-1B7F-3C98-24FE4FABCD53}"/>
            </a:ext>
          </a:extLst>
        </xdr:cNvPr>
        <xdr:cNvPicPr>
          <a:picLocks noChangeAspect="1"/>
        </xdr:cNvPicPr>
      </xdr:nvPicPr>
      <xdr:blipFill>
        <a:blip xmlns:r="http://schemas.openxmlformats.org/officeDocument/2006/relationships" r:embed="rId1"/>
        <a:stretch>
          <a:fillRect/>
        </a:stretch>
      </xdr:blipFill>
      <xdr:spPr>
        <a:xfrm>
          <a:off x="400050" y="190161"/>
          <a:ext cx="4914900" cy="4790134"/>
        </a:xfrm>
        <a:prstGeom prst="rect">
          <a:avLst/>
        </a:prstGeom>
      </xdr:spPr>
    </xdr:pic>
    <xdr:clientData/>
  </xdr:twoCellAnchor>
  <xdr:twoCellAnchor editAs="oneCell">
    <xdr:from>
      <xdr:col>0</xdr:col>
      <xdr:colOff>238126</xdr:colOff>
      <xdr:row>31</xdr:row>
      <xdr:rowOff>132220</xdr:rowOff>
    </xdr:from>
    <xdr:to>
      <xdr:col>8</xdr:col>
      <xdr:colOff>180976</xdr:colOff>
      <xdr:row>56</xdr:row>
      <xdr:rowOff>17920</xdr:rowOff>
    </xdr:to>
    <xdr:pic>
      <xdr:nvPicPr>
        <xdr:cNvPr id="3" name="图片 2">
          <a:extLst>
            <a:ext uri="{FF2B5EF4-FFF2-40B4-BE49-F238E27FC236}">
              <a16:creationId xmlns:a16="http://schemas.microsoft.com/office/drawing/2014/main" id="{FE175051-2428-5613-251D-340B84A3DFEC}"/>
            </a:ext>
          </a:extLst>
        </xdr:cNvPr>
        <xdr:cNvPicPr>
          <a:picLocks noChangeAspect="1"/>
        </xdr:cNvPicPr>
      </xdr:nvPicPr>
      <xdr:blipFill>
        <a:blip xmlns:r="http://schemas.openxmlformats.org/officeDocument/2006/relationships" r:embed="rId2"/>
        <a:stretch>
          <a:fillRect/>
        </a:stretch>
      </xdr:blipFill>
      <xdr:spPr>
        <a:xfrm>
          <a:off x="238126" y="5447170"/>
          <a:ext cx="5429250" cy="4171950"/>
        </a:xfrm>
        <a:prstGeom prst="rect">
          <a:avLst/>
        </a:prstGeom>
      </xdr:spPr>
    </xdr:pic>
    <xdr:clientData/>
  </xdr:twoCellAnchor>
  <xdr:twoCellAnchor editAs="oneCell">
    <xdr:from>
      <xdr:col>0</xdr:col>
      <xdr:colOff>266700</xdr:colOff>
      <xdr:row>58</xdr:row>
      <xdr:rowOff>94340</xdr:rowOff>
    </xdr:from>
    <xdr:to>
      <xdr:col>7</xdr:col>
      <xdr:colOff>95250</xdr:colOff>
      <xdr:row>83</xdr:row>
      <xdr:rowOff>28901</xdr:rowOff>
    </xdr:to>
    <xdr:pic>
      <xdr:nvPicPr>
        <xdr:cNvPr id="4" name="图片 3">
          <a:extLst>
            <a:ext uri="{FF2B5EF4-FFF2-40B4-BE49-F238E27FC236}">
              <a16:creationId xmlns:a16="http://schemas.microsoft.com/office/drawing/2014/main" id="{6AA4342C-C646-517F-4B93-904BC7F1F7FD}"/>
            </a:ext>
          </a:extLst>
        </xdr:cNvPr>
        <xdr:cNvPicPr>
          <a:picLocks noChangeAspect="1"/>
        </xdr:cNvPicPr>
      </xdr:nvPicPr>
      <xdr:blipFill>
        <a:blip xmlns:r="http://schemas.openxmlformats.org/officeDocument/2006/relationships" r:embed="rId3"/>
        <a:stretch>
          <a:fillRect/>
        </a:stretch>
      </xdr:blipFill>
      <xdr:spPr>
        <a:xfrm>
          <a:off x="266700" y="10038440"/>
          <a:ext cx="4629150" cy="4220811"/>
        </a:xfrm>
        <a:prstGeom prst="rect">
          <a:avLst/>
        </a:prstGeom>
      </xdr:spPr>
    </xdr:pic>
    <xdr:clientData/>
  </xdr:twoCellAnchor>
  <xdr:twoCellAnchor editAs="oneCell">
    <xdr:from>
      <xdr:col>0</xdr:col>
      <xdr:colOff>333375</xdr:colOff>
      <xdr:row>85</xdr:row>
      <xdr:rowOff>124065</xdr:rowOff>
    </xdr:from>
    <xdr:to>
      <xdr:col>9</xdr:col>
      <xdr:colOff>19050</xdr:colOff>
      <xdr:row>116</xdr:row>
      <xdr:rowOff>8294</xdr:rowOff>
    </xdr:to>
    <xdr:pic>
      <xdr:nvPicPr>
        <xdr:cNvPr id="5" name="图片 4">
          <a:extLst>
            <a:ext uri="{FF2B5EF4-FFF2-40B4-BE49-F238E27FC236}">
              <a16:creationId xmlns:a16="http://schemas.microsoft.com/office/drawing/2014/main" id="{84AAD90C-8EB5-233A-2BFA-8C48602E8C8E}"/>
            </a:ext>
          </a:extLst>
        </xdr:cNvPr>
        <xdr:cNvPicPr>
          <a:picLocks noChangeAspect="1"/>
        </xdr:cNvPicPr>
      </xdr:nvPicPr>
      <xdr:blipFill>
        <a:blip xmlns:r="http://schemas.openxmlformats.org/officeDocument/2006/relationships" r:embed="rId4"/>
        <a:stretch>
          <a:fillRect/>
        </a:stretch>
      </xdr:blipFill>
      <xdr:spPr>
        <a:xfrm>
          <a:off x="333375" y="14697315"/>
          <a:ext cx="5857875" cy="5199179"/>
        </a:xfrm>
        <a:prstGeom prst="rect">
          <a:avLst/>
        </a:prstGeom>
      </xdr:spPr>
    </xdr:pic>
    <xdr:clientData/>
  </xdr:twoCellAnchor>
  <xdr:twoCellAnchor editAs="oneCell">
    <xdr:from>
      <xdr:col>0</xdr:col>
      <xdr:colOff>533400</xdr:colOff>
      <xdr:row>118</xdr:row>
      <xdr:rowOff>133852</xdr:rowOff>
    </xdr:from>
    <xdr:to>
      <xdr:col>9</xdr:col>
      <xdr:colOff>514350</xdr:colOff>
      <xdr:row>151</xdr:row>
      <xdr:rowOff>65424</xdr:rowOff>
    </xdr:to>
    <xdr:pic>
      <xdr:nvPicPr>
        <xdr:cNvPr id="6" name="图片 5">
          <a:extLst>
            <a:ext uri="{FF2B5EF4-FFF2-40B4-BE49-F238E27FC236}">
              <a16:creationId xmlns:a16="http://schemas.microsoft.com/office/drawing/2014/main" id="{CAA7546F-6259-19F2-B46D-097C9CBB0010}"/>
            </a:ext>
          </a:extLst>
        </xdr:cNvPr>
        <xdr:cNvPicPr>
          <a:picLocks noChangeAspect="1"/>
        </xdr:cNvPicPr>
      </xdr:nvPicPr>
      <xdr:blipFill>
        <a:blip xmlns:r="http://schemas.openxmlformats.org/officeDocument/2006/relationships" r:embed="rId5"/>
        <a:stretch>
          <a:fillRect/>
        </a:stretch>
      </xdr:blipFill>
      <xdr:spPr>
        <a:xfrm>
          <a:off x="533400" y="20364952"/>
          <a:ext cx="6153150" cy="5589422"/>
        </a:xfrm>
        <a:prstGeom prst="rect">
          <a:avLst/>
        </a:prstGeom>
      </xdr:spPr>
    </xdr:pic>
    <xdr:clientData/>
  </xdr:twoCellAnchor>
  <xdr:twoCellAnchor editAs="oneCell">
    <xdr:from>
      <xdr:col>18</xdr:col>
      <xdr:colOff>476250</xdr:colOff>
      <xdr:row>1</xdr:row>
      <xdr:rowOff>64782</xdr:rowOff>
    </xdr:from>
    <xdr:to>
      <xdr:col>27</xdr:col>
      <xdr:colOff>514350</xdr:colOff>
      <xdr:row>32</xdr:row>
      <xdr:rowOff>65601</xdr:rowOff>
    </xdr:to>
    <xdr:pic>
      <xdr:nvPicPr>
        <xdr:cNvPr id="8" name="图片 7">
          <a:extLst>
            <a:ext uri="{FF2B5EF4-FFF2-40B4-BE49-F238E27FC236}">
              <a16:creationId xmlns:a16="http://schemas.microsoft.com/office/drawing/2014/main" id="{6C4E85C0-6152-EED0-D48F-F54DA3435DEF}"/>
            </a:ext>
          </a:extLst>
        </xdr:cNvPr>
        <xdr:cNvPicPr>
          <a:picLocks noChangeAspect="1"/>
        </xdr:cNvPicPr>
      </xdr:nvPicPr>
      <xdr:blipFill>
        <a:blip xmlns:r="http://schemas.openxmlformats.org/officeDocument/2006/relationships" r:embed="rId6"/>
        <a:stretch>
          <a:fillRect/>
        </a:stretch>
      </xdr:blipFill>
      <xdr:spPr>
        <a:xfrm>
          <a:off x="12858750" y="236232"/>
          <a:ext cx="6210300" cy="5315769"/>
        </a:xfrm>
        <a:prstGeom prst="rect">
          <a:avLst/>
        </a:prstGeom>
      </xdr:spPr>
    </xdr:pic>
    <xdr:clientData/>
  </xdr:twoCellAnchor>
  <xdr:twoCellAnchor editAs="oneCell">
    <xdr:from>
      <xdr:col>19</xdr:col>
      <xdr:colOff>27669</xdr:colOff>
      <xdr:row>35</xdr:row>
      <xdr:rowOff>123824</xdr:rowOff>
    </xdr:from>
    <xdr:to>
      <xdr:col>29</xdr:col>
      <xdr:colOff>646261</xdr:colOff>
      <xdr:row>73</xdr:row>
      <xdr:rowOff>46385</xdr:rowOff>
    </xdr:to>
    <xdr:pic>
      <xdr:nvPicPr>
        <xdr:cNvPr id="9" name="图片 8">
          <a:extLst>
            <a:ext uri="{FF2B5EF4-FFF2-40B4-BE49-F238E27FC236}">
              <a16:creationId xmlns:a16="http://schemas.microsoft.com/office/drawing/2014/main" id="{CF0852E4-11BD-DBE3-5640-4C9E9DD656F1}"/>
            </a:ext>
          </a:extLst>
        </xdr:cNvPr>
        <xdr:cNvPicPr>
          <a:picLocks noChangeAspect="1"/>
        </xdr:cNvPicPr>
      </xdr:nvPicPr>
      <xdr:blipFill>
        <a:blip xmlns:r="http://schemas.openxmlformats.org/officeDocument/2006/relationships" r:embed="rId7"/>
        <a:stretch>
          <a:fillRect/>
        </a:stretch>
      </xdr:blipFill>
      <xdr:spPr>
        <a:xfrm>
          <a:off x="13095969" y="6124574"/>
          <a:ext cx="7476592" cy="6437661"/>
        </a:xfrm>
        <a:prstGeom prst="rect">
          <a:avLst/>
        </a:prstGeom>
      </xdr:spPr>
    </xdr:pic>
    <xdr:clientData/>
  </xdr:twoCellAnchor>
  <xdr:twoCellAnchor editAs="oneCell">
    <xdr:from>
      <xdr:col>8</xdr:col>
      <xdr:colOff>628651</xdr:colOff>
      <xdr:row>32</xdr:row>
      <xdr:rowOff>1095</xdr:rowOff>
    </xdr:from>
    <xdr:to>
      <xdr:col>18</xdr:col>
      <xdr:colOff>219076</xdr:colOff>
      <xdr:row>55</xdr:row>
      <xdr:rowOff>85143</xdr:rowOff>
    </xdr:to>
    <xdr:pic>
      <xdr:nvPicPr>
        <xdr:cNvPr id="7" name="图片 6">
          <a:extLst>
            <a:ext uri="{FF2B5EF4-FFF2-40B4-BE49-F238E27FC236}">
              <a16:creationId xmlns:a16="http://schemas.microsoft.com/office/drawing/2014/main" id="{2F427308-4EE8-D932-3E32-53E60379DA9D}"/>
            </a:ext>
          </a:extLst>
        </xdr:cNvPr>
        <xdr:cNvPicPr>
          <a:picLocks noChangeAspect="1"/>
        </xdr:cNvPicPr>
      </xdr:nvPicPr>
      <xdr:blipFill>
        <a:blip xmlns:r="http://schemas.openxmlformats.org/officeDocument/2006/relationships" r:embed="rId8"/>
        <a:stretch>
          <a:fillRect/>
        </a:stretch>
      </xdr:blipFill>
      <xdr:spPr>
        <a:xfrm>
          <a:off x="6115051" y="5487495"/>
          <a:ext cx="6877050" cy="4027398"/>
        </a:xfrm>
        <a:prstGeom prst="rect">
          <a:avLst/>
        </a:prstGeom>
      </xdr:spPr>
    </xdr:pic>
    <xdr:clientData/>
  </xdr:twoCellAnchor>
  <xdr:twoCellAnchor editAs="oneCell">
    <xdr:from>
      <xdr:col>18</xdr:col>
      <xdr:colOff>180975</xdr:colOff>
      <xdr:row>78</xdr:row>
      <xdr:rowOff>47123</xdr:rowOff>
    </xdr:from>
    <xdr:to>
      <xdr:col>30</xdr:col>
      <xdr:colOff>46109</xdr:colOff>
      <xdr:row>115</xdr:row>
      <xdr:rowOff>94052</xdr:rowOff>
    </xdr:to>
    <xdr:pic>
      <xdr:nvPicPr>
        <xdr:cNvPr id="10" name="图片 9">
          <a:extLst>
            <a:ext uri="{FF2B5EF4-FFF2-40B4-BE49-F238E27FC236}">
              <a16:creationId xmlns:a16="http://schemas.microsoft.com/office/drawing/2014/main" id="{F3B283A2-1932-9BBB-9059-E40F4CD10AEF}"/>
            </a:ext>
          </a:extLst>
        </xdr:cNvPr>
        <xdr:cNvPicPr>
          <a:picLocks noChangeAspect="1"/>
        </xdr:cNvPicPr>
      </xdr:nvPicPr>
      <xdr:blipFill>
        <a:blip xmlns:r="http://schemas.openxmlformats.org/officeDocument/2006/relationships" r:embed="rId9"/>
        <a:stretch>
          <a:fillRect/>
        </a:stretch>
      </xdr:blipFill>
      <xdr:spPr>
        <a:xfrm>
          <a:off x="12954000" y="13420223"/>
          <a:ext cx="8094734" cy="63905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66675</xdr:rowOff>
    </xdr:from>
    <xdr:to>
      <xdr:col>11</xdr:col>
      <xdr:colOff>247650</xdr:colOff>
      <xdr:row>25</xdr:row>
      <xdr:rowOff>135149</xdr:rowOff>
    </xdr:to>
    <xdr:pic>
      <xdr:nvPicPr>
        <xdr:cNvPr id="2" name="图片 1">
          <a:extLst>
            <a:ext uri="{FF2B5EF4-FFF2-40B4-BE49-F238E27FC236}">
              <a16:creationId xmlns:a16="http://schemas.microsoft.com/office/drawing/2014/main" id="{080B53C9-3B81-4E20-8446-5C179BC869FC}"/>
            </a:ext>
          </a:extLst>
        </xdr:cNvPr>
        <xdr:cNvPicPr>
          <a:picLocks noChangeAspect="1"/>
        </xdr:cNvPicPr>
      </xdr:nvPicPr>
      <xdr:blipFill>
        <a:blip xmlns:r="http://schemas.openxmlformats.org/officeDocument/2006/relationships" r:embed="rId1"/>
        <a:stretch>
          <a:fillRect/>
        </a:stretch>
      </xdr:blipFill>
      <xdr:spPr>
        <a:xfrm>
          <a:off x="1371600" y="66675"/>
          <a:ext cx="6419850" cy="4354724"/>
        </a:xfrm>
        <a:prstGeom prst="rect">
          <a:avLst/>
        </a:prstGeom>
      </xdr:spPr>
    </xdr:pic>
    <xdr:clientData/>
  </xdr:twoCellAnchor>
  <xdr:twoCellAnchor editAs="oneCell">
    <xdr:from>
      <xdr:col>12</xdr:col>
      <xdr:colOff>295275</xdr:colOff>
      <xdr:row>0</xdr:row>
      <xdr:rowOff>0</xdr:rowOff>
    </xdr:from>
    <xdr:to>
      <xdr:col>18</xdr:col>
      <xdr:colOff>351889</xdr:colOff>
      <xdr:row>29</xdr:row>
      <xdr:rowOff>27950</xdr:rowOff>
    </xdr:to>
    <xdr:pic>
      <xdr:nvPicPr>
        <xdr:cNvPr id="3" name="图片 2">
          <a:extLst>
            <a:ext uri="{FF2B5EF4-FFF2-40B4-BE49-F238E27FC236}">
              <a16:creationId xmlns:a16="http://schemas.microsoft.com/office/drawing/2014/main" id="{9ED1CDB5-46A8-ED5F-098F-8945BB9EC966}"/>
            </a:ext>
          </a:extLst>
        </xdr:cNvPr>
        <xdr:cNvPicPr>
          <a:picLocks noChangeAspect="1"/>
        </xdr:cNvPicPr>
      </xdr:nvPicPr>
      <xdr:blipFill>
        <a:blip xmlns:r="http://schemas.openxmlformats.org/officeDocument/2006/relationships" r:embed="rId2"/>
        <a:stretch>
          <a:fillRect/>
        </a:stretch>
      </xdr:blipFill>
      <xdr:spPr>
        <a:xfrm>
          <a:off x="8524875" y="0"/>
          <a:ext cx="4285714" cy="5000000"/>
        </a:xfrm>
        <a:prstGeom prst="rect">
          <a:avLst/>
        </a:prstGeom>
      </xdr:spPr>
    </xdr:pic>
    <xdr:clientData/>
  </xdr:twoCellAnchor>
  <xdr:twoCellAnchor editAs="oneCell">
    <xdr:from>
      <xdr:col>18</xdr:col>
      <xdr:colOff>561975</xdr:colOff>
      <xdr:row>3</xdr:row>
      <xdr:rowOff>28575</xdr:rowOff>
    </xdr:from>
    <xdr:to>
      <xdr:col>23</xdr:col>
      <xdr:colOff>494875</xdr:colOff>
      <xdr:row>19</xdr:row>
      <xdr:rowOff>18708</xdr:rowOff>
    </xdr:to>
    <xdr:pic>
      <xdr:nvPicPr>
        <xdr:cNvPr id="4" name="图片 3">
          <a:extLst>
            <a:ext uri="{FF2B5EF4-FFF2-40B4-BE49-F238E27FC236}">
              <a16:creationId xmlns:a16="http://schemas.microsoft.com/office/drawing/2014/main" id="{31D55EF0-E5A9-E7AC-AE71-2AE6C47682B6}"/>
            </a:ext>
          </a:extLst>
        </xdr:cNvPr>
        <xdr:cNvPicPr>
          <a:picLocks noChangeAspect="1"/>
        </xdr:cNvPicPr>
      </xdr:nvPicPr>
      <xdr:blipFill>
        <a:blip xmlns:r="http://schemas.openxmlformats.org/officeDocument/2006/relationships" r:embed="rId3"/>
        <a:stretch>
          <a:fillRect/>
        </a:stretch>
      </xdr:blipFill>
      <xdr:spPr>
        <a:xfrm>
          <a:off x="12906375" y="542925"/>
          <a:ext cx="3400000" cy="2733333"/>
        </a:xfrm>
        <a:prstGeom prst="rect">
          <a:avLst/>
        </a:prstGeom>
      </xdr:spPr>
    </xdr:pic>
    <xdr:clientData/>
  </xdr:twoCellAnchor>
  <xdr:twoCellAnchor editAs="oneCell">
    <xdr:from>
      <xdr:col>1</xdr:col>
      <xdr:colOff>76200</xdr:colOff>
      <xdr:row>31</xdr:row>
      <xdr:rowOff>0</xdr:rowOff>
    </xdr:from>
    <xdr:to>
      <xdr:col>10</xdr:col>
      <xdr:colOff>218286</xdr:colOff>
      <xdr:row>42</xdr:row>
      <xdr:rowOff>66431</xdr:rowOff>
    </xdr:to>
    <xdr:pic>
      <xdr:nvPicPr>
        <xdr:cNvPr id="5" name="图片 4">
          <a:extLst>
            <a:ext uri="{FF2B5EF4-FFF2-40B4-BE49-F238E27FC236}">
              <a16:creationId xmlns:a16="http://schemas.microsoft.com/office/drawing/2014/main" id="{94F56EC3-2707-D974-C994-7146CD94119A}"/>
            </a:ext>
          </a:extLst>
        </xdr:cNvPr>
        <xdr:cNvPicPr>
          <a:picLocks noChangeAspect="1"/>
        </xdr:cNvPicPr>
      </xdr:nvPicPr>
      <xdr:blipFill>
        <a:blip xmlns:r="http://schemas.openxmlformats.org/officeDocument/2006/relationships" r:embed="rId4"/>
        <a:stretch>
          <a:fillRect/>
        </a:stretch>
      </xdr:blipFill>
      <xdr:spPr>
        <a:xfrm>
          <a:off x="762000" y="5314950"/>
          <a:ext cx="6314286" cy="1952381"/>
        </a:xfrm>
        <a:prstGeom prst="rect">
          <a:avLst/>
        </a:prstGeom>
      </xdr:spPr>
    </xdr:pic>
    <xdr:clientData/>
  </xdr:twoCellAnchor>
  <xdr:twoCellAnchor editAs="oneCell">
    <xdr:from>
      <xdr:col>1</xdr:col>
      <xdr:colOff>381000</xdr:colOff>
      <xdr:row>43</xdr:row>
      <xdr:rowOff>98582</xdr:rowOff>
    </xdr:from>
    <xdr:to>
      <xdr:col>10</xdr:col>
      <xdr:colOff>0</xdr:colOff>
      <xdr:row>84</xdr:row>
      <xdr:rowOff>75108</xdr:rowOff>
    </xdr:to>
    <xdr:pic>
      <xdr:nvPicPr>
        <xdr:cNvPr id="6" name="图片 5">
          <a:extLst>
            <a:ext uri="{FF2B5EF4-FFF2-40B4-BE49-F238E27FC236}">
              <a16:creationId xmlns:a16="http://schemas.microsoft.com/office/drawing/2014/main" id="{39B07540-BFE6-500C-ED10-A8A265D321A3}"/>
            </a:ext>
          </a:extLst>
        </xdr:cNvPr>
        <xdr:cNvPicPr>
          <a:picLocks noChangeAspect="1"/>
        </xdr:cNvPicPr>
      </xdr:nvPicPr>
      <xdr:blipFill>
        <a:blip xmlns:r="http://schemas.openxmlformats.org/officeDocument/2006/relationships" r:embed="rId5"/>
        <a:stretch>
          <a:fillRect/>
        </a:stretch>
      </xdr:blipFill>
      <xdr:spPr>
        <a:xfrm>
          <a:off x="1066800" y="7470932"/>
          <a:ext cx="5791200" cy="7005976"/>
        </a:xfrm>
        <a:prstGeom prst="rect">
          <a:avLst/>
        </a:prstGeom>
      </xdr:spPr>
    </xdr:pic>
    <xdr:clientData/>
  </xdr:twoCellAnchor>
  <xdr:twoCellAnchor editAs="oneCell">
    <xdr:from>
      <xdr:col>1</xdr:col>
      <xdr:colOff>447676</xdr:colOff>
      <xdr:row>84</xdr:row>
      <xdr:rowOff>86209</xdr:rowOff>
    </xdr:from>
    <xdr:to>
      <xdr:col>8</xdr:col>
      <xdr:colOff>561976</xdr:colOff>
      <xdr:row>96</xdr:row>
      <xdr:rowOff>123460</xdr:rowOff>
    </xdr:to>
    <xdr:pic>
      <xdr:nvPicPr>
        <xdr:cNvPr id="7" name="图片 6">
          <a:extLst>
            <a:ext uri="{FF2B5EF4-FFF2-40B4-BE49-F238E27FC236}">
              <a16:creationId xmlns:a16="http://schemas.microsoft.com/office/drawing/2014/main" id="{513A0E81-FC38-9E70-FEB7-F1374F2DBA1F}"/>
            </a:ext>
          </a:extLst>
        </xdr:cNvPr>
        <xdr:cNvPicPr>
          <a:picLocks noChangeAspect="1"/>
        </xdr:cNvPicPr>
      </xdr:nvPicPr>
      <xdr:blipFill>
        <a:blip xmlns:r="http://schemas.openxmlformats.org/officeDocument/2006/relationships" r:embed="rId6"/>
        <a:stretch>
          <a:fillRect/>
        </a:stretch>
      </xdr:blipFill>
      <xdr:spPr>
        <a:xfrm>
          <a:off x="1133476" y="14488009"/>
          <a:ext cx="4914900" cy="2094651"/>
        </a:xfrm>
        <a:prstGeom prst="rect">
          <a:avLst/>
        </a:prstGeom>
      </xdr:spPr>
    </xdr:pic>
    <xdr:clientData/>
  </xdr:twoCellAnchor>
  <xdr:twoCellAnchor editAs="oneCell">
    <xdr:from>
      <xdr:col>6</xdr:col>
      <xdr:colOff>238125</xdr:colOff>
      <xdr:row>4</xdr:row>
      <xdr:rowOff>0</xdr:rowOff>
    </xdr:from>
    <xdr:to>
      <xdr:col>10</xdr:col>
      <xdr:colOff>513973</xdr:colOff>
      <xdr:row>16</xdr:row>
      <xdr:rowOff>152124</xdr:rowOff>
    </xdr:to>
    <xdr:pic>
      <xdr:nvPicPr>
        <xdr:cNvPr id="8" name="图片 7">
          <a:extLst>
            <a:ext uri="{FF2B5EF4-FFF2-40B4-BE49-F238E27FC236}">
              <a16:creationId xmlns:a16="http://schemas.microsoft.com/office/drawing/2014/main" id="{05FA5640-5FD2-1C3F-B918-68677AA6E58D}"/>
            </a:ext>
          </a:extLst>
        </xdr:cNvPr>
        <xdr:cNvPicPr>
          <a:picLocks noChangeAspect="1"/>
        </xdr:cNvPicPr>
      </xdr:nvPicPr>
      <xdr:blipFill>
        <a:blip xmlns:r="http://schemas.openxmlformats.org/officeDocument/2006/relationships" r:embed="rId7"/>
        <a:stretch>
          <a:fillRect/>
        </a:stretch>
      </xdr:blipFill>
      <xdr:spPr>
        <a:xfrm>
          <a:off x="4352925" y="685800"/>
          <a:ext cx="3019048" cy="2209524"/>
        </a:xfrm>
        <a:prstGeom prst="rect">
          <a:avLst/>
        </a:prstGeom>
      </xdr:spPr>
    </xdr:pic>
    <xdr:clientData/>
  </xdr:twoCellAnchor>
  <xdr:twoCellAnchor editAs="oneCell">
    <xdr:from>
      <xdr:col>24</xdr:col>
      <xdr:colOff>206905</xdr:colOff>
      <xdr:row>0</xdr:row>
      <xdr:rowOff>0</xdr:rowOff>
    </xdr:from>
    <xdr:to>
      <xdr:col>32</xdr:col>
      <xdr:colOff>561118</xdr:colOff>
      <xdr:row>45</xdr:row>
      <xdr:rowOff>56009</xdr:rowOff>
    </xdr:to>
    <xdr:pic>
      <xdr:nvPicPr>
        <xdr:cNvPr id="9" name="图片 8">
          <a:extLst>
            <a:ext uri="{FF2B5EF4-FFF2-40B4-BE49-F238E27FC236}">
              <a16:creationId xmlns:a16="http://schemas.microsoft.com/office/drawing/2014/main" id="{77174740-00D9-096E-A9D6-9E04FAE88D7E}"/>
            </a:ext>
          </a:extLst>
        </xdr:cNvPr>
        <xdr:cNvPicPr>
          <a:picLocks noChangeAspect="1"/>
        </xdr:cNvPicPr>
      </xdr:nvPicPr>
      <xdr:blipFill>
        <a:blip xmlns:r="http://schemas.openxmlformats.org/officeDocument/2006/relationships" r:embed="rId8"/>
        <a:stretch>
          <a:fillRect/>
        </a:stretch>
      </xdr:blipFill>
      <xdr:spPr>
        <a:xfrm>
          <a:off x="16818505" y="0"/>
          <a:ext cx="5840613" cy="77712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9525</xdr:rowOff>
    </xdr:from>
    <xdr:to>
      <xdr:col>11</xdr:col>
      <xdr:colOff>208581</xdr:colOff>
      <xdr:row>73</xdr:row>
      <xdr:rowOff>141808</xdr:rowOff>
    </xdr:to>
    <xdr:pic>
      <xdr:nvPicPr>
        <xdr:cNvPr id="2" name="图片 1">
          <a:extLst>
            <a:ext uri="{FF2B5EF4-FFF2-40B4-BE49-F238E27FC236}">
              <a16:creationId xmlns:a16="http://schemas.microsoft.com/office/drawing/2014/main" id="{6733CC2B-764F-B5B7-B083-163276464FEB}"/>
            </a:ext>
          </a:extLst>
        </xdr:cNvPr>
        <xdr:cNvPicPr>
          <a:picLocks noChangeAspect="1"/>
        </xdr:cNvPicPr>
      </xdr:nvPicPr>
      <xdr:blipFill>
        <a:blip xmlns:r="http://schemas.openxmlformats.org/officeDocument/2006/relationships" r:embed="rId1"/>
        <a:stretch>
          <a:fillRect/>
        </a:stretch>
      </xdr:blipFill>
      <xdr:spPr>
        <a:xfrm>
          <a:off x="0" y="4124325"/>
          <a:ext cx="7752381" cy="8533333"/>
        </a:xfrm>
        <a:prstGeom prst="rect">
          <a:avLst/>
        </a:prstGeom>
      </xdr:spPr>
    </xdr:pic>
    <xdr:clientData/>
  </xdr:twoCellAnchor>
  <xdr:twoCellAnchor editAs="oneCell">
    <xdr:from>
      <xdr:col>10</xdr:col>
      <xdr:colOff>211075</xdr:colOff>
      <xdr:row>19</xdr:row>
      <xdr:rowOff>28575</xdr:rowOff>
    </xdr:from>
    <xdr:to>
      <xdr:col>20</xdr:col>
      <xdr:colOff>648493</xdr:colOff>
      <xdr:row>57</xdr:row>
      <xdr:rowOff>161925</xdr:rowOff>
    </xdr:to>
    <xdr:pic>
      <xdr:nvPicPr>
        <xdr:cNvPr id="3" name="图片 2">
          <a:extLst>
            <a:ext uri="{FF2B5EF4-FFF2-40B4-BE49-F238E27FC236}">
              <a16:creationId xmlns:a16="http://schemas.microsoft.com/office/drawing/2014/main" id="{86D5FB13-AA23-6195-7068-80E1BBBD6E5E}"/>
            </a:ext>
          </a:extLst>
        </xdr:cNvPr>
        <xdr:cNvPicPr>
          <a:picLocks noChangeAspect="1"/>
        </xdr:cNvPicPr>
      </xdr:nvPicPr>
      <xdr:blipFill>
        <a:blip xmlns:r="http://schemas.openxmlformats.org/officeDocument/2006/relationships" r:embed="rId2"/>
        <a:stretch>
          <a:fillRect/>
        </a:stretch>
      </xdr:blipFill>
      <xdr:spPr>
        <a:xfrm>
          <a:off x="7069075" y="3286125"/>
          <a:ext cx="7295418" cy="6648450"/>
        </a:xfrm>
        <a:prstGeom prst="rect">
          <a:avLst/>
        </a:prstGeom>
      </xdr:spPr>
    </xdr:pic>
    <xdr:clientData/>
  </xdr:twoCellAnchor>
  <xdr:twoCellAnchor editAs="oneCell">
    <xdr:from>
      <xdr:col>20</xdr:col>
      <xdr:colOff>457200</xdr:colOff>
      <xdr:row>20</xdr:row>
      <xdr:rowOff>114300</xdr:rowOff>
    </xdr:from>
    <xdr:to>
      <xdr:col>31</xdr:col>
      <xdr:colOff>551495</xdr:colOff>
      <xdr:row>61</xdr:row>
      <xdr:rowOff>141993</xdr:rowOff>
    </xdr:to>
    <xdr:pic>
      <xdr:nvPicPr>
        <xdr:cNvPr id="4" name="图片 3">
          <a:extLst>
            <a:ext uri="{FF2B5EF4-FFF2-40B4-BE49-F238E27FC236}">
              <a16:creationId xmlns:a16="http://schemas.microsoft.com/office/drawing/2014/main" id="{B941F7B8-9599-ED35-6E23-E7BDEFDA7C26}"/>
            </a:ext>
          </a:extLst>
        </xdr:cNvPr>
        <xdr:cNvPicPr>
          <a:picLocks noChangeAspect="1"/>
        </xdr:cNvPicPr>
      </xdr:nvPicPr>
      <xdr:blipFill>
        <a:blip xmlns:r="http://schemas.openxmlformats.org/officeDocument/2006/relationships" r:embed="rId3"/>
        <a:stretch>
          <a:fillRect/>
        </a:stretch>
      </xdr:blipFill>
      <xdr:spPr>
        <a:xfrm>
          <a:off x="14173200" y="3543300"/>
          <a:ext cx="7638095" cy="7057143"/>
        </a:xfrm>
        <a:prstGeom prst="rect">
          <a:avLst/>
        </a:prstGeom>
      </xdr:spPr>
    </xdr:pic>
    <xdr:clientData/>
  </xdr:twoCellAnchor>
  <xdr:twoCellAnchor editAs="oneCell">
    <xdr:from>
      <xdr:col>0</xdr:col>
      <xdr:colOff>0</xdr:colOff>
      <xdr:row>63</xdr:row>
      <xdr:rowOff>57150</xdr:rowOff>
    </xdr:from>
    <xdr:to>
      <xdr:col>10</xdr:col>
      <xdr:colOff>408667</xdr:colOff>
      <xdr:row>110</xdr:row>
      <xdr:rowOff>75190</xdr:rowOff>
    </xdr:to>
    <xdr:pic>
      <xdr:nvPicPr>
        <xdr:cNvPr id="5" name="图片 4">
          <a:extLst>
            <a:ext uri="{FF2B5EF4-FFF2-40B4-BE49-F238E27FC236}">
              <a16:creationId xmlns:a16="http://schemas.microsoft.com/office/drawing/2014/main" id="{47A11E30-24EB-1DE6-5372-4469ABF3C08B}"/>
            </a:ext>
          </a:extLst>
        </xdr:cNvPr>
        <xdr:cNvPicPr>
          <a:picLocks noChangeAspect="1"/>
        </xdr:cNvPicPr>
      </xdr:nvPicPr>
      <xdr:blipFill>
        <a:blip xmlns:r="http://schemas.openxmlformats.org/officeDocument/2006/relationships" r:embed="rId4"/>
        <a:stretch>
          <a:fillRect/>
        </a:stretch>
      </xdr:blipFill>
      <xdr:spPr>
        <a:xfrm>
          <a:off x="0" y="8115300"/>
          <a:ext cx="7266667" cy="8076190"/>
        </a:xfrm>
        <a:prstGeom prst="rect">
          <a:avLst/>
        </a:prstGeom>
      </xdr:spPr>
    </xdr:pic>
    <xdr:clientData/>
  </xdr:twoCellAnchor>
  <xdr:twoCellAnchor editAs="oneCell">
    <xdr:from>
      <xdr:col>10</xdr:col>
      <xdr:colOff>285750</xdr:colOff>
      <xdr:row>55</xdr:row>
      <xdr:rowOff>152400</xdr:rowOff>
    </xdr:from>
    <xdr:to>
      <xdr:col>21</xdr:col>
      <xdr:colOff>303855</xdr:colOff>
      <xdr:row>93</xdr:row>
      <xdr:rowOff>123014</xdr:rowOff>
    </xdr:to>
    <xdr:pic>
      <xdr:nvPicPr>
        <xdr:cNvPr id="6" name="图片 5">
          <a:extLst>
            <a:ext uri="{FF2B5EF4-FFF2-40B4-BE49-F238E27FC236}">
              <a16:creationId xmlns:a16="http://schemas.microsoft.com/office/drawing/2014/main" id="{36B1AB8F-F9B3-6159-BCB3-0C7982DC9894}"/>
            </a:ext>
          </a:extLst>
        </xdr:cNvPr>
        <xdr:cNvPicPr>
          <a:picLocks noChangeAspect="1"/>
        </xdr:cNvPicPr>
      </xdr:nvPicPr>
      <xdr:blipFill>
        <a:blip xmlns:r="http://schemas.openxmlformats.org/officeDocument/2006/relationships" r:embed="rId5"/>
        <a:stretch>
          <a:fillRect/>
        </a:stretch>
      </xdr:blipFill>
      <xdr:spPr>
        <a:xfrm>
          <a:off x="7143750" y="6838950"/>
          <a:ext cx="7561905" cy="6485714"/>
        </a:xfrm>
        <a:prstGeom prst="rect">
          <a:avLst/>
        </a:prstGeom>
      </xdr:spPr>
    </xdr:pic>
    <xdr:clientData/>
  </xdr:twoCellAnchor>
  <xdr:twoCellAnchor editAs="oneCell">
    <xdr:from>
      <xdr:col>20</xdr:col>
      <xdr:colOff>361950</xdr:colOff>
      <xdr:row>55</xdr:row>
      <xdr:rowOff>57150</xdr:rowOff>
    </xdr:from>
    <xdr:to>
      <xdr:col>31</xdr:col>
      <xdr:colOff>341959</xdr:colOff>
      <xdr:row>95</xdr:row>
      <xdr:rowOff>94388</xdr:rowOff>
    </xdr:to>
    <xdr:pic>
      <xdr:nvPicPr>
        <xdr:cNvPr id="7" name="图片 6">
          <a:extLst>
            <a:ext uri="{FF2B5EF4-FFF2-40B4-BE49-F238E27FC236}">
              <a16:creationId xmlns:a16="http://schemas.microsoft.com/office/drawing/2014/main" id="{FA103751-DD4E-53EE-D58A-9C0C98A6D956}"/>
            </a:ext>
          </a:extLst>
        </xdr:cNvPr>
        <xdr:cNvPicPr>
          <a:picLocks noChangeAspect="1"/>
        </xdr:cNvPicPr>
      </xdr:nvPicPr>
      <xdr:blipFill>
        <a:blip xmlns:r="http://schemas.openxmlformats.org/officeDocument/2006/relationships" r:embed="rId6"/>
        <a:stretch>
          <a:fillRect/>
        </a:stretch>
      </xdr:blipFill>
      <xdr:spPr>
        <a:xfrm>
          <a:off x="14077950" y="6743700"/>
          <a:ext cx="7523809" cy="6895238"/>
        </a:xfrm>
        <a:prstGeom prst="rect">
          <a:avLst/>
        </a:prstGeom>
      </xdr:spPr>
    </xdr:pic>
    <xdr:clientData/>
  </xdr:twoCellAnchor>
  <xdr:twoCellAnchor editAs="oneCell">
    <xdr:from>
      <xdr:col>0</xdr:col>
      <xdr:colOff>0</xdr:colOff>
      <xdr:row>111</xdr:row>
      <xdr:rowOff>0</xdr:rowOff>
    </xdr:from>
    <xdr:to>
      <xdr:col>12</xdr:col>
      <xdr:colOff>322781</xdr:colOff>
      <xdr:row>153</xdr:row>
      <xdr:rowOff>103862</xdr:rowOff>
    </xdr:to>
    <xdr:pic>
      <xdr:nvPicPr>
        <xdr:cNvPr id="8" name="图片 7">
          <a:extLst>
            <a:ext uri="{FF2B5EF4-FFF2-40B4-BE49-F238E27FC236}">
              <a16:creationId xmlns:a16="http://schemas.microsoft.com/office/drawing/2014/main" id="{10C24D19-7F12-EB87-6C2C-174AAD317F49}"/>
            </a:ext>
          </a:extLst>
        </xdr:cNvPr>
        <xdr:cNvPicPr>
          <a:picLocks noChangeAspect="1"/>
        </xdr:cNvPicPr>
      </xdr:nvPicPr>
      <xdr:blipFill>
        <a:blip xmlns:r="http://schemas.openxmlformats.org/officeDocument/2006/relationships" r:embed="rId7"/>
        <a:stretch>
          <a:fillRect/>
        </a:stretch>
      </xdr:blipFill>
      <xdr:spPr>
        <a:xfrm>
          <a:off x="0" y="16287750"/>
          <a:ext cx="8552381" cy="7304762"/>
        </a:xfrm>
        <a:prstGeom prst="rect">
          <a:avLst/>
        </a:prstGeom>
      </xdr:spPr>
    </xdr:pic>
    <xdr:clientData/>
  </xdr:twoCellAnchor>
  <xdr:twoCellAnchor editAs="oneCell">
    <xdr:from>
      <xdr:col>10</xdr:col>
      <xdr:colOff>457200</xdr:colOff>
      <xdr:row>91</xdr:row>
      <xdr:rowOff>123825</xdr:rowOff>
    </xdr:from>
    <xdr:to>
      <xdr:col>21</xdr:col>
      <xdr:colOff>561019</xdr:colOff>
      <xdr:row>132</xdr:row>
      <xdr:rowOff>141994</xdr:rowOff>
    </xdr:to>
    <xdr:pic>
      <xdr:nvPicPr>
        <xdr:cNvPr id="9" name="图片 8">
          <a:extLst>
            <a:ext uri="{FF2B5EF4-FFF2-40B4-BE49-F238E27FC236}">
              <a16:creationId xmlns:a16="http://schemas.microsoft.com/office/drawing/2014/main" id="{00721F38-60E0-3C12-9180-A6CE40CA89ED}"/>
            </a:ext>
          </a:extLst>
        </xdr:cNvPr>
        <xdr:cNvPicPr>
          <a:picLocks noChangeAspect="1"/>
        </xdr:cNvPicPr>
      </xdr:nvPicPr>
      <xdr:blipFill>
        <a:blip xmlns:r="http://schemas.openxmlformats.org/officeDocument/2006/relationships" r:embed="rId8"/>
        <a:stretch>
          <a:fillRect/>
        </a:stretch>
      </xdr:blipFill>
      <xdr:spPr>
        <a:xfrm>
          <a:off x="7315200" y="12982575"/>
          <a:ext cx="7647619" cy="7047619"/>
        </a:xfrm>
        <a:prstGeom prst="rect">
          <a:avLst/>
        </a:prstGeom>
      </xdr:spPr>
    </xdr:pic>
    <xdr:clientData/>
  </xdr:twoCellAnchor>
  <xdr:twoCellAnchor editAs="oneCell">
    <xdr:from>
      <xdr:col>20</xdr:col>
      <xdr:colOff>638175</xdr:colOff>
      <xdr:row>92</xdr:row>
      <xdr:rowOff>104775</xdr:rowOff>
    </xdr:from>
    <xdr:to>
      <xdr:col>31</xdr:col>
      <xdr:colOff>380089</xdr:colOff>
      <xdr:row>133</xdr:row>
      <xdr:rowOff>103896</xdr:rowOff>
    </xdr:to>
    <xdr:pic>
      <xdr:nvPicPr>
        <xdr:cNvPr id="10" name="图片 9">
          <a:extLst>
            <a:ext uri="{FF2B5EF4-FFF2-40B4-BE49-F238E27FC236}">
              <a16:creationId xmlns:a16="http://schemas.microsoft.com/office/drawing/2014/main" id="{71973747-DA49-BB1B-CD5C-6CEF53CFD9DE}"/>
            </a:ext>
          </a:extLst>
        </xdr:cNvPr>
        <xdr:cNvPicPr>
          <a:picLocks noChangeAspect="1"/>
        </xdr:cNvPicPr>
      </xdr:nvPicPr>
      <xdr:blipFill>
        <a:blip xmlns:r="http://schemas.openxmlformats.org/officeDocument/2006/relationships" r:embed="rId9"/>
        <a:stretch>
          <a:fillRect/>
        </a:stretch>
      </xdr:blipFill>
      <xdr:spPr>
        <a:xfrm>
          <a:off x="14354175" y="13134975"/>
          <a:ext cx="7285714" cy="7028571"/>
        </a:xfrm>
        <a:prstGeom prst="rect">
          <a:avLst/>
        </a:prstGeom>
      </xdr:spPr>
    </xdr:pic>
    <xdr:clientData/>
  </xdr:twoCellAnchor>
  <xdr:twoCellAnchor editAs="oneCell">
    <xdr:from>
      <xdr:col>20</xdr:col>
      <xdr:colOff>581025</xdr:colOff>
      <xdr:row>129</xdr:row>
      <xdr:rowOff>161925</xdr:rowOff>
    </xdr:from>
    <xdr:to>
      <xdr:col>31</xdr:col>
      <xdr:colOff>418177</xdr:colOff>
      <xdr:row>165</xdr:row>
      <xdr:rowOff>94487</xdr:rowOff>
    </xdr:to>
    <xdr:pic>
      <xdr:nvPicPr>
        <xdr:cNvPr id="11" name="图片 10">
          <a:extLst>
            <a:ext uri="{FF2B5EF4-FFF2-40B4-BE49-F238E27FC236}">
              <a16:creationId xmlns:a16="http://schemas.microsoft.com/office/drawing/2014/main" id="{0EC776E8-C0AA-0561-9099-F1AA97F5964D}"/>
            </a:ext>
          </a:extLst>
        </xdr:cNvPr>
        <xdr:cNvPicPr>
          <a:picLocks noChangeAspect="1"/>
        </xdr:cNvPicPr>
      </xdr:nvPicPr>
      <xdr:blipFill>
        <a:blip xmlns:r="http://schemas.openxmlformats.org/officeDocument/2006/relationships" r:embed="rId10"/>
        <a:stretch>
          <a:fillRect/>
        </a:stretch>
      </xdr:blipFill>
      <xdr:spPr>
        <a:xfrm>
          <a:off x="14297025" y="19535775"/>
          <a:ext cx="7380952" cy="6104762"/>
        </a:xfrm>
        <a:prstGeom prst="rect">
          <a:avLst/>
        </a:prstGeom>
      </xdr:spPr>
    </xdr:pic>
    <xdr:clientData/>
  </xdr:twoCellAnchor>
  <xdr:twoCellAnchor editAs="oneCell">
    <xdr:from>
      <xdr:col>1</xdr:col>
      <xdr:colOff>334900</xdr:colOff>
      <xdr:row>0</xdr:row>
      <xdr:rowOff>0</xdr:rowOff>
    </xdr:from>
    <xdr:to>
      <xdr:col>12</xdr:col>
      <xdr:colOff>624</xdr:colOff>
      <xdr:row>47</xdr:row>
      <xdr:rowOff>84707</xdr:rowOff>
    </xdr:to>
    <xdr:pic>
      <xdr:nvPicPr>
        <xdr:cNvPr id="12" name="图片 11">
          <a:extLst>
            <a:ext uri="{FF2B5EF4-FFF2-40B4-BE49-F238E27FC236}">
              <a16:creationId xmlns:a16="http://schemas.microsoft.com/office/drawing/2014/main" id="{9A4F2AD2-2120-30E6-8818-A987D69EB349}"/>
            </a:ext>
          </a:extLst>
        </xdr:cNvPr>
        <xdr:cNvPicPr>
          <a:picLocks noChangeAspect="1"/>
        </xdr:cNvPicPr>
      </xdr:nvPicPr>
      <xdr:blipFill>
        <a:blip xmlns:r="http://schemas.openxmlformats.org/officeDocument/2006/relationships" r:embed="rId11"/>
        <a:stretch>
          <a:fillRect/>
        </a:stretch>
      </xdr:blipFill>
      <xdr:spPr>
        <a:xfrm>
          <a:off x="1020700" y="0"/>
          <a:ext cx="7209524" cy="8142857"/>
        </a:xfrm>
        <a:prstGeom prst="rect">
          <a:avLst/>
        </a:prstGeom>
      </xdr:spPr>
    </xdr:pic>
    <xdr:clientData/>
  </xdr:twoCellAnchor>
  <xdr:twoCellAnchor editAs="oneCell">
    <xdr:from>
      <xdr:col>11</xdr:col>
      <xdr:colOff>590550</xdr:colOff>
      <xdr:row>0</xdr:row>
      <xdr:rowOff>0</xdr:rowOff>
    </xdr:from>
    <xdr:to>
      <xdr:col>22</xdr:col>
      <xdr:colOff>341988</xdr:colOff>
      <xdr:row>45</xdr:row>
      <xdr:rowOff>151417</xdr:rowOff>
    </xdr:to>
    <xdr:pic>
      <xdr:nvPicPr>
        <xdr:cNvPr id="13" name="图片 12">
          <a:extLst>
            <a:ext uri="{FF2B5EF4-FFF2-40B4-BE49-F238E27FC236}">
              <a16:creationId xmlns:a16="http://schemas.microsoft.com/office/drawing/2014/main" id="{6F1FE50C-0C32-3E43-C16E-4CC10B13F9D9}"/>
            </a:ext>
          </a:extLst>
        </xdr:cNvPr>
        <xdr:cNvPicPr>
          <a:picLocks noChangeAspect="1"/>
        </xdr:cNvPicPr>
      </xdr:nvPicPr>
      <xdr:blipFill>
        <a:blip xmlns:r="http://schemas.openxmlformats.org/officeDocument/2006/relationships" r:embed="rId12"/>
        <a:stretch>
          <a:fillRect/>
        </a:stretch>
      </xdr:blipFill>
      <xdr:spPr>
        <a:xfrm>
          <a:off x="8134350" y="0"/>
          <a:ext cx="7295238" cy="7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24</xdr:row>
      <xdr:rowOff>75843</xdr:rowOff>
    </xdr:from>
    <xdr:to>
      <xdr:col>9</xdr:col>
      <xdr:colOff>437324</xdr:colOff>
      <xdr:row>41</xdr:row>
      <xdr:rowOff>37730</xdr:rowOff>
    </xdr:to>
    <xdr:pic>
      <xdr:nvPicPr>
        <xdr:cNvPr id="2" name="图片 1">
          <a:extLst>
            <a:ext uri="{FF2B5EF4-FFF2-40B4-BE49-F238E27FC236}">
              <a16:creationId xmlns:a16="http://schemas.microsoft.com/office/drawing/2014/main" id="{F6B9A891-4209-3C7D-AA88-D8D6700E9437}"/>
            </a:ext>
          </a:extLst>
        </xdr:cNvPr>
        <xdr:cNvPicPr>
          <a:picLocks noChangeAspect="1"/>
        </xdr:cNvPicPr>
      </xdr:nvPicPr>
      <xdr:blipFill>
        <a:blip xmlns:r="http://schemas.openxmlformats.org/officeDocument/2006/relationships" r:embed="rId1"/>
        <a:stretch>
          <a:fillRect/>
        </a:stretch>
      </xdr:blipFill>
      <xdr:spPr>
        <a:xfrm>
          <a:off x="190500" y="4190643"/>
          <a:ext cx="6419024" cy="2876537"/>
        </a:xfrm>
        <a:prstGeom prst="rect">
          <a:avLst/>
        </a:prstGeom>
      </xdr:spPr>
    </xdr:pic>
    <xdr:clientData/>
  </xdr:twoCellAnchor>
  <xdr:twoCellAnchor editAs="oneCell">
    <xdr:from>
      <xdr:col>20</xdr:col>
      <xdr:colOff>419100</xdr:colOff>
      <xdr:row>13</xdr:row>
      <xdr:rowOff>129148</xdr:rowOff>
    </xdr:from>
    <xdr:to>
      <xdr:col>37</xdr:col>
      <xdr:colOff>390524</xdr:colOff>
      <xdr:row>47</xdr:row>
      <xdr:rowOff>65573</xdr:rowOff>
    </xdr:to>
    <xdr:pic>
      <xdr:nvPicPr>
        <xdr:cNvPr id="3" name="图片 2">
          <a:extLst>
            <a:ext uri="{FF2B5EF4-FFF2-40B4-BE49-F238E27FC236}">
              <a16:creationId xmlns:a16="http://schemas.microsoft.com/office/drawing/2014/main" id="{CC910B3C-7665-9F60-FA56-BF4F8BCE96FE}"/>
            </a:ext>
          </a:extLst>
        </xdr:cNvPr>
        <xdr:cNvPicPr>
          <a:picLocks noChangeAspect="1"/>
        </xdr:cNvPicPr>
      </xdr:nvPicPr>
      <xdr:blipFill>
        <a:blip xmlns:r="http://schemas.openxmlformats.org/officeDocument/2006/relationships" r:embed="rId2"/>
        <a:stretch>
          <a:fillRect/>
        </a:stretch>
      </xdr:blipFill>
      <xdr:spPr>
        <a:xfrm>
          <a:off x="14135100" y="2357998"/>
          <a:ext cx="11630024" cy="5765725"/>
        </a:xfrm>
        <a:prstGeom prst="rect">
          <a:avLst/>
        </a:prstGeom>
      </xdr:spPr>
    </xdr:pic>
    <xdr:clientData/>
  </xdr:twoCellAnchor>
  <xdr:twoCellAnchor editAs="oneCell">
    <xdr:from>
      <xdr:col>20</xdr:col>
      <xdr:colOff>333375</xdr:colOff>
      <xdr:row>3</xdr:row>
      <xdr:rowOff>57150</xdr:rowOff>
    </xdr:from>
    <xdr:to>
      <xdr:col>30</xdr:col>
      <xdr:colOff>513470</xdr:colOff>
      <xdr:row>11</xdr:row>
      <xdr:rowOff>152217</xdr:rowOff>
    </xdr:to>
    <xdr:pic>
      <xdr:nvPicPr>
        <xdr:cNvPr id="4" name="图片 3">
          <a:extLst>
            <a:ext uri="{FF2B5EF4-FFF2-40B4-BE49-F238E27FC236}">
              <a16:creationId xmlns:a16="http://schemas.microsoft.com/office/drawing/2014/main" id="{141A7E0F-0AF8-6BEE-C798-43D4C4DB3A56}"/>
            </a:ext>
          </a:extLst>
        </xdr:cNvPr>
        <xdr:cNvPicPr>
          <a:picLocks noChangeAspect="1"/>
        </xdr:cNvPicPr>
      </xdr:nvPicPr>
      <xdr:blipFill>
        <a:blip xmlns:r="http://schemas.openxmlformats.org/officeDocument/2006/relationships" r:embed="rId3"/>
        <a:stretch>
          <a:fillRect/>
        </a:stretch>
      </xdr:blipFill>
      <xdr:spPr>
        <a:xfrm>
          <a:off x="14049375" y="571500"/>
          <a:ext cx="7038095"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hyperlink" Target="https://bj.58.com/shangpu/83899609610331x.shtml?utm_source=market&amp;spm=u-2d2yxv86y3v43nkddh1.BDPCPZ_BT&amp;prd=x0NAXiR1wlSETnm4cICGeip6ZXDdWQFuzz1%2FCYPFt6A%3D&amp;houseId=4139307386072072&amp;urlParamsMap=F4FED0612B490B65A31153FBEC996E33CC8496F4B8EB0D6B803BACE2607D4054B4AE0AE4D5FD1E29D2DE6DF80407643981620D30E6AE74FB15620DCDE3A7453B5F9E7391094162E8DAFD19AC812825A7ECA4F97E769A74E0FC3D4EA3F41249351823098668EDAAEF68F8AFDDB8ADF02C&amp;gpos=42&amp;positionType=anxuanhouseplus&amp;filterJson=eyJTSEFOR1FVQU4iOlt7ImtleSI6IiIsImxhYmVsIjoi5pyb5LqsIiwidmFsIjoid2FuZ2ppbmcifV0sIlFVWVUiOlt7ImtleSI6IiIsImxhYmVsIjoi5pyd6ZizIiwidmFsIjoiY2hhb3lhbmcifV19&amp;jx_abtest=ZWljX3N5ZGNfcGNfcmVjb21tZW5kX3Rlc3QscHRyX2ZhbmdfYnVkZ2V0X2JvdHRvbXwxLHVzZXJfcGhhc2VfbA&amp;list_type=main&amp;PGTID=0d306b35-0000-1267-27bd-6a75d2cb0724&amp;ClickID=53" TargetMode="External"/><Relationship Id="rId3" Type="http://schemas.openxmlformats.org/officeDocument/2006/relationships/hyperlink" Target="https://shangye.ke.com/bj/sp_rent/101130218323.html?tags=%E6%9C%89%E5%85%8D%E7%A7%9F%E6%9C%9F%2C%E8%BF%91%E5%9C%B0%E9%93%81%2C%E5%8F%AF%E6%98%8E%E7%81%AB%2C%E6%9C%89%E4%BE%9B%E6%9A%96%2C%E5%8F%AF%E5%A2%9E%E5%AE%B9%E7%94%B5%E5%8A%9B%2C%E5%8F%AF%E6%B3%A8%E5%86%8C%2C%E4%B8%8B%E6%B0%B4%2C%E4%B8%8A%E6%B0%B4%2C%E6%8E%92%E7%83%9F%E7%AE%A1%E9%81%93%2C380v" TargetMode="External"/><Relationship Id="rId7" Type="http://schemas.openxmlformats.org/officeDocument/2006/relationships/hyperlink" Target="https://shangye.ke.com/bj/sp_rent/101127592289.html?tags=%E6%9C%89%E5%85%8D%E7%A7%9F%E6%9C%9F%2C%E8%BF%91%E5%9C%B0%E9%93%81%2C%E6%9C%89%E4%BE%9B%E6%9A%96%2C%E7%B2%BE%E8%A3%85%E4%BF%AE%2C%E5%8F%AF%E6%B3%A8%E5%86%8C%2C%E4%B8%8B%E6%B0%B4%2C%E4%B8%8A%E6%B0%B4%2C380v" TargetMode="External"/><Relationship Id="rId2" Type="http://schemas.openxmlformats.org/officeDocument/2006/relationships/hyperlink" Target="https://shangye.ke.com/bj/sp_rent/101129278498.html?tags=%E8%BF%91%E5%9C%B0%E9%93%81%2C%E7%B2%BE%E8%A3%85%E4%BF%AE" TargetMode="External"/><Relationship Id="rId1" Type="http://schemas.openxmlformats.org/officeDocument/2006/relationships/hyperlink" Target="https://shangye.ke.com/bj/sp_rent/101129246778.html?tags=%E6%9C%89%E5%85%8D%E7%A7%9F%E6%9C%9F%2C%E8%BF%91%E5%9C%B0%E9%93%81%2C%E6%9C%89%E4%BE%9B%E6%9A%96%2C%E5%8F%AF%E5%A2%9E%E5%AE%B9%E7%94%B5%E5%8A%9B%2C%E5%8F%AF%E6%B3%A8%E5%86%8C%2C%E4%B8%8B%E6%B0%B4%2C%E4%B8%8A%E6%B0%B4%2C%E5%AE%A2%E6%A2%AF%2C380v" TargetMode="External"/><Relationship Id="rId6" Type="http://schemas.openxmlformats.org/officeDocument/2006/relationships/hyperlink" Target="https://shangye.ke.com/bj/sp_rent/101121608342.html?tags=%E6%9C%89%E5%85%8D%E7%A7%9F%E6%9C%9F%2C%E8%BF%91%E5%9C%B0%E9%93%81%2C%E6%9C%89%E4%BE%9B%E6%9A%96%2C%E5%8F%AF%E5%A2%9E%E5%AE%B9%E7%94%B5%E5%8A%9B%2C%E5%8F%AF%E6%B3%A8%E5%86%8C%2C%E4%B8%8A%E6%B0%B4%2C220v" TargetMode="External"/><Relationship Id="rId5" Type="http://schemas.openxmlformats.org/officeDocument/2006/relationships/hyperlink" Target="https://shangye.ke.com/bj/sp_rent/101131227508.html?tags=%E4%B8%9A%E4%B8%BB%E4%BB%98%E4%BD%A3%2C%E6%9C%89%E5%85%8D%E7%A7%9F%E6%9C%9F%2C%E8%BF%91%E5%9C%B0%E9%93%81%2C%E6%9C%89%E4%BE%9B%E6%9A%96%2C%E7%B2%BE%E8%A3%85%E4%BF%AE%2C%E5%8F%AF%E6%B3%A8%E5%86%8C%2C%E4%B8%8B%E6%B0%B4%2C%E4%B8%8A%E6%B0%B4%2C%E6%8E%92%E7%83%9F%E7%AE%A1%E9%81%93%2C220v%2C%E5%B8%A6%E5%AE%B6%E5%85%B7" TargetMode="External"/><Relationship Id="rId4" Type="http://schemas.openxmlformats.org/officeDocument/2006/relationships/hyperlink" Target="https://shangye.ke.com/bj/sp_rent/101129045031.html?tags=%E6%9C%89%E5%85%8D%E7%A7%9F%E6%9C%9F%2C%E8%BF%91%E5%9C%B0%E9%93%81%2C%E6%9C%89%E4%BE%9B%E6%9A%96%2C%E7%B2%BE%E8%A3%85%E4%BF%AE%2C%E5%8F%AF%E6%B3%A8%E5%86%8C%2C%E4%B8%8B%E6%B0%B4%2C%E4%B8%8A%E6%B0%B4%2C220v" TargetMode="External"/><Relationship Id="rId9"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hyperlink" Target="https://sf-item.taobao.com/sf_item/729554285293.htm?spm=a213w.7398504.paiList.7.2b9d8117ahSHX5&amp;track_id=e8ccd6a0-6ac1-441b-bc9f-66ca3ad29fe2" TargetMode="External"/><Relationship Id="rId2" Type="http://schemas.openxmlformats.org/officeDocument/2006/relationships/hyperlink" Target="https://sf-item.taobao.com/sf_item/850741091078.htm?spm=a213w.7398504.paiList.6.2b9d8117ahSHX5&amp;track_id=e8ccd6a0-6ac1-441b-bc9f-66ca3ad29fe2" TargetMode="External"/><Relationship Id="rId1" Type="http://schemas.openxmlformats.org/officeDocument/2006/relationships/hyperlink" Target="https://baijiahao.baidu.com/s?id=1826282684334052744&amp;wfr=spider&amp;for=pc" TargetMode="External"/><Relationship Id="rId5" Type="http://schemas.openxmlformats.org/officeDocument/2006/relationships/drawing" Target="../drawings/drawing2.xml"/><Relationship Id="rId4" Type="http://schemas.openxmlformats.org/officeDocument/2006/relationships/hyperlink" Target="https://paimai.jd.com/10631338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bjjs.zjw.beijing.gov.cn/eportal/ui?pageId=424476&amp;projectID=16830753&amp;systemID=3&amp;srcId=1" TargetMode="External"/><Relationship Id="rId1" Type="http://schemas.openxmlformats.org/officeDocument/2006/relationships/hyperlink" Target="http://bjjs.zjw.beijing.gov.cn/eportal/ui?pageId=320794&amp;projectID=534235&amp;systemID=2&amp;srcId=1"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aijiahao.baidu.com/s?id=1840345362904117494&amp;wfr=spider&amp;for=p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hyperlink" Target="https://sf-item.taobao.com/sf_item/729554285293.htm" TargetMode="External"/><Relationship Id="rId1" Type="http://schemas.openxmlformats.org/officeDocument/2006/relationships/hyperlink" Target="https://sf-item.taobao.com/sf_item/855567354234.htm"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估价对象为北京市房地产，为所有。根据《国有土地使用证》[]，估价对象（分摊）出让国有建设用地使用权面积为0平方米，建筑面积为199.39平方米。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估价对象为北京市房地产,属开发建设的，该项目尚在开发建设中。根据《国有土地使用证》[]，估价对象（分摊）出让国有建设用地使用权面积为0平方米，规划建筑面积为199.39平方米。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2025年7月22日（评估专业人员实地查勘之日）</v>
      </c>
    </row>
    <row r="13" spans="1:2">
      <c r="A13" s="1119" t="s">
        <v>529</v>
      </c>
      <c r="B13" s="1120"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199.39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7" t="s">
        <v>385</v>
      </c>
      <c r="C54" s="1445" t="s">
        <v>583</v>
      </c>
    </row>
    <row r="55" spans="1:4">
      <c r="A55" s="3239"/>
      <c r="B55" s="1447" t="s">
        <v>386</v>
      </c>
      <c r="C55" s="1445" t="s">
        <v>584</v>
      </c>
    </row>
    <row r="56" spans="1:4">
      <c r="A56" s="3239"/>
      <c r="B56" s="1447" t="s">
        <v>387</v>
      </c>
      <c r="C56" s="1445" t="s">
        <v>588</v>
      </c>
    </row>
    <row r="57" spans="1:4">
      <c r="A57" s="323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40" t="s">
        <v>2580</v>
      </c>
      <c r="J2" s="3240"/>
      <c r="K2" s="3240"/>
      <c r="L2" s="3240"/>
      <c r="M2" s="3240"/>
      <c r="N2" s="3240"/>
      <c r="O2" s="3240"/>
      <c r="P2" s="3240"/>
      <c r="Q2" s="3240"/>
      <c r="R2" s="3240"/>
    </row>
    <row r="3" spans="1:18">
      <c r="A3" s="2763" t="s">
        <v>2501</v>
      </c>
      <c r="B3" s="2764">
        <f>项目基本情况!D3</f>
        <v>45860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1.41</v>
      </c>
      <c r="D5" s="2768">
        <f>IF(ISERROR(ROUND(POWER(1+E5,A5-C5)*(POWER(1+E5,C5)-1)/(POWER(1+E5,A5)-1),3)),0,ROUND(POWER(1+E5,A5-C5)*(POWER(1+E5,C5)-1)/(POWER(1+E5,A5)-1),4))</f>
        <v>6.8000000000000005E-2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11.41</v>
      </c>
      <c r="D6" s="2768">
        <f>IF(ISERROR(ROUND(POWER(1+E6,A6-C6)*(POWER(1+E6,C6)-1)/(POWER(1+E6,A6)-1),3)),0,ROUND(POWER(1+E6,A6-C6)*(POWER(1+E6,C6)-1)/(POWER(1+E6,A6)-1),4))</f>
        <v>0.4199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31.43</v>
      </c>
      <c r="D7" s="2768">
        <f>IF(ISERROR(ROUND(POWER(1+E7,A7-C7)*(POWER(1+E7,C7)-1)/(POWER(1+E7,A7)-1),3)),0,ROUND(POWER(1+E7,A7-C7)*(POWER(1+E7,C7)-1)/(POWER(1+E7,A7)-1),4))</f>
        <v>0.7571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3" sqref="B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1" t="str">
        <f>IF(B10="北京市","北京市",C10)&amp;F10&amp;IF(结果表!G1="在建","出让国有建设用地使用权及在建建筑物",IF(结果表!G1="土地","出让国有建设用地使用权",))&amp;B9&amp;"预评估"</f>
        <v>北京市预评估</v>
      </c>
      <c r="C1" s="3242"/>
      <c r="D1" s="3242"/>
      <c r="E1" s="3242"/>
      <c r="F1" s="3242"/>
      <c r="G1" s="3242"/>
      <c r="H1" s="3242"/>
      <c r="I1" s="324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45860</v>
      </c>
      <c r="C3" s="2186" t="s">
        <v>2171</v>
      </c>
      <c r="D3" s="2185">
        <f>B3</f>
        <v>45860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44" t="s">
        <v>2177</v>
      </c>
      <c r="E8" s="2202"/>
      <c r="F8" s="2203"/>
      <c r="G8" s="2442"/>
      <c r="H8" s="2442"/>
      <c r="I8" s="2442"/>
      <c r="J8" s="2245"/>
      <c r="K8" s="2400"/>
      <c r="L8" s="2399"/>
      <c r="M8" s="2399"/>
      <c r="N8" s="2245"/>
      <c r="O8" s="1670"/>
      <c r="P8" s="2245"/>
      <c r="Q8" s="2245"/>
      <c r="R8" s="2245"/>
    </row>
    <row r="9" spans="1:30" ht="13.5" thickBot="1">
      <c r="A9" s="2204" t="s">
        <v>2178</v>
      </c>
      <c r="B9" s="2205"/>
      <c r="C9" s="2206"/>
      <c r="D9" s="3245"/>
      <c r="E9" s="2205"/>
      <c r="F9" s="2207"/>
      <c r="G9" s="2443"/>
      <c r="H9" s="2443"/>
      <c r="I9" s="2443"/>
      <c r="J9" s="2245"/>
      <c r="K9" s="2402"/>
      <c r="L9" s="2399"/>
      <c r="M9" s="2399"/>
      <c r="N9" s="2245"/>
      <c r="O9" s="1670"/>
      <c r="P9" s="2245"/>
      <c r="Q9" s="2245"/>
      <c r="R9" s="2245"/>
    </row>
    <row r="10" spans="1:30" ht="13.5" thickTop="1">
      <c r="A10" s="2208" t="s">
        <v>2179</v>
      </c>
      <c r="B10" s="2209" t="s">
        <v>3456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v>52777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18.95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51"/>
      <c r="C16" s="3252"/>
      <c r="D16" s="3253"/>
      <c r="E16" s="2222" t="s">
        <v>2194</v>
      </c>
      <c r="F16" s="3254"/>
      <c r="G16" s="3255"/>
      <c r="H16" s="3255"/>
      <c r="I16" s="3256"/>
      <c r="J16" s="2245"/>
      <c r="K16" s="2403"/>
      <c r="L16" s="1670"/>
      <c r="M16" s="1670"/>
      <c r="N16" s="2245"/>
      <c r="O16" s="1670"/>
      <c r="P16" s="2245"/>
      <c r="Q16" s="2245"/>
      <c r="R16" s="2245"/>
    </row>
    <row r="17" spans="1:28">
      <c r="A17" s="305" t="s">
        <v>2195</v>
      </c>
      <c r="B17" s="294" t="s">
        <v>2196</v>
      </c>
      <c r="C17" s="8">
        <f>'数据-汇总表'!E3</f>
        <v>199.39</v>
      </c>
      <c r="D17" s="1256" t="s">
        <v>2197</v>
      </c>
      <c r="E17" s="3257" t="s">
        <v>2198</v>
      </c>
      <c r="F17" s="3258"/>
      <c r="G17" s="3258"/>
      <c r="H17" s="3258"/>
      <c r="I17" s="325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0" t="s">
        <v>2202</v>
      </c>
      <c r="F18" s="3261"/>
      <c r="G18" s="3261"/>
      <c r="H18" s="3261"/>
      <c r="I18" s="326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7" t="s">
        <v>2206</v>
      </c>
      <c r="C20" s="3248"/>
      <c r="D20" s="3249" t="s">
        <v>2207</v>
      </c>
      <c r="E20" s="3250"/>
      <c r="F20" s="2430" t="s">
        <v>1056</v>
      </c>
      <c r="G20" s="2442"/>
      <c r="H20" s="2442"/>
      <c r="I20" s="2442"/>
      <c r="J20" s="2245"/>
      <c r="K20" s="32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5"/>
      <c r="B30" s="294" t="s">
        <v>2218</v>
      </c>
      <c r="C30" s="3266"/>
      <c r="D30" s="3267"/>
      <c r="E30" s="2442"/>
      <c r="F30" s="2442"/>
      <c r="G30" s="2442"/>
      <c r="H30" s="2442"/>
      <c r="I30" s="2442"/>
      <c r="J30" s="2245"/>
      <c r="K30" s="2402"/>
      <c r="L30" s="2399"/>
      <c r="M30" s="2399"/>
      <c r="N30" s="2245"/>
      <c r="O30" s="1670"/>
      <c r="P30" s="2245"/>
      <c r="Q30" s="2245"/>
      <c r="R30" s="2245"/>
      <c r="S30" s="2245"/>
      <c r="T30" s="2245"/>
      <c r="U30" s="2245"/>
      <c r="V30" s="2245"/>
    </row>
    <row r="31" spans="1:28">
      <c r="A31" s="326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3" t="s">
        <v>2228</v>
      </c>
      <c r="T34" s="315" t="str">
        <f>NUMBERSTRING(7-K34,1)&amp;"通"</f>
        <v>七通</v>
      </c>
      <c r="U34" s="2245"/>
      <c r="V34" s="2245"/>
    </row>
    <row r="35" spans="1:30">
      <c r="A35" s="2236"/>
      <c r="B35" s="3263" t="s">
        <v>2229</v>
      </c>
      <c r="C35" s="3263"/>
      <c r="D35" s="3263"/>
      <c r="E35" s="326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281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199.39</v>
      </c>
      <c r="H5" s="13">
        <f t="shared" ref="H5:AT5" si="0">SUM(H13:H656)</f>
        <v>199.39</v>
      </c>
      <c r="I5" s="13">
        <f t="shared" si="0"/>
        <v>199.39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199.39</v>
      </c>
      <c r="BA5" s="15">
        <f t="shared" si="1"/>
        <v>199.39</v>
      </c>
      <c r="BB5" s="15">
        <f t="shared" si="1"/>
        <v>199.39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3419</v>
      </c>
      <c r="E13" s="13">
        <f>IF($C$3="是",ROUND($A$3*G13/$B$3,2),ROUND($A$3*(G13-AT13)/$B$3,2))</f>
        <v>0</v>
      </c>
      <c r="F13" s="29"/>
      <c r="G13" s="30">
        <f>H13+AC13+AT13</f>
        <v>199.39</v>
      </c>
      <c r="H13" s="17">
        <f>SUMIF(I$12:AB$12,"总值",I13:AB13)</f>
        <v>199.39</v>
      </c>
      <c r="I13" s="1514">
        <v>199.39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199.39</v>
      </c>
      <c r="BA13" s="13">
        <f>SUM(BB13:BK13)</f>
        <v>199.39</v>
      </c>
      <c r="BB13" s="13">
        <f>IF($D13="是",I13-J13,0)</f>
        <v>199.39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9" t="s">
        <v>1131</v>
      </c>
      <c r="B2" s="3279"/>
      <c r="C2" s="3279"/>
      <c r="D2" s="748" t="s">
        <v>1107</v>
      </c>
      <c r="E2" s="1523" t="s">
        <v>1108</v>
      </c>
      <c r="F2" s="2439"/>
      <c r="G2" s="2432"/>
      <c r="H2" s="2433"/>
      <c r="I2" s="2146" t="s">
        <v>1132</v>
      </c>
      <c r="J2" s="2439"/>
      <c r="K2" s="2439"/>
      <c r="L2" s="2439"/>
      <c r="M2" s="2439"/>
      <c r="N2" s="2440"/>
      <c r="O2" s="2439"/>
      <c r="P2" s="2439"/>
    </row>
    <row r="3" spans="1:16" ht="15.75" thickBot="1">
      <c r="A3" s="3280" t="s">
        <v>1105</v>
      </c>
      <c r="B3" s="3280"/>
      <c r="C3" s="3280"/>
      <c r="D3" s="41">
        <f>'数据-基础表'!AY6</f>
        <v>0</v>
      </c>
      <c r="E3" s="41">
        <f>'数据-基础表'!AZ5</f>
        <v>199.39</v>
      </c>
      <c r="F3" s="2439"/>
      <c r="G3" s="42"/>
      <c r="H3" s="43" t="s">
        <v>1106</v>
      </c>
      <c r="I3" s="802" t="e">
        <f>ROUND('数据-基础表'!B3/'数据-基础表'!A3,2)</f>
        <v>#DIV/0!</v>
      </c>
      <c r="J3" s="2439"/>
      <c r="K3" s="2439"/>
      <c r="L3" s="2439"/>
      <c r="M3" s="2439"/>
      <c r="N3" s="2440"/>
      <c r="O3" s="2439"/>
      <c r="P3" s="2439"/>
    </row>
    <row r="4" spans="1:16" ht="15">
      <c r="A4" s="3281"/>
      <c r="B4" s="3282"/>
      <c r="C4" s="328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4" t="s">
        <v>1110</v>
      </c>
      <c r="C5" s="328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84" t="s">
        <v>1111</v>
      </c>
      <c r="C6" s="3284"/>
      <c r="D6" s="43">
        <f>ROUND($D$3*E6/$E$3,2)</f>
        <v>0</v>
      </c>
      <c r="E6" s="44">
        <f>E3-E5</f>
        <v>199.39</v>
      </c>
      <c r="F6" s="2439"/>
      <c r="G6" s="1529" t="s">
        <v>1112</v>
      </c>
      <c r="H6" s="45" t="s">
        <v>1113</v>
      </c>
      <c r="I6" s="2435" t="e">
        <f>ROUND(F31/D31,2)</f>
        <v>#DIV/0!</v>
      </c>
      <c r="J6" s="2439"/>
      <c r="K6" s="2439"/>
      <c r="L6" s="2439"/>
      <c r="M6" s="2439"/>
      <c r="N6" s="2439"/>
      <c r="O6" s="2439"/>
      <c r="P6" s="2439"/>
    </row>
    <row r="7" spans="1:16" ht="15.75" thickBot="1">
      <c r="A7" s="3276"/>
      <c r="B7" s="3277"/>
      <c r="C7" s="327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199.39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199.39</v>
      </c>
      <c r="F16" s="2439"/>
      <c r="G16" s="2439"/>
      <c r="H16" s="1531" t="s">
        <v>1135</v>
      </c>
      <c r="I16" s="1532"/>
      <c r="J16" s="1071"/>
      <c r="K16" s="3273" t="s">
        <v>1135</v>
      </c>
      <c r="L16" s="3274"/>
      <c r="M16" s="3274"/>
      <c r="N16" s="3274"/>
      <c r="O16" s="3274"/>
      <c r="P16" s="3275"/>
    </row>
    <row r="17" spans="1:19" ht="15">
      <c r="A17" s="1533" t="s">
        <v>1136</v>
      </c>
      <c r="B17" s="1534" t="s">
        <v>1137</v>
      </c>
      <c r="C17" s="1535" t="s">
        <v>1138</v>
      </c>
      <c r="D17" s="1536" t="s">
        <v>1126</v>
      </c>
      <c r="E17" s="1537" t="s">
        <v>1127</v>
      </c>
      <c r="F17" s="1538"/>
      <c r="G17" s="1539"/>
      <c r="H17" s="1540" t="s">
        <v>1139</v>
      </c>
      <c r="I17" s="1541" t="s">
        <v>1124</v>
      </c>
      <c r="J17" s="1071"/>
      <c r="K17" s="3270" t="s">
        <v>1140</v>
      </c>
      <c r="L17" s="3271"/>
      <c r="M17" s="3272"/>
      <c r="N17" s="3270" t="s">
        <v>1141</v>
      </c>
      <c r="O17" s="3271"/>
      <c r="P17" s="327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0</v>
      </c>
      <c r="E19" s="51">
        <f t="shared" ref="E19:E26" si="1">SUM(F19:G19)</f>
        <v>199.39</v>
      </c>
      <c r="F19" s="2558">
        <f>'数据-基础表'!I13</f>
        <v>199.39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199.39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199.39</v>
      </c>
      <c r="F27" s="1072">
        <f>IF(SUM(F19:F26)=E8,SUM(F19:F26),"地上面积有误")</f>
        <v>199.39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199.39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199.39</v>
      </c>
      <c r="F31" s="644">
        <f>F27+F30</f>
        <v>199.39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45860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52777</v>
      </c>
      <c r="F6" s="61">
        <f>SUMIF(项目基本情况!C$12:I$12,C6,项目基本情况!C$15:I$15)</f>
        <v>18.95</v>
      </c>
      <c r="G6" s="62">
        <f>IF(ISERROR(ROUND(POWER(1+H6,D6-F6)*(POWER(1+H6,F6)-1)/(POWER(1+H6,D6)-1),3)),0,ROUND(POWER(1+H6,D6-F6)*(POWER(1+H6,F6)-1)/(POWER(1+H6,D6)-1),3))</f>
        <v>0.72199999999999998</v>
      </c>
      <c r="H6" s="691">
        <v>5.5E-2</v>
      </c>
      <c r="I6" s="691">
        <v>5.5E-2</v>
      </c>
      <c r="J6" s="63">
        <v>0.06</v>
      </c>
      <c r="K6" s="970">
        <f>SUMIF('数据-汇总表'!C$19:C$33,A6,'数据-汇总表'!E$19:E$33)</f>
        <v>199.39</v>
      </c>
      <c r="L6" s="692">
        <v>5000</v>
      </c>
      <c r="M6" s="64">
        <f t="shared" ref="M6:M14" si="0">ROUND(K6*L6/10000,0)</f>
        <v>100</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'比较法-商业租金'!C48</f>
        <v>7.3</v>
      </c>
      <c r="V6" s="67">
        <v>0.02</v>
      </c>
      <c r="W6" s="67">
        <v>0.08</v>
      </c>
      <c r="X6" s="979"/>
      <c r="Y6" s="68">
        <f>N6</f>
        <v>0.75</v>
      </c>
      <c r="Z6" s="69"/>
      <c r="AA6" s="63"/>
      <c r="AB6" s="63"/>
      <c r="AC6" s="979"/>
      <c r="AD6" s="70"/>
      <c r="AE6" s="980">
        <f ca="1">IF(AN6="",0,SUMIF(INDIRECT("'"&amp;AN6&amp;"'"&amp;"!E:E"),$AE$5,INDIRECT("'"&amp;AN6&amp;"'"&amp;"!F:F")))</f>
        <v>18.95</v>
      </c>
      <c r="AF6" s="74"/>
      <c r="AG6" s="130">
        <f>IF(AF6="",0,AE6-AF6)</f>
        <v>0</v>
      </c>
      <c r="AH6" s="71"/>
      <c r="AI6" s="73">
        <v>365</v>
      </c>
      <c r="AJ6" s="74"/>
      <c r="AK6" s="75">
        <v>1E-3</v>
      </c>
      <c r="AL6" s="76">
        <v>1E-3</v>
      </c>
      <c r="AM6" s="77">
        <v>0.01</v>
      </c>
      <c r="AN6" s="1589" t="s">
        <v>3452</v>
      </c>
      <c r="AO6" s="50">
        <f ca="1">SUMIF(INDIRECT("'"&amp;AN6&amp;"'"&amp;"!A:A"),"总价",INDIRECT("'"&amp;AN6&amp;"'"&amp;"!B:B"))</f>
        <v>623.6241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0.72199999999999998</v>
      </c>
      <c r="H16" s="84">
        <f>ROUND(SUMPRODUCT(H6:H13,K6:K13)/SUMPRODUCT((H6:H13&gt;0)*(K6:K13)),3)</f>
        <v>5.5E-2</v>
      </c>
      <c r="I16" s="85"/>
      <c r="J16" s="85"/>
      <c r="K16" s="86">
        <f>SUM(K6:K15)</f>
        <v>199.39</v>
      </c>
      <c r="L16" s="87">
        <f>ROUND(M16*10000/SUM(K6:K14),0)</f>
        <v>5015</v>
      </c>
      <c r="M16" s="87">
        <f>SUM(M6:M14)</f>
        <v>100</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v>2006</v>
      </c>
      <c r="P25" s="2449">
        <v>2017</v>
      </c>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f>1-(2025-O25)/60</f>
        <v>0.68333333333333335</v>
      </c>
      <c r="P26" s="2449">
        <f>1-(2025-P25)/60</f>
        <v>0.8666666666666667</v>
      </c>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v>0.85</v>
      </c>
      <c r="P27" s="2449">
        <v>0.9</v>
      </c>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f>AVERAGE(O26:O27)</f>
        <v>0.76666666666666661</v>
      </c>
      <c r="P28" s="2449">
        <f>AVERAGE(P26:P27)</f>
        <v>0.8833333333333333</v>
      </c>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39878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5" t="s">
        <v>2286</v>
      </c>
      <c r="B1" s="3286"/>
      <c r="C1" s="3286"/>
      <c r="D1" s="3286"/>
      <c r="E1" s="3286"/>
      <c r="F1" s="3286"/>
      <c r="G1" s="328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28" sqref="H2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199.39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45860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703.34820000000002</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199.39</v>
      </c>
      <c r="C14" s="2306"/>
      <c r="D14" s="2306">
        <f ca="1">ROUND(B14*E14/10000,4)</f>
        <v>703.34820000000002</v>
      </c>
      <c r="E14" s="2306">
        <f ca="1">结果表!G20</f>
        <v>35275</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J45" sqref="J45:O4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4" t="str">
        <f>项目基本情况!S2</f>
        <v>北京市房地产</v>
      </c>
      <c r="B2" s="3355"/>
      <c r="C2" s="3355"/>
      <c r="D2" s="3355"/>
      <c r="E2" s="3355"/>
      <c r="F2" s="3355"/>
      <c r="G2" s="3355"/>
      <c r="H2" s="3355"/>
      <c r="I2" s="3356"/>
    </row>
    <row r="3" spans="1:12" ht="12.75">
      <c r="A3" s="3358" t="s">
        <v>1264</v>
      </c>
      <c r="B3" s="3359"/>
      <c r="C3" s="3359"/>
      <c r="D3" s="3359"/>
      <c r="E3" s="3359"/>
      <c r="F3" s="3359"/>
      <c r="G3" s="3359"/>
      <c r="H3" s="3359"/>
      <c r="I3" s="3359"/>
    </row>
    <row r="4" spans="1:12" ht="14.25">
      <c r="A4" s="1624" t="s">
        <v>1265</v>
      </c>
      <c r="B4" s="1625" t="s">
        <v>1266</v>
      </c>
      <c r="C4" s="1626" t="s">
        <v>3457</v>
      </c>
      <c r="D4" s="1626" t="s">
        <v>3452</v>
      </c>
      <c r="E4" s="3363" t="s">
        <v>1267</v>
      </c>
      <c r="F4" s="3364"/>
      <c r="G4" s="3364"/>
      <c r="H4" s="3364"/>
      <c r="I4" s="336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2" t="s">
        <v>1268</v>
      </c>
      <c r="B5" s="3357">
        <v>25</v>
      </c>
      <c r="C5" s="3360"/>
      <c r="D5" s="3348"/>
      <c r="E5" s="123" t="s">
        <v>1269</v>
      </c>
      <c r="F5" s="1627"/>
      <c r="G5" s="1627"/>
      <c r="H5" s="1627"/>
      <c r="I5" s="1281"/>
    </row>
    <row r="6" spans="1:12" ht="12.75">
      <c r="A6" s="3302"/>
      <c r="B6" s="3357"/>
      <c r="C6" s="3362"/>
      <c r="D6" s="3348"/>
      <c r="E6" s="123" t="s">
        <v>1270</v>
      </c>
      <c r="F6" s="1627"/>
      <c r="G6" s="1627"/>
      <c r="H6" s="1627"/>
      <c r="I6" s="1281"/>
    </row>
    <row r="7" spans="1:12" ht="12.75">
      <c r="A7" s="3302"/>
      <c r="B7" s="3357"/>
      <c r="C7" s="3361"/>
      <c r="D7" s="3348"/>
      <c r="E7" s="123" t="s">
        <v>1271</v>
      </c>
      <c r="F7" s="1627"/>
      <c r="G7" s="1627"/>
      <c r="H7" s="1627"/>
      <c r="I7" s="1281"/>
    </row>
    <row r="8" spans="1:12" ht="12.75">
      <c r="A8" s="3302" t="s">
        <v>1272</v>
      </c>
      <c r="B8" s="3357">
        <v>15</v>
      </c>
      <c r="C8" s="3360"/>
      <c r="D8" s="3348"/>
      <c r="E8" s="123" t="s">
        <v>1273</v>
      </c>
      <c r="F8" s="1627"/>
      <c r="G8" s="1627"/>
      <c r="H8" s="1627"/>
      <c r="I8" s="1281"/>
    </row>
    <row r="9" spans="1:12" ht="12.75">
      <c r="A9" s="3302"/>
      <c r="B9" s="3357"/>
      <c r="C9" s="3361"/>
      <c r="D9" s="3348"/>
      <c r="E9" s="123" t="s">
        <v>1274</v>
      </c>
      <c r="F9" s="1627"/>
      <c r="G9" s="1627"/>
      <c r="H9" s="1627"/>
      <c r="I9" s="1281"/>
    </row>
    <row r="10" spans="1:12" ht="12.75">
      <c r="A10" s="3302" t="s">
        <v>1275</v>
      </c>
      <c r="B10" s="3357">
        <v>15</v>
      </c>
      <c r="C10" s="3360"/>
      <c r="D10" s="3348"/>
      <c r="E10" s="123" t="s">
        <v>1276</v>
      </c>
      <c r="F10" s="1627"/>
      <c r="G10" s="1627"/>
      <c r="H10" s="1627"/>
      <c r="I10" s="1281"/>
    </row>
    <row r="11" spans="1:12" ht="12.75">
      <c r="A11" s="3302"/>
      <c r="B11" s="3357"/>
      <c r="C11" s="3361"/>
      <c r="D11" s="3348"/>
      <c r="E11" s="123" t="s">
        <v>1277</v>
      </c>
      <c r="F11" s="1627"/>
      <c r="G11" s="1627"/>
      <c r="H11" s="1627"/>
      <c r="I11" s="1281"/>
    </row>
    <row r="12" spans="1:12" ht="12.75">
      <c r="A12" s="3302" t="s">
        <v>1278</v>
      </c>
      <c r="B12" s="3357">
        <v>15</v>
      </c>
      <c r="C12" s="3360"/>
      <c r="D12" s="3348"/>
      <c r="E12" s="123" t="s">
        <v>1279</v>
      </c>
      <c r="F12" s="1627"/>
      <c r="G12" s="1627"/>
      <c r="H12" s="1627"/>
      <c r="I12" s="1281"/>
    </row>
    <row r="13" spans="1:12" ht="12.75">
      <c r="A13" s="3302"/>
      <c r="B13" s="3357"/>
      <c r="C13" s="3361"/>
      <c r="D13" s="3348"/>
      <c r="E13" s="123" t="s">
        <v>1280</v>
      </c>
      <c r="F13" s="1627"/>
      <c r="G13" s="1627"/>
      <c r="H13" s="1627"/>
      <c r="I13" s="1281"/>
    </row>
    <row r="14" spans="1:12" ht="12.75">
      <c r="A14" s="3302" t="s">
        <v>1281</v>
      </c>
      <c r="B14" s="3357">
        <v>30</v>
      </c>
      <c r="C14" s="3360">
        <v>6</v>
      </c>
      <c r="D14" s="3348">
        <f>10-C14</f>
        <v>4</v>
      </c>
      <c r="E14" s="123" t="s">
        <v>1282</v>
      </c>
      <c r="F14" s="1627"/>
      <c r="G14" s="1627"/>
      <c r="H14" s="1627"/>
      <c r="I14" s="1281"/>
    </row>
    <row r="15" spans="1:12" ht="12.75">
      <c r="A15" s="3302"/>
      <c r="B15" s="3357"/>
      <c r="C15" s="3362"/>
      <c r="D15" s="3348"/>
      <c r="E15" s="123" t="s">
        <v>1283</v>
      </c>
      <c r="F15" s="1627"/>
      <c r="G15" s="1627"/>
      <c r="H15" s="1627"/>
      <c r="I15" s="1281"/>
    </row>
    <row r="16" spans="1:12" ht="12.75">
      <c r="A16" s="3302"/>
      <c r="B16" s="3357"/>
      <c r="C16" s="3361"/>
      <c r="D16" s="334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79" t="s">
        <v>2131</v>
      </c>
      <c r="F18" s="3380"/>
      <c r="G18" s="3380"/>
      <c r="H18" s="3380"/>
      <c r="I18" s="3380"/>
      <c r="K18" s="294" t="s">
        <v>1289</v>
      </c>
      <c r="L18" s="294">
        <f>IF(C1="",'数据-汇总表'!E3,SUMIF(项目类型,C1,'数据-汇总表'!E17:E26)+SUMIF(项目类型,C1,'数据-汇总表'!I17:I26))</f>
        <v>199.39</v>
      </c>
      <c r="M18" s="294">
        <f>IF(C1="",'数据-汇总表'!E3,SUMIF(项目类型,C1,'数据-汇总表'!E17:E26))</f>
        <v>199.39</v>
      </c>
    </row>
    <row r="19" spans="1:36" ht="15">
      <c r="A19" s="1630" t="s">
        <v>1290</v>
      </c>
      <c r="B19" s="1631" t="s">
        <v>1291</v>
      </c>
      <c r="C19" s="126">
        <f ca="1">SUMIF(INDIRECT("'"&amp;C4&amp;"'"&amp;"!A:A"),结果表!B19,INDIRECT("'"&amp;C4&amp;"'"&amp;"!B:B"))</f>
        <v>756.51369999999997</v>
      </c>
      <c r="D19" s="127">
        <f ca="1">SUMIF(INDIRECT("'"&amp;D4&amp;"'"&amp;"!A:A"),结果表!B19,INDIRECT("'"&amp;D4&amp;"'"&amp;"!B:B"))</f>
        <v>623.6241</v>
      </c>
      <c r="E19" s="1630" t="s">
        <v>1292</v>
      </c>
      <c r="F19" s="1631" t="s">
        <v>1291</v>
      </c>
      <c r="G19" s="128">
        <f ca="1">ROUND(C19*$C$18+D19*$D$18,0)</f>
        <v>703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37941</v>
      </c>
      <c r="D20" s="130">
        <f ca="1">SUMIF(INDIRECT("'"&amp;D4&amp;"'"&amp;"!A:A"),结果表!B20,INDIRECT("'"&amp;D4&amp;"'"&amp;"!B:B"))</f>
        <v>31277</v>
      </c>
      <c r="E20" s="1633"/>
      <c r="F20" s="43" t="s">
        <v>1295</v>
      </c>
      <c r="G20" s="131">
        <f ca="1">ROUND(C20*$C$18+D20*$D$18,0)</f>
        <v>35275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K21" s="684">
        <v>50000</v>
      </c>
    </row>
    <row r="22" spans="1:36" ht="15" thickBot="1">
      <c r="A22" s="1564" t="s">
        <v>1298</v>
      </c>
      <c r="B22" s="1635"/>
      <c r="C22" s="1636"/>
      <c r="D22" s="680">
        <f ca="1">IF(C19&lt;D19,D19/C19-1,C19/D19-1)</f>
        <v>0.21309247028779033</v>
      </c>
      <c r="E22" s="121"/>
      <c r="F22" s="121"/>
      <c r="G22" s="121"/>
      <c r="H22" s="121"/>
      <c r="I22" s="121"/>
      <c r="K22" s="684">
        <f ca="1">G20/K21</f>
        <v>0.70550000000000002</v>
      </c>
    </row>
    <row r="23" spans="1:36" ht="13.5" thickBot="1">
      <c r="A23" s="646"/>
      <c r="B23" s="646"/>
      <c r="C23" s="646"/>
      <c r="D23" s="646"/>
      <c r="E23" s="121"/>
      <c r="F23" s="121"/>
      <c r="G23" s="121"/>
      <c r="H23" s="121"/>
      <c r="I23" s="121"/>
    </row>
    <row r="24" spans="1:36" ht="14.25">
      <c r="A24" s="3372" t="s">
        <v>1299</v>
      </c>
      <c r="B24" s="1631" t="s">
        <v>1291</v>
      </c>
      <c r="C24" s="128">
        <f>IF(B30=0,0,D30)</f>
        <v>0</v>
      </c>
      <c r="D24" s="1637"/>
      <c r="E24" s="121"/>
      <c r="F24" s="121"/>
      <c r="G24" s="121"/>
      <c r="H24" s="121"/>
      <c r="I24" s="121"/>
    </row>
    <row r="25" spans="1:36" ht="14.25">
      <c r="A25" s="33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35275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9" t="s">
        <v>1312</v>
      </c>
      <c r="B36" s="1652" t="s">
        <v>1313</v>
      </c>
      <c r="C36" s="137"/>
      <c r="D36" s="1653"/>
      <c r="E36" s="1567"/>
      <c r="F36" s="1654"/>
      <c r="G36" s="121"/>
      <c r="H36" s="121"/>
      <c r="I36" s="121"/>
    </row>
    <row r="37" spans="1:15" ht="15.75" thickBot="1">
      <c r="A37" s="3350"/>
      <c r="B37" s="1555" t="s">
        <v>1314</v>
      </c>
      <c r="C37" s="139"/>
      <c r="D37" s="1071"/>
      <c r="E37" s="1071"/>
      <c r="F37" s="1654"/>
      <c r="G37" s="121"/>
      <c r="H37" s="121"/>
      <c r="I37" s="121"/>
    </row>
    <row r="38" spans="1:15" ht="15.75" thickBot="1">
      <c r="A38" s="335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9" t="s">
        <v>1326</v>
      </c>
      <c r="B45" s="3370"/>
      <c r="C45" s="3371"/>
      <c r="D45" s="147" t="e">
        <f ca="1">ROUND(H101*F45,0)</f>
        <v>#REF!</v>
      </c>
      <c r="E45" s="148" t="s">
        <v>1327</v>
      </c>
      <c r="F45" s="149">
        <v>1</v>
      </c>
      <c r="G45" s="150" t="s">
        <v>1328</v>
      </c>
      <c r="H45" s="121"/>
      <c r="I45" s="121"/>
      <c r="J45" s="3289" t="s">
        <v>1329</v>
      </c>
      <c r="K45" s="3289"/>
      <c r="L45" s="3289"/>
      <c r="M45" s="3289"/>
      <c r="N45" s="3289"/>
      <c r="O45" s="3289"/>
    </row>
    <row r="46" spans="1:15" ht="14.25" customHeight="1">
      <c r="A46" s="3366" t="s">
        <v>1330</v>
      </c>
      <c r="B46" s="3367"/>
      <c r="C46" s="3367"/>
      <c r="D46" s="3367"/>
      <c r="E46" s="3367"/>
      <c r="F46" s="3367"/>
      <c r="G46" s="3368"/>
      <c r="H46" s="1668"/>
      <c r="I46" s="151"/>
      <c r="J46" s="2310">
        <v>1</v>
      </c>
      <c r="K46" s="3290" t="s">
        <v>1331</v>
      </c>
      <c r="L46" s="3290"/>
      <c r="M46" s="3291"/>
      <c r="N46" s="3291"/>
      <c r="O46" s="3291"/>
    </row>
    <row r="47" spans="1:15" ht="12" customHeight="1">
      <c r="A47" s="152" t="s">
        <v>1332</v>
      </c>
      <c r="B47" s="153"/>
      <c r="C47" s="154"/>
      <c r="D47" s="1024" t="s">
        <v>1333</v>
      </c>
      <c r="E47" s="294" t="s">
        <v>1334</v>
      </c>
      <c r="F47" s="155" t="s">
        <v>1335</v>
      </c>
      <c r="G47" s="2333" t="s">
        <v>1336</v>
      </c>
      <c r="H47" s="2334"/>
      <c r="I47" s="151"/>
      <c r="J47" s="2310">
        <v>2</v>
      </c>
      <c r="K47" s="3290" t="s">
        <v>1337</v>
      </c>
      <c r="L47" s="3290"/>
      <c r="M47" s="3292">
        <f>'数据-取费表'!B2</f>
        <v>45860</v>
      </c>
      <c r="N47" s="3292"/>
      <c r="O47" s="3292"/>
    </row>
    <row r="48" spans="1:15" ht="25.5">
      <c r="A48" s="3352" t="s">
        <v>1338</v>
      </c>
      <c r="B48" s="3353"/>
      <c r="C48" s="335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0" t="s">
        <v>1340</v>
      </c>
      <c r="L48" s="3290"/>
      <c r="M48" s="3293" t="e">
        <f ca="1">H101</f>
        <v>#REF!</v>
      </c>
      <c r="N48" s="3293"/>
      <c r="O48" s="3293"/>
    </row>
    <row r="49" spans="1:35" ht="25.5" customHeight="1">
      <c r="A49" s="2152" t="s">
        <v>1341</v>
      </c>
      <c r="B49" s="3338" t="s">
        <v>1342</v>
      </c>
      <c r="C49" s="3338"/>
      <c r="D49" s="1478">
        <v>0</v>
      </c>
      <c r="E49" s="316" t="s">
        <v>1343</v>
      </c>
      <c r="F49" s="2233" t="s">
        <v>28</v>
      </c>
      <c r="G49" s="3321"/>
      <c r="H49" s="2134" t="s">
        <v>2134</v>
      </c>
      <c r="I49" s="2135"/>
      <c r="J49" s="2310">
        <v>4</v>
      </c>
      <c r="K49" s="3290" t="str">
        <f>IF(项目基本情况!E8="房地产抵押价值","房地产抵押价值","抵押担保权已注销时的房地产抵押价值")</f>
        <v>抵押担保权已注销时的房地产抵押价值</v>
      </c>
      <c r="L49" s="3290"/>
      <c r="M49" s="3293" t="str">
        <f>IF(项目基本情况!E8="房地产抵押价值",H107,H109)</f>
        <v>——</v>
      </c>
      <c r="N49" s="3293"/>
      <c r="O49" s="3293"/>
    </row>
    <row r="50" spans="1:35" ht="25.5" customHeight="1">
      <c r="A50" s="2338"/>
      <c r="B50" s="3338" t="s">
        <v>1344</v>
      </c>
      <c r="C50" s="3338"/>
      <c r="D50" s="2189"/>
      <c r="E50" s="323"/>
      <c r="F50" s="2233"/>
      <c r="G50" s="3322"/>
      <c r="H50" s="2136" t="s">
        <v>2135</v>
      </c>
      <c r="I50" s="2135"/>
      <c r="J50" s="3289" t="s">
        <v>1345</v>
      </c>
      <c r="K50" s="3289"/>
      <c r="L50" s="3289"/>
      <c r="M50" s="3289"/>
      <c r="N50" s="3289"/>
      <c r="O50" s="3289"/>
    </row>
    <row r="51" spans="1:35" ht="20.45" customHeight="1">
      <c r="A51" s="2339"/>
      <c r="B51" s="3338" t="s">
        <v>1346</v>
      </c>
      <c r="C51" s="3338"/>
      <c r="D51" s="1024"/>
      <c r="E51" s="319"/>
      <c r="F51" s="2233"/>
      <c r="G51" s="3323"/>
      <c r="H51" s="2136" t="s">
        <v>2136</v>
      </c>
      <c r="I51" s="2135"/>
      <c r="J51" s="2311" t="s">
        <v>1347</v>
      </c>
      <c r="K51" s="3290" t="s">
        <v>1348</v>
      </c>
      <c r="L51" s="3290"/>
      <c r="M51" s="2311" t="s">
        <v>1349</v>
      </c>
      <c r="N51" s="2311" t="s">
        <v>1350</v>
      </c>
      <c r="O51" s="2311" t="s">
        <v>1351</v>
      </c>
    </row>
    <row r="52" spans="1:35" ht="24" customHeight="1">
      <c r="A52" s="2153" t="s">
        <v>1352</v>
      </c>
      <c r="B52" s="3338" t="s">
        <v>1353</v>
      </c>
      <c r="C52" s="3338"/>
      <c r="D52" s="1024" t="e">
        <f ca="1">ROUND(D45*'数据-取费表'!B41/(1+'数据-取费表'!C42),0)</f>
        <v>#REF!</v>
      </c>
      <c r="E52" s="1256" t="s">
        <v>1354</v>
      </c>
      <c r="F52" s="2340">
        <f>'数据-取费表'!B41</f>
        <v>5.6000000000000001E-2</v>
      </c>
      <c r="G52" s="2341"/>
      <c r="H52" s="2331"/>
      <c r="I52" s="1669"/>
      <c r="J52" s="2310">
        <v>1</v>
      </c>
      <c r="K52" s="3315" t="s">
        <v>1355</v>
      </c>
      <c r="L52" s="3315"/>
      <c r="M52" s="2312" t="b">
        <f>D48</f>
        <v>0</v>
      </c>
      <c r="N52" s="2310" t="str">
        <f>E48</f>
        <v>销售额×税（费）率</v>
      </c>
      <c r="O52" s="2313">
        <f>F48</f>
        <v>5.6000000000000001E-2</v>
      </c>
    </row>
    <row r="53" spans="1:35" ht="12" customHeight="1">
      <c r="A53" s="2153" t="s">
        <v>1356</v>
      </c>
      <c r="B53" s="3339" t="s">
        <v>2291</v>
      </c>
      <c r="C53" s="3340"/>
      <c r="D53" s="1024" t="e">
        <f ca="1">ROUND(D45*'数据-取费表'!B41/(1+'数据-取费表'!C42),0)</f>
        <v>#REF!</v>
      </c>
      <c r="E53" s="1256" t="s">
        <v>1354</v>
      </c>
      <c r="F53" s="2340">
        <f>'数据-取费表'!B41</f>
        <v>5.6000000000000001E-2</v>
      </c>
      <c r="G53" s="2341"/>
      <c r="H53" s="2331"/>
      <c r="I53" s="1669"/>
      <c r="J53" s="2310">
        <v>2</v>
      </c>
      <c r="K53" s="3315" t="s">
        <v>1357</v>
      </c>
      <c r="L53" s="3315"/>
      <c r="M53" s="2312" t="e">
        <f t="shared" ref="M53:O54" ca="1" si="0">D55</f>
        <v>#REF!</v>
      </c>
      <c r="N53" s="2310" t="str">
        <f t="shared" si="0"/>
        <v>销售额×税（费）率</v>
      </c>
      <c r="O53" s="2313" t="str">
        <f t="shared" si="0"/>
        <v>免征</v>
      </c>
    </row>
    <row r="54" spans="1:35" ht="12" customHeight="1">
      <c r="A54" s="2153" t="s">
        <v>1358</v>
      </c>
      <c r="B54" s="3339" t="s">
        <v>2292</v>
      </c>
      <c r="C54" s="3340"/>
      <c r="D54" s="1024" t="e">
        <f ca="1">C68</f>
        <v>#REF!</v>
      </c>
      <c r="E54" s="319" t="s">
        <v>1359</v>
      </c>
      <c r="F54" s="2340">
        <f>'数据-取费表'!B41</f>
        <v>5.6000000000000001E-2</v>
      </c>
      <c r="G54" s="2341"/>
      <c r="H54" s="2342"/>
      <c r="I54" s="1669"/>
      <c r="J54" s="2310">
        <v>3</v>
      </c>
      <c r="K54" s="3315" t="s">
        <v>1360</v>
      </c>
      <c r="L54" s="3315"/>
      <c r="M54" s="2312" t="e">
        <f t="shared" ca="1" si="0"/>
        <v>#REF!</v>
      </c>
      <c r="N54" s="2310" t="str">
        <f t="shared" si="0"/>
        <v>增值额×税（费）率</v>
      </c>
      <c r="O54" s="2314" t="str">
        <f t="shared" si="0"/>
        <v>免征</v>
      </c>
    </row>
    <row r="55" spans="1:35" ht="24" customHeight="1">
      <c r="A55" s="3375" t="s">
        <v>1361</v>
      </c>
      <c r="B55" s="3353"/>
      <c r="C55" s="3353"/>
      <c r="D55" s="12" t="e">
        <f ca="1">IF(H55="个人住宅",0,ROUND(D45*I55,0))</f>
        <v>#REF!</v>
      </c>
      <c r="E55" s="1256" t="s">
        <v>1362</v>
      </c>
      <c r="F55" s="2340" t="str">
        <f>IF(H55="正常",I55,"免征")</f>
        <v>免征</v>
      </c>
      <c r="G55" s="2341"/>
      <c r="H55" s="2337"/>
      <c r="I55" s="157">
        <f>'数据-取费表'!B49</f>
        <v>5.0000000000000001E-4</v>
      </c>
      <c r="J55" s="2310">
        <f>IF(H59="非个人房产","",4)</f>
        <v>4</v>
      </c>
      <c r="K55" s="3315" t="str">
        <f>IF(H59="非个人房产","——","个人所得税")</f>
        <v>个人所得税</v>
      </c>
      <c r="L55" s="3315"/>
      <c r="M55" s="2315" t="e">
        <f ca="1">D59</f>
        <v>#REF!</v>
      </c>
      <c r="N55" s="1883" t="str">
        <f>E59</f>
        <v>差额计税</v>
      </c>
      <c r="O55" s="2316">
        <f>F59</f>
        <v>0.01</v>
      </c>
    </row>
    <row r="56" spans="1:35" ht="24.75">
      <c r="A56" s="3375" t="s">
        <v>1363</v>
      </c>
      <c r="B56" s="3353"/>
      <c r="C56" s="3353"/>
      <c r="D56" s="12" t="e">
        <f ca="1">IF(H56="个人住宅",D57,D58)</f>
        <v>#REF!</v>
      </c>
      <c r="E56" s="1256" t="s">
        <v>1364</v>
      </c>
      <c r="F56" s="2340" t="str">
        <f>IF(H56="正常",F58,"免征")</f>
        <v>免征</v>
      </c>
      <c r="G56" s="2343" t="s">
        <v>1365</v>
      </c>
      <c r="H56" s="2344"/>
      <c r="I56" s="1670"/>
      <c r="J56" s="2310" t="str">
        <f>IF(项目基本情况!K6="上海银行",IF(J55="",4,J55+1),"")</f>
        <v/>
      </c>
      <c r="K56" s="3296" t="str">
        <f>IF(项目基本情况!K6="上海银行","其他处置费用","")</f>
        <v/>
      </c>
      <c r="L56" s="3297"/>
      <c r="M56" s="2312" t="str">
        <f>IF(项目基本情况!K6="上海银行",M69,"")</f>
        <v/>
      </c>
      <c r="N56" s="3296" t="str">
        <f>IF(项目基本情况!K6="上海银行","包含处置中涉及的律师、诉讼、拍卖、评估等费用","")</f>
        <v/>
      </c>
      <c r="O56" s="3299"/>
    </row>
    <row r="57" spans="1:35" ht="12.75">
      <c r="A57" s="2153" t="s">
        <v>1341</v>
      </c>
      <c r="B57" s="3339" t="s">
        <v>1366</v>
      </c>
      <c r="C57" s="3340"/>
      <c r="D57" s="1478">
        <v>0</v>
      </c>
      <c r="E57" s="316" t="s">
        <v>1343</v>
      </c>
      <c r="F57" s="294"/>
      <c r="G57" s="2341"/>
      <c r="H57" s="2345"/>
      <c r="I57" s="1670"/>
      <c r="J57" s="3315">
        <f>IF(AND(J55="",J56=""),4,IF(项目基本情况!K6="上海银行",结果表!J56+1,结果表!J55+1))</f>
        <v>5</v>
      </c>
      <c r="K57" s="3315" t="s">
        <v>1367</v>
      </c>
      <c r="L57" s="2317" t="s">
        <v>1368</v>
      </c>
      <c r="M57" s="2318"/>
      <c r="N57" s="2319">
        <f ca="1">SUMIF(M52:M56,"&lt;9e307")</f>
        <v>0</v>
      </c>
      <c r="O57" s="2320"/>
      <c r="P57" s="2465" t="e">
        <f ca="1">N57/M49</f>
        <v>#VALUE!</v>
      </c>
    </row>
    <row r="58" spans="1:35" ht="24.75">
      <c r="A58" s="2153" t="s">
        <v>1352</v>
      </c>
      <c r="B58" s="3339" t="s">
        <v>1369</v>
      </c>
      <c r="C58" s="3338"/>
      <c r="D58" s="12" t="e">
        <f ca="1">IF(H58="转让取得",C81,C97)</f>
        <v>#REF!</v>
      </c>
      <c r="E58" s="1256" t="s">
        <v>1364</v>
      </c>
      <c r="F58" s="294" t="s">
        <v>28</v>
      </c>
      <c r="G58" s="2341"/>
      <c r="H58" s="2344"/>
      <c r="I58" s="1670"/>
      <c r="J58" s="3315"/>
      <c r="K58" s="3315"/>
      <c r="L58" s="2317" t="s">
        <v>1370</v>
      </c>
      <c r="M58" s="2321"/>
      <c r="N58" s="2322" t="str">
        <f ca="1">NUMBERSTRING(INT(N57*10000),2)&amp;"元整"</f>
        <v>零元整</v>
      </c>
      <c r="O58" s="2323"/>
    </row>
    <row r="59" spans="1:35" ht="24.75" thickBot="1">
      <c r="A59" s="3319" t="s">
        <v>1371</v>
      </c>
      <c r="B59" s="3320"/>
      <c r="C59" s="332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7">
        <f>J57+1</f>
        <v>6</v>
      </c>
      <c r="K59" s="3315" t="s">
        <v>1372</v>
      </c>
      <c r="L59" s="2310" t="s">
        <v>1368</v>
      </c>
      <c r="M59" s="2324"/>
      <c r="N59" s="2325" t="e">
        <f ca="1">M49-N57</f>
        <v>#VALUE!</v>
      </c>
      <c r="O59" s="2326"/>
    </row>
    <row r="60" spans="1:35" ht="12" customHeight="1">
      <c r="A60" s="1671"/>
      <c r="B60" s="646"/>
      <c r="C60" s="646"/>
      <c r="D60" s="646"/>
      <c r="E60" s="1466"/>
      <c r="F60" s="1670"/>
      <c r="G60" s="1670"/>
      <c r="H60" s="151"/>
      <c r="I60" s="121"/>
      <c r="J60" s="3318"/>
      <c r="K60" s="3315"/>
      <c r="L60" s="2317" t="s">
        <v>1370</v>
      </c>
      <c r="M60" s="2321"/>
      <c r="N60" s="2322" t="e">
        <f ca="1">NUMBERSTRING(INT(N59*10000),2)&amp;"元整"</f>
        <v>#VALUE!</v>
      </c>
      <c r="O60" s="2323"/>
    </row>
    <row r="61" spans="1:35" ht="13.5" thickBot="1">
      <c r="A61" s="3374" t="s">
        <v>1373</v>
      </c>
      <c r="B61" s="3374"/>
      <c r="C61" s="3374"/>
      <c r="D61" s="3374"/>
      <c r="E61" s="3374"/>
      <c r="F61" s="1670"/>
      <c r="G61" s="1670"/>
      <c r="H61" s="151"/>
      <c r="I61" s="121"/>
      <c r="J61" s="2310">
        <f>J59+1</f>
        <v>7</v>
      </c>
      <c r="K61" s="3315" t="s">
        <v>1374</v>
      </c>
      <c r="L61" s="3315"/>
      <c r="M61" s="2327"/>
      <c r="N61" s="2328" t="e">
        <f ca="1">ROUND(N59*10000/'数据-汇总表'!E3,0)</f>
        <v>#VALUE!</v>
      </c>
      <c r="O61" s="2329"/>
    </row>
    <row r="62" spans="1:35" ht="12.75">
      <c r="A62" s="3334" t="s">
        <v>1375</v>
      </c>
      <c r="B62" s="333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9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9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9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9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9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9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98"/>
      <c r="K69" s="1245" t="s">
        <v>1393</v>
      </c>
      <c r="L69" s="1245"/>
      <c r="M69" s="294" t="e">
        <f>ROUND(SUM(M63:M68),0)</f>
        <v>#VALUE!</v>
      </c>
      <c r="N69" s="2332" t="e">
        <f>M69/M49</f>
        <v>#VALUE!</v>
      </c>
      <c r="Z69" s="1623"/>
      <c r="AI69" s="1561"/>
    </row>
    <row r="70" spans="1:35" s="642" customFormat="1" ht="15" thickBot="1">
      <c r="A70" s="3342" t="s">
        <v>1394</v>
      </c>
      <c r="B70" s="3343"/>
      <c r="C70" s="3343"/>
      <c r="D70" s="3343"/>
      <c r="E70" s="3343"/>
      <c r="F70" s="3343"/>
      <c r="G70" s="3343"/>
      <c r="H70" s="334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4" t="s">
        <v>1375</v>
      </c>
      <c r="B71" s="333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9" t="s">
        <v>1402</v>
      </c>
      <c r="F76" s="3338"/>
      <c r="G76" s="3338"/>
      <c r="H76" s="334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31" t="s">
        <v>1406</v>
      </c>
      <c r="F78" s="3332"/>
      <c r="G78" s="3332"/>
      <c r="H78" s="333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2" t="s">
        <v>1410</v>
      </c>
      <c r="B83" s="3343"/>
      <c r="C83" s="3343"/>
      <c r="D83" s="3343"/>
      <c r="E83" s="3343"/>
      <c r="F83" s="3343"/>
      <c r="G83" s="3343"/>
      <c r="H83" s="334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4" t="s">
        <v>1375</v>
      </c>
      <c r="B84" s="333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00" t="s">
        <v>2129</v>
      </c>
      <c r="H90" s="330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31" t="s">
        <v>1419</v>
      </c>
      <c r="F91" s="3332"/>
      <c r="G91" s="333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31" t="s">
        <v>1422</v>
      </c>
      <c r="F92" s="3332"/>
      <c r="G92" s="3332"/>
      <c r="H92" s="333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31" t="s">
        <v>1406</v>
      </c>
      <c r="F93" s="3332"/>
      <c r="G93" s="3332"/>
      <c r="H93" s="333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6" t="s">
        <v>1426</v>
      </c>
      <c r="F94" s="3377"/>
      <c r="G94" s="3377"/>
      <c r="H94" s="33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1" t="s">
        <v>1428</v>
      </c>
      <c r="B100" s="3282"/>
      <c r="C100" s="3282"/>
      <c r="D100" s="3316"/>
      <c r="E100" s="3282" t="s">
        <v>1429</v>
      </c>
      <c r="F100" s="3282"/>
      <c r="G100" s="3282"/>
      <c r="H100" s="3316"/>
      <c r="I100" s="121"/>
    </row>
    <row r="101" spans="1:35" ht="18.75" customHeight="1">
      <c r="A101" s="3324" t="s">
        <v>1430</v>
      </c>
      <c r="B101" s="3325"/>
      <c r="C101" s="2371" t="str">
        <f>C4</f>
        <v>成本法 (元)</v>
      </c>
      <c r="D101" s="2372" t="str">
        <f>D4</f>
        <v>收益法 (元)</v>
      </c>
      <c r="E101" s="3294" t="s">
        <v>1431</v>
      </c>
      <c r="F101" s="3295"/>
      <c r="G101" s="1687" t="s">
        <v>1432</v>
      </c>
      <c r="H101" s="2381" t="e">
        <f ca="1">H118</f>
        <v>#REF!</v>
      </c>
      <c r="I101" s="121"/>
    </row>
    <row r="102" spans="1:35" ht="18.75" customHeight="1">
      <c r="A102" s="3326" t="s">
        <v>1433</v>
      </c>
      <c r="B102" s="2370" t="s">
        <v>1432</v>
      </c>
      <c r="C102" s="2371">
        <f ca="1">IF(D32="楼面单价",ROUND(C19,0),C19)</f>
        <v>756.51369999999997</v>
      </c>
      <c r="D102" s="2372">
        <f ca="1">IF(D32="楼面单价",ROUND(D19,0),D19)</f>
        <v>623.6241</v>
      </c>
      <c r="E102" s="3294"/>
      <c r="F102" s="3295"/>
      <c r="G102" s="1687" t="s">
        <v>1434</v>
      </c>
      <c r="H102" s="2341" t="e">
        <f ca="1">I118</f>
        <v>#REF!</v>
      </c>
      <c r="I102" s="121"/>
    </row>
    <row r="103" spans="1:35" ht="42.75" customHeight="1">
      <c r="A103" s="3326"/>
      <c r="B103" s="2370" t="s">
        <v>1434</v>
      </c>
      <c r="C103" s="2373">
        <f ca="1">C20</f>
        <v>37941</v>
      </c>
      <c r="D103" s="2374">
        <f ca="1">D20</f>
        <v>31277</v>
      </c>
      <c r="E103" s="3287" t="s">
        <v>1435</v>
      </c>
      <c r="F103" s="3288"/>
      <c r="G103" s="1688" t="s">
        <v>1436</v>
      </c>
      <c r="H103" s="2381">
        <f>IF(D36="正常操作",H104+H105+H106,H105+H106)</f>
        <v>0</v>
      </c>
      <c r="I103" s="121"/>
    </row>
    <row r="104" spans="1:35" ht="18.75" customHeight="1">
      <c r="A104" s="332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3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7" t="str">
        <f>IF(项目基本情况!E8="已注销","——","3.房地产抵押价值")</f>
        <v>3.房地产抵押价值</v>
      </c>
      <c r="F107" s="3295"/>
      <c r="G107" s="1687" t="s">
        <v>1432</v>
      </c>
      <c r="H107" s="2381" t="e">
        <f ca="1">IF(E107="——","——",H101-H103)</f>
        <v>#REF!</v>
      </c>
      <c r="I107" s="121"/>
    </row>
    <row r="108" spans="1:35" ht="18.75" customHeight="1">
      <c r="A108" s="121"/>
      <c r="B108" s="121"/>
      <c r="C108" s="121"/>
      <c r="D108" s="121"/>
      <c r="E108" s="3327"/>
      <c r="F108" s="3295"/>
      <c r="G108" s="1687" t="s">
        <v>1434</v>
      </c>
      <c r="H108" s="2341">
        <f ca="1">IF(H107=H101,H102,ROUND(H107*10000/'数据-汇总表'!E3,0))</f>
        <v>0</v>
      </c>
      <c r="I108" s="121"/>
    </row>
    <row r="109" spans="1:35" ht="18.75" customHeight="1">
      <c r="A109" s="121"/>
      <c r="B109" s="121"/>
      <c r="C109" s="121"/>
      <c r="D109" s="121"/>
      <c r="E109" s="3327"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327"/>
      <c r="F110" s="3295"/>
      <c r="G110" s="1687" t="s">
        <v>1434</v>
      </c>
      <c r="H110" s="2341"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314"/>
      <c r="G111" s="1687" t="s">
        <v>1432</v>
      </c>
      <c r="H111" s="2381" t="str">
        <f>IF(E111="——","——",N59)</f>
        <v>——</v>
      </c>
      <c r="I111" s="121"/>
    </row>
    <row r="112" spans="1:35" ht="18.75" customHeight="1" thickBot="1">
      <c r="A112" s="121"/>
      <c r="B112" s="121"/>
      <c r="C112" s="121"/>
      <c r="D112" s="121"/>
      <c r="E112" s="3329"/>
      <c r="F112" s="3330"/>
      <c r="G112" s="1690" t="s">
        <v>1434</v>
      </c>
      <c r="H112" s="2385"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5" t="s">
        <v>1442</v>
      </c>
      <c r="B115" s="3346"/>
      <c r="C115" s="3346"/>
      <c r="D115" s="3346"/>
      <c r="E115" s="3346"/>
      <c r="F115" s="3346"/>
      <c r="G115" s="3346"/>
      <c r="H115" s="3346"/>
      <c r="I115" s="3347"/>
    </row>
    <row r="116" spans="1:27" ht="27" customHeight="1">
      <c r="A116" s="3302" t="s">
        <v>1443</v>
      </c>
      <c r="B116" s="3306" t="s">
        <v>1444</v>
      </c>
      <c r="C116" s="3306" t="s">
        <v>1445</v>
      </c>
      <c r="D116" s="3312" t="s">
        <v>1446</v>
      </c>
      <c r="E116" s="3313"/>
      <c r="F116" s="3344" t="s">
        <v>1447</v>
      </c>
      <c r="G116" s="3344"/>
      <c r="H116" s="3302" t="s">
        <v>1448</v>
      </c>
      <c r="I116" s="3302"/>
    </row>
    <row r="117" spans="1:27" ht="18.75" customHeight="1">
      <c r="A117" s="3302"/>
      <c r="B117" s="3307"/>
      <c r="C117" s="3307"/>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199.39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2" t="s">
        <v>1452</v>
      </c>
      <c r="B119" s="3302"/>
      <c r="C119" s="3302"/>
      <c r="D119" s="3308" t="e">
        <f ca="1">NUMBERSTRING(INT(D118*10000),2)&amp;"元整"</f>
        <v>#REF!</v>
      </c>
      <c r="E119" s="3309"/>
      <c r="F119" s="3308" t="e">
        <f ca="1">NUMBERSTRING(INT(F118*10000),2)&amp;"元整"</f>
        <v>#REF!</v>
      </c>
      <c r="G119" s="3309"/>
      <c r="H119" s="3308" t="e">
        <f ca="1">NUMBERSTRING(INT(H118*10000),2)&amp;"元整"</f>
        <v>#REF!</v>
      </c>
      <c r="I119" s="3309"/>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10"/>
      <c r="C121" s="3309"/>
      <c r="D121" s="3308" t="str">
        <f>IF(D120=0,"零元整",NUMBERSTRING(INT(D120*10000),2)&amp;"元整")</f>
        <v>零元整</v>
      </c>
      <c r="E121" s="3310"/>
      <c r="F121" s="3310"/>
      <c r="G121" s="3310"/>
      <c r="H121" s="3310"/>
      <c r="I121" s="3309"/>
      <c r="AA121" s="684"/>
    </row>
    <row r="122" spans="1:27" ht="18.75" customHeight="1">
      <c r="A122" s="3314" t="str">
        <f>IF(项目基本情况!B9="房地产市场价值","",MID(E107,3,LEN(E107)-2))</f>
        <v>房地产抵押价值</v>
      </c>
      <c r="B122" s="3314"/>
      <c r="C122" s="3314"/>
      <c r="D122" s="3303" t="e">
        <f ca="1">H107</f>
        <v>#REF!</v>
      </c>
      <c r="E122" s="3304"/>
      <c r="F122" s="3304"/>
      <c r="G122" s="3304"/>
      <c r="H122" s="3304"/>
      <c r="I122" s="3305"/>
      <c r="AA122" s="684"/>
    </row>
    <row r="123" spans="1:27" ht="18.75" customHeight="1">
      <c r="A123" s="3302" t="s">
        <v>1452</v>
      </c>
      <c r="B123" s="3302"/>
      <c r="C123" s="3302"/>
      <c r="D123" s="3308" t="e">
        <f ca="1">NUMBERSTRING(INT(D122*10000),2)&amp;"元整"</f>
        <v>#REF!</v>
      </c>
      <c r="E123" s="3310"/>
      <c r="F123" s="3310"/>
      <c r="G123" s="3310"/>
      <c r="H123" s="3310"/>
      <c r="I123" s="3309"/>
      <c r="AA123" s="684"/>
    </row>
    <row r="124" spans="1:27" ht="18.75" customHeight="1">
      <c r="A124" s="3314" t="str">
        <f>IF(项目基本情况!B9="房地产市场价值","",MID(E109,3,LEN(E109)-2))</f>
        <v/>
      </c>
      <c r="B124" s="3314"/>
      <c r="C124" s="3314"/>
      <c r="D124" s="3303" t="str">
        <f>H109</f>
        <v>——</v>
      </c>
      <c r="E124" s="3304"/>
      <c r="F124" s="3304"/>
      <c r="G124" s="3304"/>
      <c r="H124" s="3304"/>
      <c r="I124" s="3305"/>
      <c r="AA124" s="684"/>
    </row>
    <row r="125" spans="1:27" ht="18.75" customHeight="1">
      <c r="A125" s="3302" t="s">
        <v>1452</v>
      </c>
      <c r="B125" s="3302"/>
      <c r="C125" s="3302"/>
      <c r="D125" s="3308" t="e">
        <f>NUMBERSTRING(INT(D124*10000),2)&amp;"元整"</f>
        <v>#VALUE!</v>
      </c>
      <c r="E125" s="3310"/>
      <c r="F125" s="3310"/>
      <c r="G125" s="3310"/>
      <c r="H125" s="3310"/>
      <c r="I125" s="3309"/>
      <c r="AA125" s="684"/>
    </row>
    <row r="126" spans="1:27" ht="18.75" customHeight="1">
      <c r="A126" s="3314" t="str">
        <f>IF(项目基本情况!B9="房地产市场价值","",MID(E111,3,LEN(E111)-2))</f>
        <v/>
      </c>
      <c r="B126" s="3314"/>
      <c r="C126" s="3314"/>
      <c r="D126" s="3303" t="str">
        <f>H111</f>
        <v>——</v>
      </c>
      <c r="E126" s="3304"/>
      <c r="F126" s="3304"/>
      <c r="G126" s="3304"/>
      <c r="H126" s="3304"/>
      <c r="I126" s="3305"/>
      <c r="AA126" s="684"/>
    </row>
    <row r="127" spans="1:27" ht="18.75" customHeight="1">
      <c r="A127" s="3302" t="s">
        <v>1452</v>
      </c>
      <c r="B127" s="3302"/>
      <c r="C127" s="3302"/>
      <c r="D127" s="3308" t="e">
        <f>NUMBERSTRING(INT(D126*10000),2)&amp;"元整"</f>
        <v>#VALUE!</v>
      </c>
      <c r="E127" s="3310"/>
      <c r="F127" s="3310"/>
      <c r="G127" s="3310"/>
      <c r="H127" s="3310"/>
      <c r="I127" s="3309"/>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51432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2579467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39878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39878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199.39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199.39</v>
      </c>
      <c r="E19" s="203">
        <f>'数据-取费表'!B31</f>
        <v>200</v>
      </c>
      <c r="F19" s="223"/>
      <c r="G19" s="1714"/>
    </row>
    <row r="20" spans="1:7" s="206" customFormat="1" ht="13.5" customHeight="1">
      <c r="A20" s="247" t="s">
        <v>1493</v>
      </c>
      <c r="B20" s="202" t="s">
        <v>1494</v>
      </c>
      <c r="C20" s="224">
        <f ca="1">ROUND((C5+C19)*F20,0)</f>
        <v>798</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1208</v>
      </c>
      <c r="D22" s="227">
        <f ca="1">C26</f>
        <v>2.0000000000000001E-4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1196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12</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6102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6102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51326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100</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199.39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81" t="s">
        <v>1544</v>
      </c>
    </row>
    <row r="43" spans="1:7" ht="13.5" customHeight="1">
      <c r="A43" s="734" t="s">
        <v>347</v>
      </c>
      <c r="B43" s="207" t="s">
        <v>1545</v>
      </c>
      <c r="C43" s="230">
        <f ca="1">ROUND(IF('数据-取费表'!B22&lt;=1,C39*F22*'数据-取费表'!B21/2,C39*(POWER((1+F22),'数据-取费表'!B21/2)-1)),0)</f>
        <v>0</v>
      </c>
      <c r="D43" s="230"/>
      <c r="E43" s="230"/>
      <c r="F43" s="231"/>
      <c r="G43" s="3382"/>
    </row>
    <row r="44" spans="1:7" ht="13.5" customHeight="1">
      <c r="A44" s="734" t="s">
        <v>348</v>
      </c>
      <c r="B44" s="207" t="s">
        <v>1546</v>
      </c>
      <c r="C44" s="230">
        <f ca="1">ROUND(IF('数据-取费表'!B22&lt;=1,C40*F22*'数据-取费表'!B21/2,C40*(POWER((1+F22),'数据-取费表'!B21/2)-1)),4)</f>
        <v>2.0000000000000001E-4</v>
      </c>
      <c r="D44" s="230"/>
      <c r="E44" s="230"/>
      <c r="F44" s="231"/>
      <c r="G44" s="3383"/>
    </row>
    <row r="45" spans="1:7" s="206" customFormat="1" ht="13.5" customHeight="1">
      <c r="A45" s="247" t="s">
        <v>1547</v>
      </c>
      <c r="B45" s="236" t="s">
        <v>1513</v>
      </c>
      <c r="C45" s="237">
        <f ca="1">C46</f>
        <v>17</v>
      </c>
      <c r="D45" s="227">
        <f ca="1">C47</f>
        <v>1.5E-3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141</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106</v>
      </c>
      <c r="D51" s="224"/>
      <c r="E51" s="224"/>
      <c r="F51" s="256"/>
      <c r="G51" s="226" t="s">
        <v>1560</v>
      </c>
    </row>
    <row r="52" spans="1:7" s="200" customFormat="1" ht="16.5" thickBot="1">
      <c r="A52" s="257" t="s">
        <v>1561</v>
      </c>
      <c r="B52" s="258"/>
      <c r="C52" s="259">
        <f ca="1">C31+C51</f>
        <v>51432</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北京市预评估</v>
      </c>
      <c r="C37" s="3199"/>
      <c r="D37" s="3199"/>
      <c r="E37" s="3199"/>
      <c r="F37" s="3199"/>
      <c r="G37" s="3199"/>
      <c r="H37" s="3199"/>
      <c r="I37" s="319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145" zoomScaleNormal="70" zoomScaleSheetLayoutView="145" workbookViewId="0">
      <selection activeCell="E53" sqref="E5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756.51369999999997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37941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5058722</v>
      </c>
      <c r="D5" s="203" t="s">
        <v>1469</v>
      </c>
      <c r="E5" s="204" t="s">
        <v>1470</v>
      </c>
      <c r="F5" s="204" t="s">
        <v>1471</v>
      </c>
      <c r="G5" s="205"/>
    </row>
    <row r="6" spans="1:8" s="206" customFormat="1" ht="13.5" customHeight="1">
      <c r="A6" s="732" t="s">
        <v>1472</v>
      </c>
      <c r="B6" s="207" t="s">
        <v>1473</v>
      </c>
      <c r="C6" s="208">
        <f>ROUND(基准地价修正!C33*基准地价修正!D33,0)</f>
        <v>4870300</v>
      </c>
      <c r="D6" s="209"/>
      <c r="E6" s="210"/>
      <c r="F6" s="210"/>
      <c r="G6" s="211"/>
    </row>
    <row r="7" spans="1:8" s="206" customFormat="1" ht="13.5" customHeight="1">
      <c r="A7" s="732" t="s">
        <v>1474</v>
      </c>
      <c r="B7" s="207" t="s">
        <v>1475</v>
      </c>
      <c r="C7" s="212">
        <f>ROUND(C6*F7,0)</f>
        <v>148544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39878</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39878</v>
      </c>
      <c r="D10" s="795">
        <f ca="1">IF(B1="",'数据-汇总表'!E6,IF(INDIRECT("'数据-取费表'!c"&amp;$G$1)="住宅",INDIRECT("'数据-取费表'!s"&amp;$G$1),INDIRECT("'数据-取费表'!k"&amp;$G$1)+INDIRECT("'数据-取费表'!s"&amp;$G$1)))</f>
        <v>199.39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199.39</v>
      </c>
      <c r="E19" s="203">
        <f>'数据-取费表'!B31</f>
        <v>200</v>
      </c>
      <c r="F19" s="223"/>
      <c r="G19" s="1714" t="s">
        <v>3451</v>
      </c>
    </row>
    <row r="20" spans="1:7" s="206" customFormat="1" ht="13.5" customHeight="1">
      <c r="A20" s="247" t="s">
        <v>1574</v>
      </c>
      <c r="B20" s="202" t="s">
        <v>1575</v>
      </c>
      <c r="C20" s="224">
        <f ca="1">ROUND((C5+C19)*F20,0)</f>
        <v>101174</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153280</v>
      </c>
      <c r="D22" s="227">
        <f ca="1">C26</f>
        <v>2.0000000000000001E-4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151762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1518</v>
      </c>
      <c r="D25" s="230"/>
      <c r="E25" s="233"/>
      <c r="F25" s="231"/>
      <c r="G25" s="234" t="s">
        <v>1588</v>
      </c>
    </row>
    <row r="26" spans="1:7" s="206" customFormat="1">
      <c r="A26" s="734"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773984</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773984</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6510332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1106615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996950</v>
      </c>
      <c r="D34" s="209"/>
      <c r="E34" s="212"/>
      <c r="F34" s="249"/>
      <c r="G34" s="211"/>
    </row>
    <row r="35" spans="1:7" ht="13.5" customHeight="1">
      <c r="A35" s="734" t="s">
        <v>351</v>
      </c>
      <c r="B35" s="207" t="s">
        <v>1527</v>
      </c>
      <c r="C35" s="212">
        <f ca="1">ROUND(C34*F35,0)</f>
        <v>49848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39878</v>
      </c>
      <c r="D37" s="209">
        <f ca="1">D19</f>
        <v>199.39</v>
      </c>
      <c r="E37" s="241">
        <f>'数据-取费表'!B35</f>
        <v>200</v>
      </c>
      <c r="F37" s="251"/>
      <c r="G37" s="253"/>
    </row>
    <row r="38" spans="1:7" ht="13.5" customHeight="1">
      <c r="A38" s="734" t="s">
        <v>354</v>
      </c>
      <c r="B38" s="207" t="s">
        <v>1533</v>
      </c>
      <c r="C38" s="212">
        <f ca="1">ROUND(C34*F38,0)</f>
        <v>19939</v>
      </c>
      <c r="D38" s="212"/>
      <c r="E38" s="212"/>
      <c r="F38" s="251">
        <f>'数据-取费表'!B36</f>
        <v>0.02</v>
      </c>
      <c r="G38" s="211" t="s">
        <v>1528</v>
      </c>
    </row>
    <row r="39" spans="1:7" s="206" customFormat="1" ht="13.5" customHeight="1">
      <c r="A39" s="247" t="s">
        <v>1534</v>
      </c>
      <c r="B39" s="202" t="s">
        <v>1535</v>
      </c>
      <c r="C39" s="224">
        <f ca="1">ROUND(C33*F20,0)</f>
        <v>22132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16931</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16599</v>
      </c>
      <c r="D42" s="230"/>
      <c r="E42" s="230"/>
      <c r="F42" s="231"/>
      <c r="G42" s="3381" t="s">
        <v>1591</v>
      </c>
    </row>
    <row r="43" spans="1:7" ht="13.5" customHeight="1">
      <c r="A43" s="734" t="s">
        <v>347</v>
      </c>
      <c r="B43" s="207" t="s">
        <v>1545</v>
      </c>
      <c r="C43" s="230">
        <f ca="1">ROUND(IF('数据-取费表'!B22&lt;=1,C39*F22*'数据-取费表'!B20/2,C39*(POWER((1+F22),'数据-取费表'!B20/2)-1)),0)</f>
        <v>332</v>
      </c>
      <c r="D43" s="230"/>
      <c r="E43" s="230"/>
      <c r="F43" s="231"/>
      <c r="G43" s="3382"/>
    </row>
    <row r="44" spans="1:7" ht="13.5" customHeight="1">
      <c r="A44" s="734" t="s">
        <v>348</v>
      </c>
      <c r="B44" s="207" t="s">
        <v>1546</v>
      </c>
      <c r="C44" s="230">
        <f ca="1">ROUND(IF('数据-取费表'!B22&lt;=1,C40*F22*'数据-取费表'!B20/2,C40*(POWER((1+F22),'数据-取费表'!B20/2)-1)),4)</f>
        <v>2.0000000000000001E-4</v>
      </c>
      <c r="D44" s="230"/>
      <c r="E44" s="230"/>
      <c r="F44" s="231"/>
      <c r="G44" s="3383"/>
    </row>
    <row r="45" spans="1:7" s="206" customFormat="1" ht="13.5" customHeight="1">
      <c r="A45" s="247" t="s">
        <v>1547</v>
      </c>
      <c r="B45" s="236" t="s">
        <v>1513</v>
      </c>
      <c r="C45" s="237">
        <f ca="1">C46</f>
        <v>169312</v>
      </c>
      <c r="D45" s="227">
        <f ca="1">C47</f>
        <v>1.5E-3</v>
      </c>
      <c r="E45" s="228" t="s">
        <v>1539</v>
      </c>
      <c r="F45" s="238">
        <f ca="1">F27</f>
        <v>0.15</v>
      </c>
      <c r="G45" s="239" t="s">
        <v>1548</v>
      </c>
    </row>
    <row r="46" spans="1:7" s="206" customFormat="1" ht="13.5" customHeight="1">
      <c r="A46" s="734" t="s">
        <v>346</v>
      </c>
      <c r="B46" s="240" t="s">
        <v>1549</v>
      </c>
      <c r="C46" s="241">
        <f ca="1">ROUND((C33+C39)*F27,0)</f>
        <v>169312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1406406</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1054805</v>
      </c>
      <c r="D51" s="224"/>
      <c r="E51" s="224"/>
      <c r="F51" s="256"/>
      <c r="G51" s="226" t="s">
        <v>1560</v>
      </c>
    </row>
    <row r="52" spans="1:7" s="200" customFormat="1" ht="16.5" thickBot="1">
      <c r="A52" s="257" t="s">
        <v>1561</v>
      </c>
      <c r="B52" s="258"/>
      <c r="C52" s="259">
        <f ca="1">C31+C51</f>
        <v>7565137</v>
      </c>
      <c r="D52" s="258"/>
      <c r="E52" s="258"/>
      <c r="F52" s="258"/>
      <c r="G52" s="260"/>
    </row>
    <row r="55" spans="1:7" ht="15">
      <c r="B55" s="262" t="s">
        <v>1562</v>
      </c>
      <c r="C55" s="263"/>
    </row>
    <row r="56" spans="1:7">
      <c r="B56" s="265" t="s">
        <v>802</v>
      </c>
      <c r="C56" s="267">
        <f ca="1">1-C57</f>
        <v>0.86099999999999999</v>
      </c>
    </row>
    <row r="57" spans="1:7">
      <c r="B57" s="265" t="s">
        <v>803</v>
      </c>
      <c r="C57" s="266">
        <f ca="1">ROUND(C51/C52,3)</f>
        <v>0.13900000000000001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45454</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2279653</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-39874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199.39</v>
      </c>
      <c r="E20" s="21">
        <f>'数据-取费表'!B28</f>
        <v>200</v>
      </c>
      <c r="F20" s="756"/>
      <c r="G20" s="12"/>
      <c r="H20" s="761"/>
      <c r="I20" s="761"/>
      <c r="J20" s="761"/>
      <c r="K20" s="762"/>
    </row>
    <row r="21" spans="1:33" s="755" customFormat="1" ht="13.5" customHeight="1">
      <c r="A21" s="744" t="s">
        <v>357</v>
      </c>
      <c r="B21" s="765" t="s">
        <v>1628</v>
      </c>
      <c r="C21" s="766">
        <f ca="1">C16+C17+C18</f>
        <v>-39874</v>
      </c>
      <c r="D21" s="767"/>
      <c r="E21" s="273"/>
      <c r="F21" s="273"/>
      <c r="G21" s="123" t="s">
        <v>1629</v>
      </c>
      <c r="H21" s="759"/>
      <c r="I21" s="759"/>
      <c r="J21" s="759"/>
      <c r="K21" s="760"/>
    </row>
    <row r="22" spans="1:33" s="755" customFormat="1" ht="13.5" customHeight="1">
      <c r="A22" s="744" t="s">
        <v>1601</v>
      </c>
      <c r="B22" s="765" t="s">
        <v>1630</v>
      </c>
      <c r="C22" s="766">
        <f ca="1">ROUND(C21*F22,0)</f>
        <v>-797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-6101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-6101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45454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6" t="s">
        <v>694</v>
      </c>
      <c r="C6" s="1011">
        <f ca="1">ROUND(F6*F8*F7*(1-F9)/10000,0)</f>
        <v>0</v>
      </c>
      <c r="D6" s="147" t="s">
        <v>2109</v>
      </c>
      <c r="E6" s="294" t="s">
        <v>696</v>
      </c>
      <c r="F6" s="295">
        <f ca="1">INDIRECT("'数据-取费表'!u"&amp;$G$1)</f>
        <v>0</v>
      </c>
      <c r="G6" s="1292"/>
      <c r="H6" s="1006" t="s">
        <v>398</v>
      </c>
      <c r="I6" s="3386" t="s">
        <v>694</v>
      </c>
      <c r="J6" s="293">
        <f ca="1">ROUND(M6*M8*M7*(1-M9)/10000,0)</f>
        <v>0</v>
      </c>
      <c r="K6" s="147" t="s">
        <v>2108</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0</v>
      </c>
      <c r="G7" s="1292"/>
      <c r="H7" s="296"/>
      <c r="I7" s="3387"/>
      <c r="J7" s="298"/>
      <c r="K7" s="299"/>
      <c r="L7" s="294" t="s">
        <v>697</v>
      </c>
      <c r="M7" s="295">
        <f ca="1">F7</f>
        <v>0</v>
      </c>
    </row>
    <row r="8" spans="1:37" ht="18" customHeight="1">
      <c r="A8" s="296"/>
      <c r="B8" s="3387"/>
      <c r="C8" s="298"/>
      <c r="D8" s="299"/>
      <c r="E8" s="294" t="s">
        <v>698</v>
      </c>
      <c r="F8" s="295">
        <f ca="1">INDIRECT("'数据-取费表'!ai"&amp;$G$1)</f>
        <v>0</v>
      </c>
      <c r="G8" s="1292"/>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4" t="s">
        <v>837</v>
      </c>
      <c r="L53" s="338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 zoomScale="115" zoomScaleNormal="80" zoomScaleSheetLayoutView="115" workbookViewId="0">
      <selection activeCell="F30" sqref="F3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199.39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24426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9" t="s">
        <v>2439</v>
      </c>
      <c r="F3" s="1848" t="s">
        <v>3439</v>
      </c>
      <c r="G3" s="708" t="e">
        <f>IF(F3="宗地容积率",'数据-汇总表'!I4,IF(F3="估价对象容积率",'数据-汇总表'!I6,'数据-汇总表'!I7))</f>
        <v>#DIV/0!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19253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96"/>
      <c r="B4" s="3397"/>
      <c r="C4" s="3397"/>
      <c r="D4" s="3398"/>
      <c r="E4" s="3398"/>
      <c r="F4" s="3398"/>
      <c r="G4" s="3398"/>
      <c r="H4" s="3398"/>
      <c r="I4" s="3398"/>
      <c r="J4" s="3399"/>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4">
        <f>ROUND(SUMPRODUCT((B106:B110=R4)*(C105:N105=G2)*(C106:N110)),4)</f>
        <v>1.0004999999999999</v>
      </c>
      <c r="T4" s="3064">
        <f t="shared" si="0"/>
        <v>16272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20870</v>
      </c>
      <c r="D5" s="1252">
        <f>ROUND(C6*C17+C20,0)</f>
        <v>20870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14351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13791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t="e">
        <f>G3</f>
        <v>#DIV/0!</v>
      </c>
      <c r="AA7" s="1133"/>
      <c r="AB7" s="1133"/>
      <c r="AC7" s="1134"/>
      <c r="AD7" s="1135"/>
      <c r="AE7" s="1135"/>
      <c r="AF7" s="1135"/>
      <c r="AG7" s="1135"/>
      <c r="AH7" s="1135"/>
      <c r="AI7" s="1135"/>
      <c r="AJ7" s="1136"/>
    </row>
    <row r="8" spans="1:36" ht="25.5">
      <c r="A8" s="3010"/>
      <c r="B8" s="162" t="s">
        <v>1957</v>
      </c>
      <c r="C8" s="1870" t="s">
        <v>3441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93" t="s">
        <v>1960</v>
      </c>
      <c r="X8" s="339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00" t="s">
        <v>3254</v>
      </c>
      <c r="B20" s="159" t="s">
        <v>1994</v>
      </c>
      <c r="C20" s="3032">
        <f>ROUND(IF(F21="与级别开发程度一致",0,(G21-E21)/C21),0)</f>
        <v>-20</v>
      </c>
      <c r="D20" s="3047" t="s">
        <v>1998</v>
      </c>
      <c r="E20" s="3048"/>
      <c r="F20" s="3406" t="s">
        <v>1995</v>
      </c>
      <c r="G20" s="3407"/>
      <c r="H20" s="3033" t="s">
        <v>3443</v>
      </c>
      <c r="I20" s="3033" t="s">
        <v>3444</v>
      </c>
      <c r="J20" s="3034" t="s">
        <v>3445</v>
      </c>
      <c r="K20" s="1889" t="s">
        <v>3446</v>
      </c>
      <c r="L20" s="1889" t="s">
        <v>3447</v>
      </c>
      <c r="M20" s="1889" t="s">
        <v>3449</v>
      </c>
      <c r="N20" s="1889" t="s">
        <v>3448</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0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3442</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6" t="s">
        <v>2002</v>
      </c>
      <c r="E23" s="717">
        <v>44197</v>
      </c>
      <c r="F23" s="1896" t="s">
        <v>2003</v>
      </c>
      <c r="G23" s="718">
        <f>'数据-取费表'!B2</f>
        <v>45860</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0.72230000000000005</v>
      </c>
      <c r="D24" s="1902" t="s">
        <v>2007</v>
      </c>
      <c r="E24" s="1248">
        <f ca="1">'数据-取费表'!B40</f>
        <v>0.03</v>
      </c>
      <c r="F24" s="1902" t="s">
        <v>1999</v>
      </c>
      <c r="G24" s="724">
        <f>SUMIF(M30:Q30,E2,M33:Q33)</f>
        <v>5.5E-2</v>
      </c>
      <c r="H24" s="1902" t="s">
        <v>2008</v>
      </c>
      <c r="I24" s="725">
        <f>SUMIF('数据-取费表'!C6:C15,E2,'数据-取费表'!F6:F15)/COUNTIF('数据-取费表'!C6:C15,E2)</f>
        <v>18.95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3440</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3258</v>
      </c>
      <c r="J26" s="374" t="e">
        <f>IF(G3&gt;=10,D115,"——")</f>
        <v>#DIV/0!</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 ca="1">ROUND($E$24*(1+M31),4)</f>
        <v>3.7499999999999999E-2</v>
      </c>
      <c r="N32" s="2356">
        <f ca="1">ROUND($E$24*(1+N31),3)</f>
        <v>3.5999999999999997E-2</v>
      </c>
      <c r="O32" s="2356">
        <f ca="1">ROUND($E$24*(1+O31),3)</f>
        <v>3.5000000000000003E-2</v>
      </c>
      <c r="P32" s="2356">
        <f ca="1">ROUND($E$24*(1+P31),3)</f>
        <v>3.3000000000000002E-2</v>
      </c>
      <c r="Q32" s="3061">
        <f ca="1">ROUND($E$24*(1+Q31),3)</f>
        <v>3.5000000000000003E-2</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24426</v>
      </c>
      <c r="D33" s="1940">
        <f>'数据-汇总表'!F19</f>
        <v>199.39</v>
      </c>
      <c r="E33" s="727">
        <f>ROUND(C33*D33/10000,0)</f>
        <v>487</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4"/>
      <c r="B37" s="1955" t="s">
        <v>2036</v>
      </c>
      <c r="C37" s="167">
        <f>ROUND(D5*C22*C23*C24*C28*F37,0)</f>
        <v>9758</v>
      </c>
      <c r="D37" s="1940"/>
      <c r="E37" s="163">
        <f>ROUND(C37*D37/10000,0)</f>
        <v>0</v>
      </c>
      <c r="F37" s="163">
        <f>SUMIF(修正!A59:A70,G2,修正!B59:B70)</f>
        <v>0.6</v>
      </c>
      <c r="G37" s="163">
        <f>ROUND(IF(E2="工业",C37*$M$42,C37*$M$41),0)</f>
        <v>2440</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5"/>
      <c r="B38" s="1884" t="s">
        <v>2037</v>
      </c>
      <c r="C38" s="167">
        <f>ROUND(D5*C22*C23*C24*C28*F38,0)</f>
        <v>4879</v>
      </c>
      <c r="D38" s="1940"/>
      <c r="E38" s="163">
        <f t="shared" ref="E38:E42" si="4">ROUND(C38*D38/10000,0)</f>
        <v>0</v>
      </c>
      <c r="F38" s="163">
        <f>SUMIF(修正!A59:A70,G2,修正!C59:C70)</f>
        <v>0.3</v>
      </c>
      <c r="G38" s="163">
        <f>ROUND(IF(E2="工业",C38*$M$42,C38*$M$41),0)</f>
        <v>1220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5"/>
      <c r="B39" s="1884" t="s">
        <v>3259</v>
      </c>
      <c r="C39" s="167">
        <f>ROUND(D5*C22*C23*C24*C28*F39,0)</f>
        <v>4066</v>
      </c>
      <c r="D39" s="1940"/>
      <c r="E39" s="163">
        <f t="shared" si="4"/>
        <v>0</v>
      </c>
      <c r="F39" s="163">
        <f>SUMIF(修正!A59:A70,G2,修正!D59:D70)</f>
        <v>0.25</v>
      </c>
      <c r="G39" s="163">
        <f>ROUND(IF(E2="工业",C39*$M$42,C39*$M$41),0)</f>
        <v>1017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4066</v>
      </c>
      <c r="D40" s="1940"/>
      <c r="E40" s="163">
        <f t="shared" si="4"/>
        <v>0</v>
      </c>
      <c r="F40" s="167">
        <f>SUMIF(修正!A59:A70,G2,修正!E59:E70)</f>
        <v>0.25</v>
      </c>
      <c r="G40" s="163">
        <f>ROUND(IF(E2="工业",C40*$M$42,C40*$M$41),0)</f>
        <v>1017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3479</v>
      </c>
      <c r="D50" s="1002">
        <f t="shared" ref="D50:D58" si="7">SUMIF($J$49:$N$49,C50,J50:N50)</f>
        <v>1.4999999999999999E-2</v>
      </c>
      <c r="E50" s="702">
        <f>ROUND(SUM(D50:D58),4)</f>
        <v>0.05</v>
      </c>
      <c r="F50" s="1675">
        <f>IF(E2="商业",SUMIF(L1:L12,G2,N1:N12),"——")</f>
        <v>0.1</v>
      </c>
      <c r="G50" s="1000">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3479</v>
      </c>
      <c r="D51" s="1002">
        <f t="shared" si="7"/>
        <v>1.0999999999999999E-2</v>
      </c>
      <c r="E51" s="703"/>
      <c r="F51" s="1675"/>
      <c r="G51" s="1000">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3479</v>
      </c>
      <c r="D52" s="1002">
        <f t="shared" si="7"/>
        <v>6.0000000000000001E-3</v>
      </c>
      <c r="E52" s="703"/>
      <c r="F52" s="1675"/>
      <c r="G52" s="1000">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3479</v>
      </c>
      <c r="D53" s="1002">
        <f t="shared" si="7"/>
        <v>2.5000000000000001E-3</v>
      </c>
      <c r="E53" s="703"/>
      <c r="F53" s="1675"/>
      <c r="G53" s="1000">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3494</v>
      </c>
      <c r="D54" s="1002">
        <f t="shared" si="7"/>
        <v>0</v>
      </c>
      <c r="E54" s="703"/>
      <c r="F54" s="1675"/>
      <c r="G54" s="1000">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3479</v>
      </c>
      <c r="D55" s="1002">
        <f t="shared" si="7"/>
        <v>2.5000000000000001E-3</v>
      </c>
      <c r="E55" s="703"/>
      <c r="F55" s="1675"/>
      <c r="G55" s="1000">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3479</v>
      </c>
      <c r="D56" s="1002">
        <f t="shared" si="7"/>
        <v>2.5000000000000001E-3</v>
      </c>
      <c r="E56" s="703"/>
      <c r="F56" s="1675"/>
      <c r="G56" s="1000">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3493</v>
      </c>
      <c r="D57" s="1002">
        <f t="shared" si="7"/>
        <v>8.0000000000000002E-3</v>
      </c>
      <c r="E57" s="703"/>
      <c r="F57" s="1675"/>
      <c r="G57" s="1000">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3479</v>
      </c>
      <c r="D58" s="1002">
        <f t="shared" si="7"/>
        <v>2.5000000000000001E-3</v>
      </c>
      <c r="E58" s="704"/>
      <c r="F58" s="1675"/>
      <c r="G58" s="1000">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02" t="s">
        <v>3294</v>
      </c>
      <c r="B103" s="3402"/>
      <c r="C103" s="3402"/>
      <c r="D103" s="3402"/>
      <c r="E103" s="3402"/>
      <c r="F103" s="3402"/>
      <c r="G103" s="3402"/>
      <c r="H103" s="3402"/>
      <c r="I103" s="3402"/>
      <c r="J103" s="3402"/>
      <c r="K103" s="1667"/>
      <c r="L103" s="1667"/>
      <c r="M103" s="1667"/>
      <c r="N103" s="1667"/>
    </row>
    <row r="104" spans="1:14">
      <c r="A104" s="3403" t="s">
        <v>3295</v>
      </c>
      <c r="B104" s="3403" t="s">
        <v>3296</v>
      </c>
      <c r="C104" s="3091" t="s">
        <v>3297</v>
      </c>
      <c r="D104" s="3092"/>
      <c r="E104" s="3092"/>
      <c r="F104" s="3092"/>
      <c r="G104" s="3092"/>
      <c r="H104" s="3092"/>
      <c r="I104" s="3092"/>
      <c r="J104" s="3093"/>
      <c r="K104" s="3094"/>
      <c r="L104" s="3094"/>
      <c r="M104" s="3094"/>
      <c r="N104" s="3094"/>
    </row>
    <row r="105" spans="1:14">
      <c r="A105" s="3403"/>
      <c r="B105" s="340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8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9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9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9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9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90"/>
      <c r="B111" s="3095" t="s">
        <v>3268</v>
      </c>
      <c r="C111" s="3096">
        <f>$I$3</f>
        <v>1</v>
      </c>
      <c r="D111" s="3096">
        <f t="shared" ref="D111:M111" si="32">$I$3</f>
        <v>1</v>
      </c>
      <c r="E111" s="3096">
        <f t="shared" si="32"/>
        <v>1</v>
      </c>
      <c r="F111" s="3096">
        <f t="shared" si="32"/>
        <v>1</v>
      </c>
      <c r="G111" s="3096">
        <f t="shared" si="32"/>
        <v>1</v>
      </c>
      <c r="H111" s="3096">
        <f t="shared" si="32"/>
        <v>1</v>
      </c>
      <c r="I111" s="3096">
        <f t="shared" si="32"/>
        <v>1</v>
      </c>
      <c r="J111" s="3096">
        <f t="shared" si="32"/>
        <v>1</v>
      </c>
      <c r="K111" s="3096">
        <f t="shared" si="32"/>
        <v>1</v>
      </c>
      <c r="L111" s="3096">
        <f t="shared" si="32"/>
        <v>1</v>
      </c>
      <c r="M111" s="3096">
        <f t="shared" si="32"/>
        <v>1</v>
      </c>
      <c r="N111" s="3096">
        <f>$I$3</f>
        <v>1</v>
      </c>
    </row>
    <row r="112" spans="1:14">
      <c r="A112" s="3391"/>
      <c r="B112" s="3095">
        <v>6</v>
      </c>
      <c r="C112" s="3090">
        <f>(-0.5556*(C111^2)-0.2719*C111+8944)*(10^(-4))</f>
        <v>0.89431725000000006</v>
      </c>
      <c r="D112" s="3090">
        <f>(-0.5556*(D111^2)-0.2719*D111+8944)*(10^(-4))</f>
        <v>0.89431725000000006</v>
      </c>
      <c r="E112" s="3090">
        <f>(-0.7912*(E111^2)-11.3794*E111+8482)*(10^(-4))</f>
        <v>0.84698294000000007</v>
      </c>
      <c r="F112" s="3090">
        <f t="shared" ref="F112:I112" si="33">(-0.7912*(F111^2)-11.3794*F111+8482)*(10^(-4))</f>
        <v>0.84698294000000007</v>
      </c>
      <c r="G112" s="3090">
        <f t="shared" si="33"/>
        <v>0.84698294000000007</v>
      </c>
      <c r="H112" s="3090">
        <f t="shared" si="33"/>
        <v>0.84698294000000007</v>
      </c>
      <c r="I112" s="3090">
        <f t="shared" si="33"/>
        <v>0.84698294000000007</v>
      </c>
      <c r="J112" s="3090">
        <f>(-0.989*(J111^2)-63.78*J111+7771)*(10^(-4))</f>
        <v>0.77062310000000001</v>
      </c>
      <c r="K112" s="3090">
        <f t="shared" ref="K112:N112" si="34">(-0.989*(K111^2)-63.78*K111+7771)*(10^(-4))</f>
        <v>0.77062310000000001</v>
      </c>
      <c r="L112" s="3090">
        <f t="shared" si="34"/>
        <v>0.77062310000000001</v>
      </c>
      <c r="M112" s="3090">
        <f t="shared" si="34"/>
        <v>0.77062310000000001</v>
      </c>
      <c r="N112" s="3090">
        <f t="shared" si="34"/>
        <v>0.77062310000000001</v>
      </c>
    </row>
    <row r="113" spans="1:14">
      <c r="A113" s="3392" t="s">
        <v>3311</v>
      </c>
      <c r="B113" s="3392"/>
      <c r="C113" s="3392"/>
      <c r="D113" s="3392"/>
      <c r="E113" s="3392"/>
      <c r="F113" s="3392"/>
      <c r="G113" s="3392"/>
      <c r="H113" s="3392"/>
      <c r="I113" s="3392"/>
      <c r="J113" s="339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t="e">
        <f>G3</f>
        <v>#DIV/0!</v>
      </c>
      <c r="C116" s="3100" t="s">
        <v>3313</v>
      </c>
      <c r="D116" s="3101" t="e">
        <f>SUMPRODUCT((A118:A122=F116)*(B117:M117=H116)*B118:M122)</f>
        <v>#DIV/0!</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t="e">
        <f>ROUND(0.9968-0.011*B116,4)</f>
        <v>#DIV/0!</v>
      </c>
      <c r="C118" s="3090" t="e">
        <f>B118</f>
        <v>#DIV/0!</v>
      </c>
      <c r="D118" s="3090" t="e">
        <f>ROUND(0.949-0.014*B116,4)</f>
        <v>#DIV/0!</v>
      </c>
      <c r="E118" s="3090" t="e">
        <f>D118</f>
        <v>#DIV/0!</v>
      </c>
      <c r="F118" s="3090" t="e">
        <f>E118</f>
        <v>#DIV/0!</v>
      </c>
      <c r="G118" s="3090" t="e">
        <f>F118</f>
        <v>#DIV/0!</v>
      </c>
      <c r="H118" s="3090" t="e">
        <f>G118</f>
        <v>#DIV/0!</v>
      </c>
      <c r="I118" s="3090" t="e">
        <f>ROUND(0.8486-0.018*B116,4)</f>
        <v>#DIV/0!</v>
      </c>
      <c r="J118" s="3090" t="e">
        <f t="shared" ref="J118:M122" si="35">I118</f>
        <v>#DIV/0!</v>
      </c>
      <c r="K118" s="3090" t="e">
        <f t="shared" si="35"/>
        <v>#DIV/0!</v>
      </c>
      <c r="L118" s="3090" t="e">
        <f t="shared" si="35"/>
        <v>#DIV/0!</v>
      </c>
      <c r="M118" s="3110" t="e">
        <f t="shared" si="35"/>
        <v>#DIV/0!</v>
      </c>
      <c r="N118" s="3098"/>
    </row>
    <row r="119" spans="1:14">
      <c r="A119" s="3058" t="s">
        <v>3329</v>
      </c>
      <c r="B119" s="3090" t="e">
        <f>ROUND(0.993-0.0112*B116,4)</f>
        <v>#DIV/0!</v>
      </c>
      <c r="C119" s="3090" t="e">
        <f>B119</f>
        <v>#DIV/0!</v>
      </c>
      <c r="D119" s="3090" t="e">
        <f>ROUND(0.9415-0.0142*B116,4)</f>
        <v>#DIV/0!</v>
      </c>
      <c r="E119" s="3090" t="e">
        <f t="shared" ref="E119:H120" si="36">D119</f>
        <v>#DIV/0!</v>
      </c>
      <c r="F119" s="3090" t="e">
        <f t="shared" si="36"/>
        <v>#DIV/0!</v>
      </c>
      <c r="G119" s="3090" t="e">
        <f t="shared" si="36"/>
        <v>#DIV/0!</v>
      </c>
      <c r="H119" s="3090" t="e">
        <f t="shared" si="36"/>
        <v>#DIV/0!</v>
      </c>
      <c r="I119" s="3090" t="e">
        <f>ROUND(0.838-0.0182*B116,4)</f>
        <v>#DIV/0!</v>
      </c>
      <c r="J119" s="3090" t="e">
        <f t="shared" si="35"/>
        <v>#DIV/0!</v>
      </c>
      <c r="K119" s="3090" t="e">
        <f t="shared" si="35"/>
        <v>#DIV/0!</v>
      </c>
      <c r="L119" s="3090" t="e">
        <f t="shared" si="35"/>
        <v>#DIV/0!</v>
      </c>
      <c r="M119" s="3110" t="e">
        <f t="shared" si="35"/>
        <v>#DIV/0!</v>
      </c>
      <c r="N119" s="3098"/>
    </row>
    <row r="120" spans="1:14">
      <c r="A120" s="3058" t="s">
        <v>3330</v>
      </c>
      <c r="B120" s="3090" t="e">
        <f>ROUND(0.9448-0.0115*B116,4)</f>
        <v>#DIV/0!</v>
      </c>
      <c r="C120" s="3090" t="e">
        <f>B120</f>
        <v>#DIV/0!</v>
      </c>
      <c r="D120" s="3090" t="e">
        <f>ROUND(0.937-0.0145*B116,4)</f>
        <v>#DIV/0!</v>
      </c>
      <c r="E120" s="3090" t="e">
        <f t="shared" si="36"/>
        <v>#DIV/0!</v>
      </c>
      <c r="F120" s="3090" t="e">
        <f t="shared" si="36"/>
        <v>#DIV/0!</v>
      </c>
      <c r="G120" s="3090" t="e">
        <f t="shared" si="36"/>
        <v>#DIV/0!</v>
      </c>
      <c r="H120" s="3090" t="e">
        <f t="shared" si="36"/>
        <v>#DIV/0!</v>
      </c>
      <c r="I120" s="3090" t="e">
        <f>ROUND(0.7965-0.0185*B116,4)</f>
        <v>#DIV/0!</v>
      </c>
      <c r="J120" s="3090" t="e">
        <f t="shared" si="35"/>
        <v>#DIV/0!</v>
      </c>
      <c r="K120" s="3090" t="e">
        <f t="shared" si="35"/>
        <v>#DIV/0!</v>
      </c>
      <c r="L120" s="3090" t="e">
        <f t="shared" si="35"/>
        <v>#DIV/0!</v>
      </c>
      <c r="M120" s="3110" t="e">
        <f t="shared" si="35"/>
        <v>#DIV/0!</v>
      </c>
      <c r="N120" s="3098"/>
    </row>
    <row r="121" spans="1:14" ht="13.5" thickBot="1">
      <c r="A121" s="3111" t="s">
        <v>3331</v>
      </c>
      <c r="B121" s="3112" t="e">
        <f>ROUND(0.7836-0.012*B116,4)</f>
        <v>#DIV/0!</v>
      </c>
      <c r="C121" s="3112" t="e">
        <f>B121</f>
        <v>#DIV/0!</v>
      </c>
      <c r="D121" s="3112" t="e">
        <f>ROUND(0.753-0.015*B116,4)</f>
        <v>#DIV/0!</v>
      </c>
      <c r="E121" s="3112" t="e">
        <f>D121</f>
        <v>#DIV/0!</v>
      </c>
      <c r="F121" s="3112" t="e">
        <f>E121</f>
        <v>#DIV/0!</v>
      </c>
      <c r="G121" s="3112" t="e">
        <f>ROUND(0.6612-0.018*B116,4)</f>
        <v>#DIV/0!</v>
      </c>
      <c r="H121" s="3112" t="e">
        <f>G121</f>
        <v>#DIV/0!</v>
      </c>
      <c r="I121" s="3112" t="e">
        <f>ROUND(0.5905-0.019*B116,4)</f>
        <v>#DIV/0!</v>
      </c>
      <c r="J121" s="3112" t="e">
        <f t="shared" si="35"/>
        <v>#DIV/0!</v>
      </c>
      <c r="K121" s="3112" t="e">
        <f t="shared" si="35"/>
        <v>#DIV/0!</v>
      </c>
      <c r="L121" s="3112" t="e">
        <f t="shared" si="35"/>
        <v>#DIV/0!</v>
      </c>
      <c r="M121" s="3113" t="e">
        <f t="shared" si="35"/>
        <v>#DIV/0!</v>
      </c>
      <c r="N121" s="3098"/>
    </row>
    <row r="122" spans="1:14">
      <c r="A122" s="3114" t="s">
        <v>2612</v>
      </c>
      <c r="B122" s="3090" t="e">
        <f>ROUND(0.9404-0.0106*B116,4)</f>
        <v>#DIV/0!</v>
      </c>
      <c r="C122" s="3090" t="e">
        <f>B122</f>
        <v>#DIV/0!</v>
      </c>
      <c r="D122" s="3090" t="e">
        <f>ROUND(0.8955-0.0135*B116,4)</f>
        <v>#DIV/0!</v>
      </c>
      <c r="E122" s="3090" t="e">
        <f t="shared" ref="E122:H122" si="37">D122</f>
        <v>#DIV/0!</v>
      </c>
      <c r="F122" s="3090" t="e">
        <f t="shared" si="37"/>
        <v>#DIV/0!</v>
      </c>
      <c r="G122" s="3090" t="e">
        <f t="shared" si="37"/>
        <v>#DIV/0!</v>
      </c>
      <c r="H122" s="3090" t="e">
        <f t="shared" si="37"/>
        <v>#DIV/0!</v>
      </c>
      <c r="I122" s="3090" t="e">
        <f>ROUND(0.7632-0.0166*B116,4)</f>
        <v>#DIV/0!</v>
      </c>
      <c r="J122" s="3090" t="e">
        <f t="shared" si="35"/>
        <v>#DIV/0!</v>
      </c>
      <c r="K122" s="3090" t="e">
        <f t="shared" si="35"/>
        <v>#DIV/0!</v>
      </c>
      <c r="L122" s="3090" t="e">
        <f t="shared" si="35"/>
        <v>#DIV/0!</v>
      </c>
      <c r="M122" s="3110" t="e">
        <f t="shared" si="35"/>
        <v>#DIV/0!</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115" zoomScaleNormal="70" zoomScaleSheetLayoutView="115"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18.95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623.6241</v>
      </c>
      <c r="C2" s="1289" t="s">
        <v>879</v>
      </c>
      <c r="D2" s="1375">
        <f ca="1">C40+J29+L46</f>
        <v>6236241</v>
      </c>
      <c r="E2" s="1295" t="s">
        <v>880</v>
      </c>
      <c r="F2" s="1296"/>
      <c r="G2" s="2479"/>
      <c r="H2" s="2469"/>
      <c r="I2" s="2469"/>
      <c r="J2" s="2469"/>
      <c r="K2" s="2470"/>
      <c r="L2" s="2469"/>
      <c r="M2" s="2469"/>
    </row>
    <row r="3" spans="1:37" ht="18" customHeight="1" thickBot="1">
      <c r="A3" s="1297" t="s">
        <v>881</v>
      </c>
      <c r="B3" s="1298">
        <f ca="1">IF(ISERROR(D2/F43),0,ROUND(D2/F43,0))</f>
        <v>31277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489384</v>
      </c>
      <c r="D5" s="1273" t="s">
        <v>889</v>
      </c>
      <c r="E5" s="1008"/>
      <c r="F5" s="1009"/>
      <c r="G5" s="1292"/>
      <c r="H5" s="291">
        <v>1</v>
      </c>
      <c r="I5" s="292" t="s">
        <v>888</v>
      </c>
      <c r="J5" s="1007">
        <f ca="1">J6+J10+J12</f>
        <v>0</v>
      </c>
      <c r="K5" s="1273" t="s">
        <v>889</v>
      </c>
      <c r="L5" s="1008"/>
      <c r="M5" s="1009"/>
    </row>
    <row r="6" spans="1:37" ht="18" customHeight="1">
      <c r="A6" s="1006" t="s">
        <v>398</v>
      </c>
      <c r="B6" s="3386" t="s">
        <v>694</v>
      </c>
      <c r="C6" s="1011">
        <f ca="1">ROUND(F6*F8*F7*(1-F9),0)</f>
        <v>488773</v>
      </c>
      <c r="D6" s="147" t="s">
        <v>2106</v>
      </c>
      <c r="E6" s="294" t="s">
        <v>696</v>
      </c>
      <c r="F6" s="295">
        <f ca="1">INDIRECT("'数据-取费表'!u"&amp;$G$1)</f>
        <v>7.3</v>
      </c>
      <c r="G6" s="1292"/>
      <c r="H6" s="1006" t="s">
        <v>398</v>
      </c>
      <c r="I6" s="3386" t="s">
        <v>694</v>
      </c>
      <c r="J6" s="293">
        <f ca="1">ROUND(M6*M8*M7*(1-M9),0)</f>
        <v>0</v>
      </c>
      <c r="K6" s="1284" t="s">
        <v>2107</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199.39</v>
      </c>
      <c r="G7" s="1292"/>
      <c r="H7" s="296"/>
      <c r="I7" s="3387"/>
      <c r="J7" s="298"/>
      <c r="K7" s="299"/>
      <c r="L7" s="294" t="s">
        <v>697</v>
      </c>
      <c r="M7" s="295">
        <f ca="1">F7</f>
        <v>199.39</v>
      </c>
    </row>
    <row r="8" spans="1:37" ht="18" customHeight="1">
      <c r="A8" s="296"/>
      <c r="B8" s="3387"/>
      <c r="C8" s="298"/>
      <c r="D8" s="299"/>
      <c r="E8" s="294" t="s">
        <v>698</v>
      </c>
      <c r="F8" s="295">
        <f ca="1">INDIRECT("'数据-取费表'!ai"&amp;$G$1)</f>
        <v>365</v>
      </c>
      <c r="G8" s="1292"/>
      <c r="H8" s="296"/>
      <c r="I8" s="3387"/>
      <c r="J8" s="298"/>
      <c r="K8" s="299"/>
      <c r="L8" s="294" t="s">
        <v>698</v>
      </c>
      <c r="M8" s="295">
        <f ca="1">INDIRECT("'数据-取费表'!ai"&amp;$G$1)</f>
        <v>365</v>
      </c>
    </row>
    <row r="9" spans="1:37" ht="18" customHeight="1">
      <c r="A9" s="296"/>
      <c r="B9" s="3388"/>
      <c r="C9" s="298"/>
      <c r="D9" s="299"/>
      <c r="E9" s="294" t="s">
        <v>699</v>
      </c>
      <c r="F9" s="304">
        <f ca="1">INDIRECT("'数据-取费表'!w"&amp;$G$1)</f>
        <v>0.08</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611</v>
      </c>
      <c r="D10" s="150" t="s">
        <v>2116</v>
      </c>
      <c r="E10" s="305" t="s">
        <v>701</v>
      </c>
      <c r="F10" s="1053" t="s">
        <v>3453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1054805</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996950</v>
      </c>
      <c r="D14" s="1257" t="s">
        <v>708</v>
      </c>
      <c r="E14" s="1255"/>
      <c r="F14" s="311"/>
      <c r="G14" s="1292"/>
      <c r="H14" s="928" t="s">
        <v>398</v>
      </c>
      <c r="I14" s="294" t="s">
        <v>709</v>
      </c>
      <c r="J14" s="21">
        <f ca="1">C29</f>
        <v>1406406</v>
      </c>
      <c r="K14" s="12"/>
      <c r="L14" s="759"/>
      <c r="M14" s="760"/>
    </row>
    <row r="15" spans="1:37" s="1304" customFormat="1" ht="18" customHeight="1" thickBot="1">
      <c r="A15" s="928" t="s">
        <v>399</v>
      </c>
      <c r="B15" s="294" t="s">
        <v>710</v>
      </c>
      <c r="C15" s="21">
        <f ca="1">ROUND(C14*F15,0)</f>
        <v>49848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1406</v>
      </c>
      <c r="K16" s="1024" t="s">
        <v>715</v>
      </c>
      <c r="L16" s="1025"/>
      <c r="M16" s="1009"/>
    </row>
    <row r="17" spans="1:37" s="1304" customFormat="1" ht="18" customHeight="1">
      <c r="A17" s="928" t="s">
        <v>681</v>
      </c>
      <c r="B17" s="294" t="s">
        <v>716</v>
      </c>
      <c r="C17" s="21">
        <f ca="1">ROUND(F17*(F43+INDIRECT("'数据-取费表'!S"&amp;$G$1)),0)</f>
        <v>39878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19939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1106615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22132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1406</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16931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-1406</v>
      </c>
      <c r="K25" s="1032" t="s">
        <v>753</v>
      </c>
      <c r="L25" s="1033"/>
      <c r="M25" s="1034"/>
    </row>
    <row r="26" spans="1:37" ht="18" customHeight="1">
      <c r="A26" s="928" t="s">
        <v>397</v>
      </c>
      <c r="B26" s="294" t="s">
        <v>754</v>
      </c>
      <c r="C26" s="21">
        <f ca="1">ROUND((C19+C20)*F26,0)</f>
        <v>169312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1406406</v>
      </c>
      <c r="D29" s="1029"/>
      <c r="E29" s="1027"/>
      <c r="F29" s="1030"/>
      <c r="G29" s="1303"/>
      <c r="H29" s="325" t="s">
        <v>396</v>
      </c>
      <c r="I29" s="326" t="s">
        <v>768</v>
      </c>
      <c r="J29" s="327">
        <f ca="1">ROUND(J26/(1+F40)^F41,0)</f>
        <v>0</v>
      </c>
      <c r="K29" s="328" t="s">
        <v>769</v>
      </c>
      <c r="L29" s="329"/>
      <c r="M29" s="330">
        <f ca="1">INDIRECT("'数据-取费表'!k"&amp;$G$1)</f>
        <v>199.39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39940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32585</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3194"/>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1406</v>
      </c>
      <c r="D36" s="1256" t="s">
        <v>771</v>
      </c>
      <c r="E36" s="294" t="s">
        <v>712</v>
      </c>
      <c r="F36" s="320">
        <f ca="1">INDIRECT("'数据-取费表'!Ak"&amp;$G$1)</f>
        <v>1E-3</v>
      </c>
      <c r="G36" s="1292"/>
      <c r="H36" s="2474"/>
      <c r="I36" s="1305"/>
      <c r="J36" s="1306"/>
      <c r="K36" s="2331"/>
      <c r="L36" s="2474"/>
      <c r="M36" s="2474"/>
    </row>
    <row r="37" spans="1:18" ht="18" customHeight="1">
      <c r="A37" s="928" t="s">
        <v>437</v>
      </c>
      <c r="B37" s="294" t="s">
        <v>742</v>
      </c>
      <c r="C37" s="21">
        <f ca="1">ROUND(C13*F37,0)</f>
        <v>1055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4894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449444</v>
      </c>
      <c r="D39" s="1032" t="s">
        <v>773</v>
      </c>
      <c r="E39" s="1033"/>
      <c r="F39" s="1034"/>
      <c r="G39" s="1292"/>
      <c r="H39" s="2474"/>
      <c r="I39" s="1305"/>
      <c r="J39" s="1306"/>
      <c r="K39" s="2472">
        <f>1406406*40%/(1+6.5%)^18.95</f>
        <v>170567.24489001388</v>
      </c>
      <c r="L39" s="2474"/>
      <c r="M39" s="2474"/>
    </row>
    <row r="40" spans="1:18" ht="18" customHeight="1">
      <c r="A40" s="291" t="s">
        <v>395</v>
      </c>
      <c r="B40" s="292" t="s">
        <v>774</v>
      </c>
      <c r="C40" s="293">
        <f ca="1">ROUND(C39*(1-((1+F42)/(1+F40))^F41)/(F40-F42),0)</f>
        <v>6065674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30421</v>
      </c>
      <c r="D43" s="328" t="s">
        <v>777</v>
      </c>
      <c r="E43" s="329" t="s">
        <v>778</v>
      </c>
      <c r="F43" s="330">
        <f ca="1">INDIRECT("'数据-取费表'!k"&amp;$G$1)</f>
        <v>199.39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f ca="1">ROUND((C68-C40)/10000,4)</f>
        <v>-609.41970000000003</v>
      </c>
      <c r="D45" s="3131" t="s">
        <v>3352</v>
      </c>
      <c r="E45" s="1307"/>
      <c r="F45" s="1307"/>
      <c r="O45" s="1310" t="s">
        <v>808</v>
      </c>
      <c r="P45" s="1366"/>
      <c r="Q45" s="1366"/>
      <c r="R45" s="1366"/>
    </row>
    <row r="46" spans="1:18" s="1292" customFormat="1" ht="13.5" thickBot="1">
      <c r="A46" s="1311" t="s">
        <v>809</v>
      </c>
      <c r="C46" s="1312">
        <f ca="1">ROUND(C45,0)</f>
        <v>-609</v>
      </c>
      <c r="D46" s="1313" t="str">
        <f>C2</f>
        <v>万元</v>
      </c>
      <c r="I46" s="1314" t="s">
        <v>810</v>
      </c>
      <c r="J46" s="1315"/>
      <c r="K46" s="1316"/>
      <c r="L46" s="1317">
        <f ca="1">IF(M47="住宅",0,IF(L48&gt;J51,L60,J60))</f>
        <v>170567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3454</v>
      </c>
      <c r="K47" s="1323" t="s">
        <v>816</v>
      </c>
      <c r="L47" s="1324">
        <f ca="1">INDIRECT("'数据-取费表'!d"&amp;$G$1)</f>
        <v>40</v>
      </c>
      <c r="M47" s="1288" t="str">
        <f>IF(ISNUMBER(FIND("住宅",C1)),"住宅","非住宅")</f>
        <v>非住宅</v>
      </c>
      <c r="O47" s="1325" t="s">
        <v>403</v>
      </c>
      <c r="P47" s="1326" t="s">
        <v>817</v>
      </c>
      <c r="Q47" s="1327">
        <f ca="1">C40+J29</f>
        <v>6065674</v>
      </c>
      <c r="R47" s="1327" t="s">
        <v>818</v>
      </c>
    </row>
    <row r="48" spans="1:18" s="1292" customFormat="1" ht="28.5" thickBot="1">
      <c r="A48" s="1047" t="s">
        <v>438</v>
      </c>
      <c r="B48" s="292" t="s">
        <v>692</v>
      </c>
      <c r="C48" s="1268">
        <f ca="1">C49+C53+C55</f>
        <v>0</v>
      </c>
      <c r="D48" s="1049"/>
      <c r="E48" s="1050"/>
      <c r="F48" s="908"/>
      <c r="G48" s="681"/>
      <c r="H48" s="682"/>
      <c r="I48" s="1328" t="s">
        <v>819</v>
      </c>
      <c r="J48" s="1329" t="s">
        <v>3455</v>
      </c>
      <c r="K48" s="1330" t="s">
        <v>820</v>
      </c>
      <c r="L48" s="1331">
        <f ca="1">INDIRECT("'数据-取费表'!f"&amp;$G$1)</f>
        <v>18.95</v>
      </c>
      <c r="O48" s="1325" t="s">
        <v>404</v>
      </c>
      <c r="P48" s="1326" t="s">
        <v>821</v>
      </c>
      <c r="Q48" s="1327">
        <f ca="1">J60</f>
        <v>170567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1406406</v>
      </c>
      <c r="R49" s="1327" t="s">
        <v>818</v>
      </c>
    </row>
    <row r="50" spans="1:18" s="1292" customFormat="1" ht="13.5" thickBot="1">
      <c r="A50" s="922"/>
      <c r="B50" s="925"/>
      <c r="C50" s="926"/>
      <c r="D50" s="899"/>
      <c r="E50" s="993" t="s">
        <v>697</v>
      </c>
      <c r="F50" s="994">
        <f ca="1">F7</f>
        <v>199.39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6196303</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18.95</v>
      </c>
      <c r="K53" s="3384" t="s">
        <v>837</v>
      </c>
      <c r="L53" s="3385"/>
      <c r="O53" s="1325" t="s">
        <v>409</v>
      </c>
      <c r="P53" s="1326" t="s">
        <v>838</v>
      </c>
      <c r="Q53" s="1327">
        <f ca="1">Q47+Q48</f>
        <v>6236241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0.35099999999999998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1054805</v>
      </c>
      <c r="D56" s="1352"/>
      <c r="E56" s="1353"/>
      <c r="F56" s="1345"/>
      <c r="I56" s="1354" t="s">
        <v>842</v>
      </c>
      <c r="J56" s="1355" t="s">
        <v>3418</v>
      </c>
      <c r="K56" s="1328" t="s">
        <v>843</v>
      </c>
      <c r="L56" s="1331" t="str">
        <f ca="1">IF(L48&lt;J51,"——",L48-J51)</f>
        <v>——</v>
      </c>
      <c r="O56" s="1325" t="s">
        <v>403</v>
      </c>
      <c r="P56" s="1326" t="s">
        <v>817</v>
      </c>
      <c r="Q56" s="1327">
        <f ca="1">C40+J29</f>
        <v>6065674</v>
      </c>
      <c r="R56" s="1327" t="s">
        <v>818</v>
      </c>
    </row>
    <row r="57" spans="1:18" s="1292" customFormat="1" ht="24.75" thickBot="1">
      <c r="A57" s="1356"/>
      <c r="B57" s="896" t="s">
        <v>767</v>
      </c>
      <c r="C57" s="230">
        <f ca="1">C29</f>
        <v>1406406</v>
      </c>
      <c r="D57" s="1357"/>
      <c r="E57" s="1358"/>
      <c r="F57" s="1359"/>
      <c r="I57" s="1360" t="s">
        <v>844</v>
      </c>
      <c r="J57" s="1361">
        <f ca="1">IF(OR(M47="住宅",J51&lt;L48,J56="是"),"——",J51-L48)</f>
        <v>21.05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2461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562562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170567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6065674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1406</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1055</v>
      </c>
      <c r="D65" s="910" t="s">
        <v>743</v>
      </c>
      <c r="E65" s="896" t="s">
        <v>744</v>
      </c>
      <c r="F65" s="321">
        <f t="shared" ca="1" si="0"/>
        <v>1E-3</v>
      </c>
      <c r="I65" s="1367" t="s">
        <v>867</v>
      </c>
      <c r="J65" s="610">
        <v>40</v>
      </c>
      <c r="K65" s="610">
        <v>30</v>
      </c>
      <c r="L65" s="610">
        <v>50</v>
      </c>
      <c r="M65" s="1369">
        <v>0.02</v>
      </c>
      <c r="O65" s="1325" t="s">
        <v>403</v>
      </c>
      <c r="P65" s="1326" t="s">
        <v>868</v>
      </c>
      <c r="Q65" s="1327">
        <f ca="1">C40+J29</f>
        <v>6065674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-2461</v>
      </c>
      <c r="D67" s="909" t="s">
        <v>753</v>
      </c>
      <c r="E67" s="914"/>
      <c r="F67" s="915"/>
      <c r="O67" s="1334" t="s">
        <v>405</v>
      </c>
      <c r="P67" s="1326" t="s">
        <v>850</v>
      </c>
      <c r="Q67" s="1370">
        <f ca="1">L51</f>
        <v>6196303</v>
      </c>
      <c r="R67" s="1327" t="s">
        <v>870</v>
      </c>
    </row>
    <row r="68" spans="1:18" s="1292" customFormat="1" ht="16.5" thickBot="1">
      <c r="A68" s="893" t="s">
        <v>395</v>
      </c>
      <c r="B68" s="894" t="s">
        <v>774</v>
      </c>
      <c r="C68" s="293">
        <f ca="1">ROUND(C67*(1-((1+F70)/(1+F68))^F69)/(F68-F70),0)</f>
        <v>-28523</v>
      </c>
      <c r="D68" s="911" t="s">
        <v>758</v>
      </c>
      <c r="E68" s="896" t="s">
        <v>759</v>
      </c>
      <c r="F68" s="304">
        <f ca="1">F40</f>
        <v>5.5E-2</v>
      </c>
      <c r="O68" s="1334" t="s">
        <v>406</v>
      </c>
      <c r="P68" s="1371" t="s">
        <v>871</v>
      </c>
      <c r="Q68" s="1327">
        <f ca="1">ROUND(Q69-Q70*Q71,0)</f>
        <v>386156</v>
      </c>
      <c r="R68" s="1327" t="s">
        <v>414</v>
      </c>
    </row>
    <row r="69" spans="1:18" s="1292" customFormat="1" ht="13.5" thickBot="1">
      <c r="A69" s="897"/>
      <c r="B69" s="898"/>
      <c r="C69" s="298"/>
      <c r="D69" s="916" t="s">
        <v>762</v>
      </c>
      <c r="E69" s="896" t="s">
        <v>763</v>
      </c>
      <c r="F69" s="324">
        <f ca="1">F41</f>
        <v>18.95</v>
      </c>
      <c r="O69" s="1334" t="s">
        <v>411</v>
      </c>
      <c r="P69" s="1371" t="s">
        <v>872</v>
      </c>
      <c r="Q69" s="1327">
        <f ca="1">C39</f>
        <v>449444</v>
      </c>
      <c r="R69" s="1327" t="s">
        <v>818</v>
      </c>
    </row>
    <row r="70" spans="1:18" s="1292" customFormat="1" ht="13.5" thickBot="1">
      <c r="A70" s="900"/>
      <c r="B70" s="901"/>
      <c r="C70" s="302"/>
      <c r="D70" s="912"/>
      <c r="E70" s="896" t="s">
        <v>766</v>
      </c>
      <c r="F70" s="991"/>
      <c r="O70" s="1334" t="s">
        <v>412</v>
      </c>
      <c r="P70" s="1371" t="s">
        <v>873</v>
      </c>
      <c r="Q70" s="1327">
        <f ca="1">C13</f>
        <v>1054805</v>
      </c>
      <c r="R70" s="1327" t="s">
        <v>818</v>
      </c>
    </row>
    <row r="71" spans="1:18" s="1292" customFormat="1" ht="13.5" thickBot="1">
      <c r="A71" s="917" t="s">
        <v>396</v>
      </c>
      <c r="B71" s="918" t="s">
        <v>776</v>
      </c>
      <c r="C71" s="327">
        <f ca="1">ROUND(C68/F71,0)</f>
        <v>-143</v>
      </c>
      <c r="D71" s="919" t="s">
        <v>777</v>
      </c>
      <c r="E71" s="920" t="s">
        <v>778</v>
      </c>
      <c r="F71" s="330">
        <f ca="1">F43</f>
        <v>199.39</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63288</v>
      </c>
      <c r="D75" s="1292"/>
      <c r="E75" s="1292"/>
      <c r="F75" s="1292"/>
      <c r="K75" s="1309"/>
      <c r="L75" s="1292"/>
      <c r="O75" s="1325" t="s">
        <v>409</v>
      </c>
      <c r="P75" s="1326" t="s">
        <v>838</v>
      </c>
      <c r="Q75" s="1327">
        <f ca="1">Q65+Q66</f>
        <v>6065674</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0.85899999999999999</v>
      </c>
    </row>
    <row r="80" spans="1:18">
      <c r="B80" s="331" t="s">
        <v>800</v>
      </c>
      <c r="C80" s="266">
        <f ca="1">ROUND(C75/C39,3)</f>
        <v>0.14099999999999999</v>
      </c>
    </row>
    <row r="81" spans="2:3">
      <c r="B81" s="262" t="s">
        <v>801</v>
      </c>
      <c r="C81" s="230"/>
    </row>
    <row r="82" spans="2:3">
      <c r="B82" s="265" t="s">
        <v>802</v>
      </c>
      <c r="C82" s="267">
        <f ca="1">1-C83</f>
        <v>0.82600000000000007</v>
      </c>
    </row>
    <row r="83" spans="2:3">
      <c r="B83" s="265" t="s">
        <v>803</v>
      </c>
      <c r="C83" s="266">
        <f ca="1">ROUND(C13/C40,3)</f>
        <v>0.17399999999999999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408" t="s">
        <v>2317</v>
      </c>
      <c r="K2" s="3409"/>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0" t="s">
        <v>2327</v>
      </c>
      <c r="K3" s="3411"/>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0" t="s">
        <v>2329</v>
      </c>
      <c r="K4" s="3411"/>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12" t="s">
        <v>2333</v>
      </c>
      <c r="B6" s="3413"/>
      <c r="C6" s="3414"/>
      <c r="D6" s="2622"/>
      <c r="E6" s="2623"/>
      <c r="F6" s="2624"/>
      <c r="G6" s="2625"/>
      <c r="H6" s="2600"/>
      <c r="I6" s="2601"/>
      <c r="J6" s="3415">
        <v>1</v>
      </c>
      <c r="K6" s="341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5"/>
      <c r="K7" s="341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19" t="s">
        <v>2347</v>
      </c>
      <c r="C8" s="3420"/>
      <c r="D8" s="2641" t="s">
        <v>2348</v>
      </c>
      <c r="E8" s="2642" t="s">
        <v>2349</v>
      </c>
      <c r="F8" s="2643" t="s">
        <v>2350</v>
      </c>
      <c r="G8" s="2644"/>
      <c r="H8" s="2600"/>
      <c r="I8" s="2601"/>
      <c r="J8" s="3415"/>
      <c r="K8" s="341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19" t="s">
        <v>2353</v>
      </c>
      <c r="C9" s="3420"/>
      <c r="D9" s="2641">
        <f>ROUND(D6*E9,0)</f>
        <v>0</v>
      </c>
      <c r="E9" s="2645"/>
      <c r="F9" s="2646" t="s">
        <v>2354</v>
      </c>
      <c r="G9" s="2625"/>
      <c r="H9" s="2600"/>
      <c r="I9" s="2601"/>
      <c r="J9" s="3415"/>
      <c r="K9" s="3417"/>
      <c r="L9" s="2635" t="s">
        <v>2355</v>
      </c>
      <c r="M9" s="2636"/>
      <c r="N9" s="2612"/>
      <c r="O9" s="2637"/>
      <c r="P9" s="2637"/>
      <c r="Q9" s="2638">
        <v>365</v>
      </c>
      <c r="R9" s="2639">
        <f t="shared" si="0"/>
        <v>0</v>
      </c>
      <c r="S9" s="2593"/>
      <c r="T9" s="2593"/>
      <c r="U9" s="2593"/>
      <c r="V9" s="2601"/>
    </row>
    <row r="10" spans="1:22" s="2605" customFormat="1" ht="13.15" customHeight="1">
      <c r="A10" s="2640">
        <v>2</v>
      </c>
      <c r="B10" s="3419" t="s">
        <v>2356</v>
      </c>
      <c r="C10" s="3420"/>
      <c r="D10" s="2641">
        <f>ROUND(D6*E10,0)</f>
        <v>0</v>
      </c>
      <c r="E10" s="2645"/>
      <c r="F10" s="2646" t="s">
        <v>2357</v>
      </c>
      <c r="G10" s="2625"/>
      <c r="H10" s="2600"/>
      <c r="I10" s="2601"/>
      <c r="J10" s="3415"/>
      <c r="K10" s="3417"/>
      <c r="L10" s="2635" t="s">
        <v>2358</v>
      </c>
      <c r="M10" s="2636"/>
      <c r="N10" s="2612"/>
      <c r="O10" s="2637"/>
      <c r="P10" s="2637"/>
      <c r="Q10" s="2638">
        <v>365</v>
      </c>
      <c r="R10" s="2639">
        <f t="shared" si="0"/>
        <v>0</v>
      </c>
      <c r="S10" s="2593"/>
      <c r="T10" s="2593"/>
      <c r="U10" s="2593"/>
      <c r="V10" s="2601"/>
    </row>
    <row r="11" spans="1:22" s="2605" customFormat="1" ht="13.15" customHeight="1">
      <c r="A11" s="2640">
        <v>3</v>
      </c>
      <c r="B11" s="3419" t="s">
        <v>2359</v>
      </c>
      <c r="C11" s="3420"/>
      <c r="D11" s="2641">
        <f>D12+D14+D15+D16</f>
        <v>0</v>
      </c>
      <c r="E11" s="2647" t="e">
        <f>D11/D6</f>
        <v>#DIV/0!</v>
      </c>
      <c r="F11" s="2643"/>
      <c r="G11" s="2644"/>
      <c r="H11" s="2600"/>
      <c r="I11" s="2601"/>
      <c r="J11" s="3415"/>
      <c r="K11" s="341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1" t="s">
        <v>2362</v>
      </c>
      <c r="C12" s="3422"/>
      <c r="D12" s="2649">
        <f>ROUND(D13*1.2%*(1-30%),0)</f>
        <v>0</v>
      </c>
      <c r="E12" s="2650">
        <v>1.2E-2</v>
      </c>
      <c r="F12" s="2643" t="s">
        <v>2363</v>
      </c>
      <c r="G12" s="2644"/>
      <c r="H12" s="2600"/>
      <c r="I12" s="2601"/>
      <c r="J12" s="3415"/>
      <c r="K12" s="341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5"/>
      <c r="K13" s="341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1" t="s">
        <v>2368</v>
      </c>
      <c r="C14" s="3422"/>
      <c r="D14" s="2649">
        <f>ROUND(E14*B5/10000,0)</f>
        <v>0</v>
      </c>
      <c r="E14" s="2638"/>
      <c r="F14" s="2643" t="s">
        <v>2369</v>
      </c>
      <c r="G14" s="2644"/>
      <c r="H14" s="2600"/>
      <c r="I14" s="2601"/>
      <c r="J14" s="3415"/>
      <c r="K14" s="341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1" t="s">
        <v>2372</v>
      </c>
      <c r="C15" s="3422"/>
      <c r="D15" s="2649">
        <f>ROUND(D6*E15,0)</f>
        <v>0</v>
      </c>
      <c r="E15" s="2650">
        <v>5.5E-2</v>
      </c>
      <c r="F15" s="2643" t="s">
        <v>2373</v>
      </c>
      <c r="G15" s="2625"/>
      <c r="H15" s="2600"/>
      <c r="I15" s="2601"/>
      <c r="J15" s="3415">
        <v>2</v>
      </c>
      <c r="K15" s="341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1" t="s">
        <v>2381</v>
      </c>
      <c r="C16" s="3422"/>
      <c r="D16" s="2660">
        <f>D6*E16</f>
        <v>0</v>
      </c>
      <c r="E16" s="2661"/>
      <c r="F16" s="2646" t="s">
        <v>2382</v>
      </c>
      <c r="G16" s="2625"/>
      <c r="H16" s="2600"/>
      <c r="I16" s="2601"/>
      <c r="J16" s="3415"/>
      <c r="K16" s="341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3" t="s">
        <v>2384</v>
      </c>
      <c r="C17" s="3424"/>
      <c r="D17" s="2663">
        <f>ROUND(D6*E17,0)</f>
        <v>0</v>
      </c>
      <c r="E17" s="2664"/>
      <c r="F17" s="2665" t="s">
        <v>2385</v>
      </c>
      <c r="G17" s="2625"/>
      <c r="H17" s="2600"/>
      <c r="I17" s="2601"/>
      <c r="J17" s="3415"/>
      <c r="K17" s="341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5"/>
      <c r="K18" s="341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5"/>
      <c r="K19" s="341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5">
        <v>3</v>
      </c>
      <c r="K20" s="341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5"/>
      <c r="K21" s="341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5"/>
      <c r="K22" s="341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5"/>
      <c r="K23" s="341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5"/>
      <c r="K24" s="341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08" t="s">
        <v>2317</v>
      </c>
      <c r="K32" s="3409"/>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0" t="s">
        <v>2327</v>
      </c>
      <c r="K33" s="3411"/>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0" t="s">
        <v>2329</v>
      </c>
      <c r="K34" s="341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5">
        <v>1</v>
      </c>
      <c r="K36" s="341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5"/>
      <c r="K37" s="341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5"/>
      <c r="K38" s="341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5"/>
      <c r="K39" s="341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5"/>
      <c r="K40" s="341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623.6241</v>
      </c>
      <c r="C2" s="1729" t="s">
        <v>1651</v>
      </c>
      <c r="D2" s="1730" t="s">
        <v>1652</v>
      </c>
      <c r="E2" s="2393">
        <f>SUM(E6:E13)</f>
        <v>199.39</v>
      </c>
      <c r="F2" s="2480"/>
      <c r="G2" s="459"/>
      <c r="H2" s="459"/>
      <c r="I2" s="459"/>
      <c r="J2" s="459"/>
      <c r="K2" s="459"/>
      <c r="L2" s="459"/>
      <c r="M2" s="459"/>
      <c r="N2" s="459"/>
      <c r="O2" s="459"/>
      <c r="P2" s="459"/>
      <c r="Q2" s="459"/>
      <c r="R2" s="459"/>
      <c r="S2" s="459"/>
    </row>
    <row r="3" spans="1:22" ht="15.75">
      <c r="A3" s="1728" t="s">
        <v>686</v>
      </c>
      <c r="B3" s="2387">
        <f ca="1">ROUND(B2*10000/E2,0)</f>
        <v>31277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7" t="s">
        <v>1654</v>
      </c>
      <c r="C5" s="342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623.6241</v>
      </c>
      <c r="C6" s="1729" t="s">
        <v>1651</v>
      </c>
      <c r="D6" s="2480"/>
      <c r="E6" s="2392">
        <f>IF(OR(A6=0,F6="否"),0,'数据-取费表'!K6+'数据-取费表'!S6)</f>
        <v>199.39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199.39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7" t="s">
        <v>1667</v>
      </c>
      <c r="D4" s="3448"/>
      <c r="E4" s="3449" t="s">
        <v>1668</v>
      </c>
      <c r="F4" s="3450"/>
      <c r="G4" s="3447" t="s">
        <v>1669</v>
      </c>
      <c r="H4" s="3448"/>
      <c r="I4" s="3447" t="s">
        <v>1670</v>
      </c>
      <c r="J4" s="3448"/>
      <c r="K4" s="1744" t="s">
        <v>1671</v>
      </c>
      <c r="L4" s="2487"/>
      <c r="M4" s="2488"/>
      <c r="N4" s="2488"/>
      <c r="O4" s="2488"/>
      <c r="P4" s="3451" t="s">
        <v>1672</v>
      </c>
      <c r="Q4" s="3452"/>
      <c r="R4" s="3434" t="s">
        <v>1668</v>
      </c>
      <c r="S4" s="3435"/>
      <c r="T4" s="3434" t="s">
        <v>1669</v>
      </c>
      <c r="U4" s="3435"/>
      <c r="V4" s="3459" t="s">
        <v>1670</v>
      </c>
      <c r="W4" s="3459"/>
      <c r="X4" s="1265"/>
      <c r="Y4" s="3434" t="s">
        <v>1672</v>
      </c>
      <c r="Z4" s="3435"/>
      <c r="AA4" s="3429" t="s">
        <v>1668</v>
      </c>
      <c r="AB4" s="3429" t="s">
        <v>1669</v>
      </c>
      <c r="AC4" s="3429" t="s">
        <v>1670</v>
      </c>
    </row>
    <row r="5" spans="1:29" ht="15">
      <c r="A5" s="348"/>
      <c r="B5" s="349"/>
      <c r="C5" s="3440" t="s">
        <v>1673</v>
      </c>
      <c r="D5" s="3441"/>
      <c r="E5" s="3438" t="s">
        <v>1674</v>
      </c>
      <c r="F5" s="3439"/>
      <c r="G5" s="3440" t="s">
        <v>1675</v>
      </c>
      <c r="H5" s="3441"/>
      <c r="I5" s="3440" t="s">
        <v>1676</v>
      </c>
      <c r="J5" s="3441"/>
      <c r="K5" s="1745"/>
      <c r="L5" s="2487"/>
      <c r="M5" s="2488"/>
      <c r="N5" s="2488"/>
      <c r="O5" s="2488"/>
      <c r="P5" s="3453"/>
      <c r="Q5" s="3454"/>
      <c r="R5" s="3436"/>
      <c r="S5" s="3437"/>
      <c r="T5" s="3436"/>
      <c r="U5" s="3437"/>
      <c r="V5" s="3459"/>
      <c r="W5" s="3459"/>
      <c r="X5" s="1265"/>
      <c r="Y5" s="3436"/>
      <c r="Z5" s="3437"/>
      <c r="AA5" s="3430"/>
      <c r="AB5" s="3430"/>
      <c r="AC5" s="3430"/>
    </row>
    <row r="6" spans="1:29" ht="15.75" thickBot="1">
      <c r="A6" s="350"/>
      <c r="B6" s="351"/>
      <c r="C6" s="3442" t="s">
        <v>1677</v>
      </c>
      <c r="D6" s="3443"/>
      <c r="E6" s="3444" t="s">
        <v>1677</v>
      </c>
      <c r="F6" s="3445"/>
      <c r="G6" s="3442" t="s">
        <v>1677</v>
      </c>
      <c r="H6" s="3443"/>
      <c r="I6" s="3442" t="s">
        <v>1677</v>
      </c>
      <c r="J6" s="3443"/>
      <c r="K6" s="1745" t="s">
        <v>1678</v>
      </c>
      <c r="L6" s="2487"/>
      <c r="M6" s="2488"/>
      <c r="N6" s="2488"/>
      <c r="O6" s="2488"/>
      <c r="P6" s="3455"/>
      <c r="Q6" s="3456"/>
      <c r="R6" s="3436"/>
      <c r="S6" s="3437"/>
      <c r="T6" s="3457"/>
      <c r="U6" s="3458"/>
      <c r="V6" s="3459"/>
      <c r="W6" s="3459"/>
      <c r="X6" s="1265"/>
      <c r="Y6" s="3457"/>
      <c r="Z6" s="3458"/>
      <c r="AA6" s="3431"/>
      <c r="AB6" s="3431"/>
      <c r="AC6" s="3431"/>
    </row>
    <row r="7" spans="1:29" s="102" customFormat="1" ht="15.75" thickBot="1">
      <c r="A7" s="352" t="s">
        <v>1679</v>
      </c>
      <c r="B7" s="353"/>
      <c r="C7" s="354">
        <f>'数据-取费表'!B2</f>
        <v>45860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2" t="s">
        <v>1680</v>
      </c>
      <c r="Q7" s="3460"/>
      <c r="R7" s="664" t="s">
        <v>20</v>
      </c>
      <c r="S7" s="665">
        <f t="shared" ref="S7:S15" si="0">F7</f>
        <v>0</v>
      </c>
      <c r="T7" s="664" t="s">
        <v>20</v>
      </c>
      <c r="U7" s="665">
        <f t="shared" ref="U7:U15" si="1">H7</f>
        <v>0</v>
      </c>
      <c r="V7" s="664" t="s">
        <v>20</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2" t="s">
        <v>1683</v>
      </c>
      <c r="Q8" s="3433"/>
      <c r="R8" s="664" t="s">
        <v>20</v>
      </c>
      <c r="S8" s="665">
        <f t="shared" si="0"/>
        <v>100</v>
      </c>
      <c r="T8" s="664" t="s">
        <v>20</v>
      </c>
      <c r="U8" s="665">
        <f t="shared" si="1"/>
        <v>100</v>
      </c>
      <c r="V8" s="664" t="s">
        <v>20</v>
      </c>
      <c r="W8" s="665">
        <f t="shared" si="2"/>
        <v>100</v>
      </c>
      <c r="X8" s="666"/>
      <c r="Y8" s="3432" t="s">
        <v>1683</v>
      </c>
      <c r="Z8" s="343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6"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6"/>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46"/>
      <c r="Q11" s="530" t="str">
        <f t="shared" si="6"/>
        <v>容积率</v>
      </c>
      <c r="R11" s="664" t="s">
        <v>18</v>
      </c>
      <c r="S11" s="665" t="e">
        <f t="shared" si="0"/>
        <v>#N/A</v>
      </c>
      <c r="T11" s="664" t="s">
        <v>18</v>
      </c>
      <c r="U11" s="665" t="e">
        <f t="shared" si="1"/>
        <v>#N/A</v>
      </c>
      <c r="V11" s="664" t="s">
        <v>18</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6"/>
      <c r="Q12" s="530">
        <f t="shared" si="6"/>
        <v>111</v>
      </c>
      <c r="R12" s="664" t="s">
        <v>18</v>
      </c>
      <c r="S12" s="665">
        <f t="shared" si="0"/>
        <v>100</v>
      </c>
      <c r="T12" s="664" t="s">
        <v>18</v>
      </c>
      <c r="U12" s="665">
        <f t="shared" si="1"/>
        <v>100</v>
      </c>
      <c r="V12" s="664" t="s">
        <v>18</v>
      </c>
      <c r="W12" s="665">
        <f t="shared" si="2"/>
        <v>100</v>
      </c>
      <c r="X12" s="666"/>
      <c r="Y12" s="33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6"/>
      <c r="Q13" s="530">
        <f t="shared" si="6"/>
        <v>111</v>
      </c>
      <c r="R13" s="664" t="s">
        <v>18</v>
      </c>
      <c r="S13" s="665">
        <f t="shared" si="0"/>
        <v>100</v>
      </c>
      <c r="T13" s="664" t="s">
        <v>18</v>
      </c>
      <c r="U13" s="665">
        <f t="shared" si="1"/>
        <v>100</v>
      </c>
      <c r="V13" s="664" t="s">
        <v>18</v>
      </c>
      <c r="W13" s="665">
        <f t="shared" si="2"/>
        <v>100</v>
      </c>
      <c r="X13" s="666"/>
      <c r="Y13" s="335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6"/>
      <c r="Q14" s="530">
        <f t="shared" si="6"/>
        <v>111</v>
      </c>
      <c r="R14" s="664" t="s">
        <v>18</v>
      </c>
      <c r="S14" s="665">
        <f t="shared" si="0"/>
        <v>100</v>
      </c>
      <c r="T14" s="664" t="s">
        <v>18</v>
      </c>
      <c r="U14" s="665">
        <f t="shared" si="1"/>
        <v>100</v>
      </c>
      <c r="V14" s="664" t="s">
        <v>18</v>
      </c>
      <c r="W14" s="665">
        <f t="shared" si="2"/>
        <v>100</v>
      </c>
      <c r="X14" s="666"/>
      <c r="Y14" s="335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72" t="s">
        <v>1691</v>
      </c>
      <c r="Q15" s="1263" t="str">
        <f t="shared" si="6"/>
        <v>居住社区成熟度</v>
      </c>
      <c r="R15" s="667" t="s">
        <v>18</v>
      </c>
      <c r="S15" s="668">
        <f t="shared" si="0"/>
        <v>100</v>
      </c>
      <c r="T15" s="667" t="s">
        <v>18</v>
      </c>
      <c r="U15" s="668">
        <f t="shared" si="1"/>
        <v>100</v>
      </c>
      <c r="V15" s="667" t="s">
        <v>18</v>
      </c>
      <c r="W15" s="668">
        <f t="shared" si="2"/>
        <v>100</v>
      </c>
      <c r="X15" s="1265"/>
      <c r="Y15" s="346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73"/>
      <c r="Q16" s="1263"/>
      <c r="R16" s="667"/>
      <c r="S16" s="668"/>
      <c r="T16" s="667"/>
      <c r="U16" s="668"/>
      <c r="V16" s="667"/>
      <c r="W16" s="668"/>
      <c r="X16" s="1265"/>
      <c r="Y16" s="346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73"/>
      <c r="Q17" s="1263" t="str">
        <f>B17</f>
        <v>交通便捷度</v>
      </c>
      <c r="R17" s="667" t="s">
        <v>18</v>
      </c>
      <c r="S17" s="668">
        <f>F17</f>
        <v>100</v>
      </c>
      <c r="T17" s="667" t="s">
        <v>18</v>
      </c>
      <c r="U17" s="668">
        <f>H17</f>
        <v>100</v>
      </c>
      <c r="V17" s="667" t="s">
        <v>18</v>
      </c>
      <c r="W17" s="668">
        <f>J17</f>
        <v>100</v>
      </c>
      <c r="X17" s="1265"/>
      <c r="Y17" s="346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73"/>
      <c r="Q18" s="1263"/>
      <c r="R18" s="667"/>
      <c r="S18" s="668"/>
      <c r="T18" s="667"/>
      <c r="U18" s="668"/>
      <c r="V18" s="667"/>
      <c r="W18" s="668"/>
      <c r="X18" s="1265"/>
      <c r="Y18" s="346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73"/>
      <c r="Q19" s="1263" t="str">
        <f>B19</f>
        <v>公共配套设施</v>
      </c>
      <c r="R19" s="667" t="s">
        <v>18</v>
      </c>
      <c r="S19" s="668">
        <f>F19</f>
        <v>100</v>
      </c>
      <c r="T19" s="667" t="s">
        <v>18</v>
      </c>
      <c r="U19" s="668">
        <f>H19</f>
        <v>100</v>
      </c>
      <c r="V19" s="667" t="s">
        <v>18</v>
      </c>
      <c r="W19" s="668">
        <f>J19</f>
        <v>100</v>
      </c>
      <c r="X19" s="1265"/>
      <c r="Y19" s="346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73"/>
      <c r="Q20" s="1263"/>
      <c r="R20" s="667"/>
      <c r="S20" s="668"/>
      <c r="T20" s="667"/>
      <c r="U20" s="668"/>
      <c r="V20" s="667"/>
      <c r="W20" s="668"/>
      <c r="X20" s="1265"/>
      <c r="Y20" s="346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73"/>
      <c r="Q21" s="1263" t="str">
        <f>B21</f>
        <v>基础设施水平</v>
      </c>
      <c r="R21" s="667" t="s">
        <v>14</v>
      </c>
      <c r="S21" s="668">
        <f>F21</f>
        <v>100</v>
      </c>
      <c r="T21" s="667" t="s">
        <v>14</v>
      </c>
      <c r="U21" s="668">
        <f>H21</f>
        <v>100</v>
      </c>
      <c r="V21" s="667" t="s">
        <v>14</v>
      </c>
      <c r="W21" s="668">
        <f>J21</f>
        <v>100</v>
      </c>
      <c r="X21" s="1265"/>
      <c r="Y21" s="34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73"/>
      <c r="Q22" s="1263"/>
      <c r="R22" s="667"/>
      <c r="S22" s="668"/>
      <c r="T22" s="667"/>
      <c r="U22" s="668"/>
      <c r="V22" s="667"/>
      <c r="W22" s="668"/>
      <c r="X22" s="1265"/>
      <c r="Y22" s="346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73"/>
      <c r="Q23" s="1263" t="str">
        <f>B23</f>
        <v>自然及人文环境</v>
      </c>
      <c r="R23" s="667" t="s">
        <v>18</v>
      </c>
      <c r="S23" s="668">
        <f>F23</f>
        <v>100</v>
      </c>
      <c r="T23" s="667" t="s">
        <v>18</v>
      </c>
      <c r="U23" s="668">
        <f>H23</f>
        <v>100</v>
      </c>
      <c r="V23" s="667" t="s">
        <v>18</v>
      </c>
      <c r="W23" s="668">
        <f>J23</f>
        <v>100</v>
      </c>
      <c r="X23" s="1265"/>
      <c r="Y23" s="346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73"/>
      <c r="Q24" s="1263"/>
      <c r="R24" s="667"/>
      <c r="S24" s="668"/>
      <c r="T24" s="667"/>
      <c r="U24" s="668"/>
      <c r="V24" s="667"/>
      <c r="W24" s="668"/>
      <c r="X24" s="1265"/>
      <c r="Y24" s="346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7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73"/>
      <c r="Q26" s="1263" t="str">
        <f t="shared" si="11"/>
        <v>朝向</v>
      </c>
      <c r="R26" s="667" t="s">
        <v>18</v>
      </c>
      <c r="S26" s="668">
        <f t="shared" si="12"/>
        <v>100</v>
      </c>
      <c r="T26" s="667" t="s">
        <v>18</v>
      </c>
      <c r="U26" s="668">
        <f t="shared" si="13"/>
        <v>100</v>
      </c>
      <c r="V26" s="667" t="s">
        <v>18</v>
      </c>
      <c r="W26" s="668">
        <f t="shared" si="14"/>
        <v>100</v>
      </c>
      <c r="X26" s="1265"/>
      <c r="Y26" s="346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73"/>
      <c r="Q27" s="530">
        <f t="shared" si="11"/>
        <v>111</v>
      </c>
      <c r="R27" s="664" t="s">
        <v>18</v>
      </c>
      <c r="S27" s="665">
        <f t="shared" si="12"/>
        <v>100</v>
      </c>
      <c r="T27" s="664" t="s">
        <v>18</v>
      </c>
      <c r="U27" s="665">
        <f t="shared" si="13"/>
        <v>100</v>
      </c>
      <c r="V27" s="664" t="s">
        <v>18</v>
      </c>
      <c r="W27" s="665">
        <f t="shared" si="14"/>
        <v>100</v>
      </c>
      <c r="X27" s="666"/>
      <c r="Y27" s="346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73"/>
      <c r="Q28" s="1263">
        <f t="shared" si="11"/>
        <v>111</v>
      </c>
      <c r="R28" s="667" t="s">
        <v>18</v>
      </c>
      <c r="S28" s="668">
        <f t="shared" si="12"/>
        <v>100</v>
      </c>
      <c r="T28" s="667" t="s">
        <v>18</v>
      </c>
      <c r="U28" s="668">
        <f t="shared" si="13"/>
        <v>100</v>
      </c>
      <c r="V28" s="667" t="s">
        <v>18</v>
      </c>
      <c r="W28" s="668">
        <f t="shared" si="14"/>
        <v>100</v>
      </c>
      <c r="X28" s="1265"/>
      <c r="Y28" s="346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73"/>
      <c r="Q29" s="1263">
        <f t="shared" si="11"/>
        <v>111</v>
      </c>
      <c r="R29" s="667" t="s">
        <v>18</v>
      </c>
      <c r="S29" s="668">
        <f t="shared" si="12"/>
        <v>100</v>
      </c>
      <c r="T29" s="667" t="s">
        <v>18</v>
      </c>
      <c r="U29" s="668">
        <f t="shared" si="13"/>
        <v>100</v>
      </c>
      <c r="V29" s="667" t="s">
        <v>18</v>
      </c>
      <c r="W29" s="668">
        <f t="shared" si="14"/>
        <v>100</v>
      </c>
      <c r="X29" s="1265"/>
      <c r="Y29" s="346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73"/>
      <c r="Q30" s="1263">
        <f t="shared" si="11"/>
        <v>111</v>
      </c>
      <c r="R30" s="667" t="s">
        <v>18</v>
      </c>
      <c r="S30" s="668">
        <f t="shared" si="12"/>
        <v>100</v>
      </c>
      <c r="T30" s="667" t="s">
        <v>18</v>
      </c>
      <c r="U30" s="668">
        <f t="shared" si="13"/>
        <v>100</v>
      </c>
      <c r="V30" s="667" t="s">
        <v>18</v>
      </c>
      <c r="W30" s="668">
        <f t="shared" si="14"/>
        <v>100</v>
      </c>
      <c r="X30" s="1265"/>
      <c r="Y30" s="346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73"/>
      <c r="Q31" s="1263">
        <f t="shared" si="11"/>
        <v>111</v>
      </c>
      <c r="R31" s="667" t="s">
        <v>18</v>
      </c>
      <c r="S31" s="668">
        <f t="shared" si="12"/>
        <v>100</v>
      </c>
      <c r="T31" s="667" t="s">
        <v>18</v>
      </c>
      <c r="U31" s="668">
        <f t="shared" si="13"/>
        <v>100</v>
      </c>
      <c r="V31" s="667" t="s">
        <v>18</v>
      </c>
      <c r="W31" s="668">
        <f t="shared" si="14"/>
        <v>100</v>
      </c>
      <c r="X31" s="1265"/>
      <c r="Y31" s="346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67" t="s">
        <v>1696</v>
      </c>
      <c r="Q32" s="1263" t="str">
        <f t="shared" si="11"/>
        <v>建筑类型</v>
      </c>
      <c r="R32" s="667" t="s">
        <v>18</v>
      </c>
      <c r="S32" s="668">
        <f t="shared" si="12"/>
        <v>100</v>
      </c>
      <c r="T32" s="667" t="s">
        <v>18</v>
      </c>
      <c r="U32" s="668">
        <f t="shared" si="13"/>
        <v>100</v>
      </c>
      <c r="V32" s="667" t="s">
        <v>18</v>
      </c>
      <c r="W32" s="668">
        <f t="shared" si="14"/>
        <v>100</v>
      </c>
      <c r="X32" s="1265"/>
      <c r="Y32" s="347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68"/>
      <c r="Q33" s="531" t="str">
        <f t="shared" si="11"/>
        <v>项目建筑规模</v>
      </c>
      <c r="R33" s="669" t="s">
        <v>18</v>
      </c>
      <c r="S33" s="670" t="e">
        <f t="shared" si="12"/>
        <v>#N/A</v>
      </c>
      <c r="T33" s="669" t="s">
        <v>18</v>
      </c>
      <c r="U33" s="670" t="e">
        <f t="shared" si="13"/>
        <v>#N/A</v>
      </c>
      <c r="V33" s="669" t="s">
        <v>18</v>
      </c>
      <c r="W33" s="670" t="e">
        <f t="shared" si="14"/>
        <v>#N/A</v>
      </c>
      <c r="X33" s="671"/>
      <c r="Y33" s="347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68"/>
      <c r="Q34" s="1263" t="str">
        <f t="shared" si="11"/>
        <v>建筑结构</v>
      </c>
      <c r="R34" s="667" t="s">
        <v>18</v>
      </c>
      <c r="S34" s="668">
        <f t="shared" si="12"/>
        <v>100</v>
      </c>
      <c r="T34" s="667" t="s">
        <v>18</v>
      </c>
      <c r="U34" s="668">
        <f t="shared" si="13"/>
        <v>100</v>
      </c>
      <c r="V34" s="667" t="s">
        <v>18</v>
      </c>
      <c r="W34" s="668">
        <f t="shared" si="14"/>
        <v>100</v>
      </c>
      <c r="X34" s="1265"/>
      <c r="Y34" s="347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8"/>
      <c r="Q35" s="1263" t="str">
        <f t="shared" si="11"/>
        <v>建筑品质</v>
      </c>
      <c r="R35" s="667" t="s">
        <v>18</v>
      </c>
      <c r="S35" s="668">
        <f t="shared" si="12"/>
        <v>100</v>
      </c>
      <c r="T35" s="667" t="s">
        <v>18</v>
      </c>
      <c r="U35" s="668">
        <f t="shared" si="13"/>
        <v>100</v>
      </c>
      <c r="V35" s="667" t="s">
        <v>18</v>
      </c>
      <c r="W35" s="668">
        <f t="shared" si="14"/>
        <v>100</v>
      </c>
      <c r="X35" s="1265"/>
      <c r="Y35" s="347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8"/>
      <c r="Q36" s="1263" t="str">
        <f t="shared" si="11"/>
        <v>公共部分装修</v>
      </c>
      <c r="R36" s="667" t="s">
        <v>18</v>
      </c>
      <c r="S36" s="668">
        <f t="shared" si="12"/>
        <v>100</v>
      </c>
      <c r="T36" s="667" t="s">
        <v>18</v>
      </c>
      <c r="U36" s="668">
        <f t="shared" si="13"/>
        <v>100</v>
      </c>
      <c r="V36" s="667" t="s">
        <v>18</v>
      </c>
      <c r="W36" s="668">
        <f t="shared" si="14"/>
        <v>100</v>
      </c>
      <c r="X36" s="1265"/>
      <c r="Y36" s="347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68"/>
      <c r="Q37" s="530" t="str">
        <f t="shared" si="11"/>
        <v>成新度</v>
      </c>
      <c r="R37" s="664" t="s">
        <v>18</v>
      </c>
      <c r="S37" s="665" t="e">
        <f t="shared" si="12"/>
        <v>#N/A</v>
      </c>
      <c r="T37" s="664" t="s">
        <v>18</v>
      </c>
      <c r="U37" s="665" t="e">
        <f t="shared" si="13"/>
        <v>#N/A</v>
      </c>
      <c r="V37" s="664" t="s">
        <v>18</v>
      </c>
      <c r="W37" s="665" t="e">
        <f t="shared" si="14"/>
        <v>#N/A</v>
      </c>
      <c r="X37" s="666"/>
      <c r="Y37" s="347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8" t="s">
        <v>1696</v>
      </c>
      <c r="Q38" s="1263" t="str">
        <f t="shared" si="11"/>
        <v>物业管理</v>
      </c>
      <c r="R38" s="667" t="s">
        <v>18</v>
      </c>
      <c r="S38" s="668">
        <f t="shared" si="12"/>
        <v>100</v>
      </c>
      <c r="T38" s="667" t="s">
        <v>18</v>
      </c>
      <c r="U38" s="668">
        <f t="shared" si="13"/>
        <v>100</v>
      </c>
      <c r="V38" s="667" t="s">
        <v>18</v>
      </c>
      <c r="W38" s="668">
        <f t="shared" si="14"/>
        <v>100</v>
      </c>
      <c r="X38" s="1265"/>
      <c r="Y38" s="347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8"/>
      <c r="Q39" s="1263" t="str">
        <f t="shared" si="11"/>
        <v>市政基础设施</v>
      </c>
      <c r="R39" s="667" t="s">
        <v>18</v>
      </c>
      <c r="S39" s="668">
        <f t="shared" si="12"/>
        <v>100</v>
      </c>
      <c r="T39" s="667" t="s">
        <v>18</v>
      </c>
      <c r="U39" s="668">
        <f t="shared" si="13"/>
        <v>100</v>
      </c>
      <c r="V39" s="667" t="s">
        <v>18</v>
      </c>
      <c r="W39" s="668">
        <f t="shared" si="14"/>
        <v>100</v>
      </c>
      <c r="X39" s="1265"/>
      <c r="Y39" s="347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8"/>
      <c r="Q40" s="1263" t="str">
        <f t="shared" si="11"/>
        <v>房型</v>
      </c>
      <c r="R40" s="667" t="s">
        <v>18</v>
      </c>
      <c r="S40" s="668">
        <f t="shared" si="12"/>
        <v>100</v>
      </c>
      <c r="T40" s="667" t="s">
        <v>18</v>
      </c>
      <c r="U40" s="668">
        <f t="shared" si="13"/>
        <v>100</v>
      </c>
      <c r="V40" s="667" t="s">
        <v>18</v>
      </c>
      <c r="W40" s="668">
        <f t="shared" si="14"/>
        <v>100</v>
      </c>
      <c r="X40" s="1265"/>
      <c r="Y40" s="347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8"/>
      <c r="Q41" s="531" t="str">
        <f t="shared" si="11"/>
        <v>单套/主力户型建筑面积</v>
      </c>
      <c r="R41" s="669" t="s">
        <v>18</v>
      </c>
      <c r="S41" s="670">
        <f t="shared" si="12"/>
        <v>100</v>
      </c>
      <c r="T41" s="669" t="s">
        <v>18</v>
      </c>
      <c r="U41" s="670">
        <f t="shared" si="13"/>
        <v>100</v>
      </c>
      <c r="V41" s="669" t="s">
        <v>18</v>
      </c>
      <c r="W41" s="670">
        <f t="shared" si="14"/>
        <v>100</v>
      </c>
      <c r="X41" s="671"/>
      <c r="Y41" s="347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68"/>
      <c r="Q42" s="1263" t="str">
        <f t="shared" si="11"/>
        <v>内部装修</v>
      </c>
      <c r="R42" s="667" t="s">
        <v>18</v>
      </c>
      <c r="S42" s="668">
        <f t="shared" si="12"/>
        <v>100</v>
      </c>
      <c r="T42" s="667" t="s">
        <v>18</v>
      </c>
      <c r="U42" s="668">
        <f t="shared" si="13"/>
        <v>100</v>
      </c>
      <c r="V42" s="667" t="s">
        <v>18</v>
      </c>
      <c r="W42" s="668">
        <f t="shared" si="14"/>
        <v>100</v>
      </c>
      <c r="X42" s="1265"/>
      <c r="Y42" s="347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8"/>
      <c r="Q43" s="1263" t="str">
        <f t="shared" si="11"/>
        <v>内部装修维护情况</v>
      </c>
      <c r="R43" s="667" t="s">
        <v>18</v>
      </c>
      <c r="S43" s="668">
        <f t="shared" si="12"/>
        <v>100</v>
      </c>
      <c r="T43" s="667" t="s">
        <v>18</v>
      </c>
      <c r="U43" s="668">
        <f t="shared" si="13"/>
        <v>100</v>
      </c>
      <c r="V43" s="667" t="s">
        <v>18</v>
      </c>
      <c r="W43" s="668">
        <f t="shared" si="14"/>
        <v>100</v>
      </c>
      <c r="X43" s="1265"/>
      <c r="Y43" s="347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8"/>
      <c r="Q44" s="530">
        <f t="shared" si="11"/>
        <v>111</v>
      </c>
      <c r="R44" s="664" t="s">
        <v>18</v>
      </c>
      <c r="S44" s="665">
        <f t="shared" si="12"/>
        <v>100</v>
      </c>
      <c r="T44" s="664" t="s">
        <v>18</v>
      </c>
      <c r="U44" s="665">
        <f t="shared" si="13"/>
        <v>100</v>
      </c>
      <c r="V44" s="664" t="s">
        <v>18</v>
      </c>
      <c r="W44" s="665">
        <f t="shared" si="14"/>
        <v>100</v>
      </c>
      <c r="X44" s="666"/>
      <c r="Y44" s="347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8"/>
      <c r="Q45" s="1263">
        <f t="shared" si="11"/>
        <v>111</v>
      </c>
      <c r="R45" s="667" t="s">
        <v>18</v>
      </c>
      <c r="S45" s="668">
        <f t="shared" si="12"/>
        <v>100</v>
      </c>
      <c r="T45" s="667" t="s">
        <v>18</v>
      </c>
      <c r="U45" s="668">
        <f t="shared" si="13"/>
        <v>100</v>
      </c>
      <c r="V45" s="667" t="s">
        <v>18</v>
      </c>
      <c r="W45" s="668">
        <f t="shared" si="14"/>
        <v>100</v>
      </c>
      <c r="X45" s="1265"/>
      <c r="Y45" s="347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69"/>
      <c r="Q46" s="1263">
        <f t="shared" si="11"/>
        <v>111</v>
      </c>
      <c r="R46" s="667" t="s">
        <v>17</v>
      </c>
      <c r="S46" s="668">
        <f t="shared" si="12"/>
        <v>100</v>
      </c>
      <c r="T46" s="667" t="s">
        <v>17</v>
      </c>
      <c r="U46" s="668">
        <f t="shared" si="13"/>
        <v>100</v>
      </c>
      <c r="V46" s="667" t="s">
        <v>17</v>
      </c>
      <c r="W46" s="668">
        <f t="shared" si="14"/>
        <v>100</v>
      </c>
      <c r="X46" s="1265"/>
      <c r="Y46" s="347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64" t="str">
        <f>A47</f>
        <v>成交单价（元/平方米）</v>
      </c>
      <c r="Q47" s="3464"/>
      <c r="R47" s="3459">
        <f>E47</f>
        <v>0</v>
      </c>
      <c r="S47" s="3459"/>
      <c r="T47" s="3459">
        <f>G47</f>
        <v>0</v>
      </c>
      <c r="U47" s="3459"/>
      <c r="V47" s="3459">
        <f>I47</f>
        <v>0</v>
      </c>
      <c r="W47" s="345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64" t="str">
        <f>A48</f>
        <v>比较价值（元/平方米）</v>
      </c>
      <c r="Q48" s="3464"/>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115" zoomScaleNormal="70" zoomScaleSheetLayoutView="115" workbookViewId="0">
      <selection activeCell="E25" sqref="E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3473</v>
      </c>
      <c r="F1" s="1735" t="s">
        <v>3474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0.14560000000000001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7.3</v>
      </c>
      <c r="C3" s="344" t="s">
        <v>1768</v>
      </c>
      <c r="D3" s="343">
        <f>IF(D1="",'数据-汇总表'!E3,SUMIF('数据-汇总表'!$C19:$C33,D1,'数据-汇总表'!$E19:$E33))</f>
        <v>199.39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34" t="s">
        <v>1771</v>
      </c>
      <c r="S4" s="3435"/>
      <c r="T4" s="3434" t="s">
        <v>1772</v>
      </c>
      <c r="U4" s="3435"/>
      <c r="V4" s="3459" t="s">
        <v>1773</v>
      </c>
      <c r="W4" s="3459"/>
      <c r="X4" s="1265"/>
      <c r="Y4" s="3434" t="s">
        <v>1775</v>
      </c>
      <c r="Z4" s="3435"/>
      <c r="AA4" s="3429" t="s">
        <v>1771</v>
      </c>
      <c r="AB4" s="3459" t="s">
        <v>1772</v>
      </c>
      <c r="AC4" s="3429" t="s">
        <v>1773</v>
      </c>
    </row>
    <row r="5" spans="1:29" ht="15">
      <c r="A5" s="348"/>
      <c r="B5" s="349"/>
      <c r="C5" s="3440" t="s">
        <v>1673</v>
      </c>
      <c r="D5" s="3441"/>
      <c r="E5" s="3438" t="str">
        <f>租金案例!K5</f>
        <v>嘉美风尚</v>
      </c>
      <c r="F5" s="3439"/>
      <c r="G5" s="3440" t="str">
        <f>租金案例!K9</f>
        <v>方恒时代中心</v>
      </c>
      <c r="H5" s="3441"/>
      <c r="I5" s="3440" t="str">
        <f>租金案例!K10</f>
        <v>华鼎世家</v>
      </c>
      <c r="J5" s="3441"/>
      <c r="K5" s="537"/>
      <c r="L5" s="2487"/>
      <c r="M5" s="2488"/>
      <c r="N5" s="2488"/>
      <c r="O5" s="2488"/>
      <c r="P5" s="3453"/>
      <c r="Q5" s="3454"/>
      <c r="R5" s="3436"/>
      <c r="S5" s="3437"/>
      <c r="T5" s="3436"/>
      <c r="U5" s="3437"/>
      <c r="V5" s="3459"/>
      <c r="W5" s="3459"/>
      <c r="X5" s="1265"/>
      <c r="Y5" s="3436"/>
      <c r="Z5" s="3437"/>
      <c r="AA5" s="3430"/>
      <c r="AB5" s="3459"/>
      <c r="AC5" s="3430"/>
    </row>
    <row r="6" spans="1:29" ht="15.75" thickBot="1">
      <c r="A6" s="350"/>
      <c r="B6" s="351"/>
      <c r="C6" s="3442" t="s">
        <v>1677</v>
      </c>
      <c r="D6" s="3443"/>
      <c r="E6" s="3444" t="s">
        <v>1677</v>
      </c>
      <c r="F6" s="3445"/>
      <c r="G6" s="3442" t="s">
        <v>1677</v>
      </c>
      <c r="H6" s="3443"/>
      <c r="I6" s="3442" t="s">
        <v>1677</v>
      </c>
      <c r="J6" s="3443"/>
      <c r="K6" s="537" t="s">
        <v>1678</v>
      </c>
      <c r="L6" s="2487"/>
      <c r="M6" s="2488"/>
      <c r="N6" s="2488"/>
      <c r="O6" s="2488"/>
      <c r="P6" s="3455"/>
      <c r="Q6" s="3456"/>
      <c r="R6" s="3436"/>
      <c r="S6" s="3437"/>
      <c r="T6" s="3457"/>
      <c r="U6" s="3458"/>
      <c r="V6" s="3459"/>
      <c r="W6" s="3459"/>
      <c r="X6" s="1265"/>
      <c r="Y6" s="3457"/>
      <c r="Z6" s="3458"/>
      <c r="AA6" s="3431"/>
      <c r="AB6" s="3459"/>
      <c r="AC6" s="3431"/>
    </row>
    <row r="7" spans="1:29" s="102" customFormat="1" ht="15.75" thickBot="1">
      <c r="A7" s="352" t="s">
        <v>1679</v>
      </c>
      <c r="B7" s="353"/>
      <c r="C7" s="354">
        <f>'数据-取费表'!B2</f>
        <v>45860</v>
      </c>
      <c r="D7" s="355">
        <v>100</v>
      </c>
      <c r="E7" s="356">
        <v>45839</v>
      </c>
      <c r="F7" s="357">
        <f>SUMIF(58:58,YEAR(E7)&amp;"-"&amp;MONTH(E7),59:59)</f>
        <v>100</v>
      </c>
      <c r="G7" s="356">
        <v>45839</v>
      </c>
      <c r="H7" s="355">
        <f>SUMIF(58:58,YEAR(G7)&amp;"-"&amp;MONTH(G7),59:59)</f>
        <v>100</v>
      </c>
      <c r="I7" s="356">
        <v>45839</v>
      </c>
      <c r="J7" s="355">
        <f>SUMIF(58:58,YEAR(I7)&amp;"-"&amp;MONTH(I7),59:59)</f>
        <v>100</v>
      </c>
      <c r="K7" s="38"/>
      <c r="L7" s="2489"/>
      <c r="M7" s="2440"/>
      <c r="N7" s="2440"/>
      <c r="O7" s="2440"/>
      <c r="P7" s="3432" t="s">
        <v>1680</v>
      </c>
      <c r="Q7" s="3460"/>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50">
        <f>D7/J7</f>
        <v>1</v>
      </c>
    </row>
    <row r="8" spans="1:29" s="102" customFormat="1" ht="15.75" thickBot="1">
      <c r="A8" s="352" t="s">
        <v>1681</v>
      </c>
      <c r="B8" s="353"/>
      <c r="C8" s="358" t="s">
        <v>3475</v>
      </c>
      <c r="D8" s="355">
        <v>100</v>
      </c>
      <c r="E8" s="358" t="s">
        <v>3477</v>
      </c>
      <c r="F8" s="357">
        <f>SUMIF(61:61,E8,62:62)-SUMIF(61:61,C8,62:62)+100</f>
        <v>101</v>
      </c>
      <c r="G8" s="358" t="s">
        <v>3477</v>
      </c>
      <c r="H8" s="355">
        <f>SUMIF(61:61,G8,62:62)-SUMIF(61:61,C8,62:62)+100</f>
        <v>101</v>
      </c>
      <c r="I8" s="358" t="s">
        <v>3477</v>
      </c>
      <c r="J8" s="355">
        <f>SUMIF(61:61,I8,62:62)-SUMIF(61:61,C8,62:62)+100</f>
        <v>101</v>
      </c>
      <c r="K8" s="38"/>
      <c r="L8" s="2489"/>
      <c r="M8" s="2440"/>
      <c r="N8" s="2440"/>
      <c r="O8" s="2440"/>
      <c r="P8" s="3432" t="s">
        <v>1683</v>
      </c>
      <c r="Q8" s="3433"/>
      <c r="R8" s="664" t="s">
        <v>14</v>
      </c>
      <c r="S8" s="665">
        <f t="shared" si="0"/>
        <v>101</v>
      </c>
      <c r="T8" s="664" t="s">
        <v>14</v>
      </c>
      <c r="U8" s="665">
        <f t="shared" si="1"/>
        <v>101</v>
      </c>
      <c r="V8" s="664" t="s">
        <v>14</v>
      </c>
      <c r="W8" s="665">
        <f t="shared" si="2"/>
        <v>101</v>
      </c>
      <c r="X8" s="666"/>
      <c r="Y8" s="3432" t="s">
        <v>1683</v>
      </c>
      <c r="Z8" s="3433"/>
      <c r="AA8" s="50">
        <f t="shared" ref="AA8:AA46" si="3">D8/F8</f>
        <v>0.99009900990099009</v>
      </c>
      <c r="AB8" s="50">
        <f t="shared" ref="AB8:AB46" si="4">D8/H8</f>
        <v>0.99009900990099009</v>
      </c>
      <c r="AC8" s="50">
        <f t="shared" ref="AC8:AC46" si="5">D8/J8</f>
        <v>0.99009900990099009</v>
      </c>
    </row>
    <row r="9" spans="1:29" s="102" customFormat="1">
      <c r="A9" s="359" t="s">
        <v>1684</v>
      </c>
      <c r="B9" s="60" t="s">
        <v>1685</v>
      </c>
      <c r="C9" s="3174" t="s">
        <v>3476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446"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6"/>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46"/>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6"/>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6"/>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6"/>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72" t="s">
        <v>1691</v>
      </c>
      <c r="Q15" s="1263" t="str">
        <f t="shared" si="6"/>
        <v>商业繁华度</v>
      </c>
      <c r="R15" s="667" t="s">
        <v>14</v>
      </c>
      <c r="S15" s="668">
        <f t="shared" si="0"/>
        <v>100</v>
      </c>
      <c r="T15" s="667" t="s">
        <v>14</v>
      </c>
      <c r="U15" s="668">
        <f t="shared" si="1"/>
        <v>100</v>
      </c>
      <c r="V15" s="667" t="s">
        <v>14</v>
      </c>
      <c r="W15" s="668">
        <f t="shared" si="2"/>
        <v>100</v>
      </c>
      <c r="X15" s="1265"/>
      <c r="Y15" s="3465" t="s">
        <v>1691</v>
      </c>
      <c r="Z15" s="1264" t="str">
        <f t="shared" si="7"/>
        <v>商业繁华度</v>
      </c>
      <c r="AA15" s="1264">
        <f t="shared" si="3"/>
        <v>1</v>
      </c>
      <c r="AB15" s="1264">
        <f t="shared" si="4"/>
        <v>1</v>
      </c>
      <c r="AC15" s="1264">
        <f t="shared" si="5"/>
        <v>1</v>
      </c>
    </row>
    <row r="16" spans="1:29" ht="15">
      <c r="A16" s="367"/>
      <c r="B16" s="385"/>
      <c r="C16" s="386" t="s">
        <v>3479</v>
      </c>
      <c r="D16" s="387"/>
      <c r="E16" s="386" t="s">
        <v>3479</v>
      </c>
      <c r="F16" s="388"/>
      <c r="G16" s="386" t="s">
        <v>3479</v>
      </c>
      <c r="H16" s="389"/>
      <c r="I16" s="386" t="s">
        <v>3479</v>
      </c>
      <c r="J16" s="387"/>
      <c r="K16" s="541"/>
      <c r="L16" s="2493"/>
      <c r="M16" s="2488"/>
      <c r="N16" s="2488"/>
      <c r="O16" s="2488"/>
      <c r="P16" s="3473"/>
      <c r="Q16" s="1263"/>
      <c r="R16" s="667"/>
      <c r="S16" s="668"/>
      <c r="T16" s="667"/>
      <c r="U16" s="668"/>
      <c r="V16" s="667"/>
      <c r="W16" s="668"/>
      <c r="X16" s="1265"/>
      <c r="Y16" s="346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73"/>
      <c r="Q17" s="1263" t="str">
        <f>B17</f>
        <v>交通便捷度</v>
      </c>
      <c r="R17" s="667" t="s">
        <v>14</v>
      </c>
      <c r="S17" s="668">
        <f>F17</f>
        <v>100</v>
      </c>
      <c r="T17" s="667" t="s">
        <v>14</v>
      </c>
      <c r="U17" s="668">
        <f>H17</f>
        <v>100</v>
      </c>
      <c r="V17" s="667" t="s">
        <v>14</v>
      </c>
      <c r="W17" s="668">
        <f>J17</f>
        <v>100</v>
      </c>
      <c r="X17" s="1265"/>
      <c r="Y17" s="3466"/>
      <c r="Z17" s="1264" t="str">
        <f>Q17</f>
        <v>交通便捷度</v>
      </c>
      <c r="AA17" s="1264">
        <f t="shared" si="3"/>
        <v>1</v>
      </c>
      <c r="AB17" s="1264">
        <f t="shared" si="4"/>
        <v>1</v>
      </c>
      <c r="AC17" s="1264">
        <f t="shared" si="5"/>
        <v>1</v>
      </c>
    </row>
    <row r="18" spans="1:29" ht="15">
      <c r="A18" s="367"/>
      <c r="B18" s="395"/>
      <c r="C18" s="1755" t="s">
        <v>3479</v>
      </c>
      <c r="D18" s="389"/>
      <c r="E18" s="1755" t="s">
        <v>3479</v>
      </c>
      <c r="F18" s="392"/>
      <c r="G18" s="1755" t="s">
        <v>3479</v>
      </c>
      <c r="H18" s="387"/>
      <c r="I18" s="1755" t="s">
        <v>3479</v>
      </c>
      <c r="J18" s="387"/>
      <c r="K18" s="541"/>
      <c r="L18" s="2493"/>
      <c r="M18" s="2488"/>
      <c r="N18" s="2488"/>
      <c r="O18" s="2488"/>
      <c r="P18" s="3473"/>
      <c r="Q18" s="1263"/>
      <c r="R18" s="667"/>
      <c r="S18" s="668"/>
      <c r="T18" s="667"/>
      <c r="U18" s="668"/>
      <c r="V18" s="667"/>
      <c r="W18" s="668"/>
      <c r="X18" s="1265"/>
      <c r="Y18" s="346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73"/>
      <c r="Q19" s="1263" t="str">
        <f>B19</f>
        <v>公共配套设施</v>
      </c>
      <c r="R19" s="667" t="s">
        <v>14</v>
      </c>
      <c r="S19" s="668">
        <f>F19</f>
        <v>100</v>
      </c>
      <c r="T19" s="667" t="s">
        <v>14</v>
      </c>
      <c r="U19" s="668">
        <f>H19</f>
        <v>100</v>
      </c>
      <c r="V19" s="667" t="s">
        <v>14</v>
      </c>
      <c r="W19" s="668">
        <f>J19</f>
        <v>100</v>
      </c>
      <c r="X19" s="1265"/>
      <c r="Y19" s="3466"/>
      <c r="Z19" s="1264" t="str">
        <f>Q19</f>
        <v>公共配套设施</v>
      </c>
      <c r="AA19" s="1264">
        <f t="shared" si="3"/>
        <v>1</v>
      </c>
      <c r="AB19" s="1264">
        <f t="shared" si="4"/>
        <v>1</v>
      </c>
      <c r="AC19" s="1264">
        <f t="shared" si="5"/>
        <v>1</v>
      </c>
    </row>
    <row r="20" spans="1:29" ht="15">
      <c r="A20" s="367"/>
      <c r="B20" s="395"/>
      <c r="C20" s="386" t="s">
        <v>3479</v>
      </c>
      <c r="D20" s="387"/>
      <c r="E20" s="386" t="s">
        <v>3479</v>
      </c>
      <c r="F20" s="388"/>
      <c r="G20" s="386" t="s">
        <v>3479</v>
      </c>
      <c r="H20" s="387"/>
      <c r="I20" s="386" t="s">
        <v>3479</v>
      </c>
      <c r="J20" s="387"/>
      <c r="K20" s="541"/>
      <c r="L20" s="2493"/>
      <c r="M20" s="2488"/>
      <c r="N20" s="2488"/>
      <c r="O20" s="2488"/>
      <c r="P20" s="3473"/>
      <c r="Q20" s="1263"/>
      <c r="R20" s="667"/>
      <c r="S20" s="668"/>
      <c r="T20" s="667"/>
      <c r="U20" s="668"/>
      <c r="V20" s="667"/>
      <c r="W20" s="668"/>
      <c r="X20" s="1265"/>
      <c r="Y20" s="346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73"/>
      <c r="Q21" s="1263" t="str">
        <f>B21</f>
        <v>基础设施水平</v>
      </c>
      <c r="R21" s="667" t="s">
        <v>14</v>
      </c>
      <c r="S21" s="668">
        <f>F21</f>
        <v>100</v>
      </c>
      <c r="T21" s="667" t="s">
        <v>14</v>
      </c>
      <c r="U21" s="668">
        <f>H21</f>
        <v>100</v>
      </c>
      <c r="V21" s="667" t="s">
        <v>14</v>
      </c>
      <c r="W21" s="668">
        <f>J21</f>
        <v>100</v>
      </c>
      <c r="X21" s="1265"/>
      <c r="Y21" s="3466"/>
      <c r="Z21" s="1264" t="str">
        <f>Q21</f>
        <v>基础设施水平</v>
      </c>
      <c r="AA21" s="1264">
        <f t="shared" ref="AA21" si="8">D21/F21</f>
        <v>1</v>
      </c>
      <c r="AB21" s="1264">
        <f t="shared" ref="AB21" si="9">D21/H21</f>
        <v>1</v>
      </c>
      <c r="AC21" s="1264">
        <f t="shared" ref="AC21" si="10">D21/J21</f>
        <v>1</v>
      </c>
    </row>
    <row r="22" spans="1:29" ht="15">
      <c r="A22" s="367"/>
      <c r="B22" s="586"/>
      <c r="C22" s="1755" t="s">
        <v>3480</v>
      </c>
      <c r="D22" s="387"/>
      <c r="E22" s="1755" t="s">
        <v>3480</v>
      </c>
      <c r="F22" s="388"/>
      <c r="G22" s="1755" t="s">
        <v>3480</v>
      </c>
      <c r="H22" s="387"/>
      <c r="I22" s="1755" t="s">
        <v>3480</v>
      </c>
      <c r="J22" s="387"/>
      <c r="K22" s="1064"/>
      <c r="L22" s="2493"/>
      <c r="M22" s="2488"/>
      <c r="N22" s="2488"/>
      <c r="O22" s="2488"/>
      <c r="P22" s="3473"/>
      <c r="Q22" s="1263"/>
      <c r="R22" s="667"/>
      <c r="S22" s="668"/>
      <c r="T22" s="667"/>
      <c r="U22" s="668"/>
      <c r="V22" s="667"/>
      <c r="W22" s="668"/>
      <c r="X22" s="1265"/>
      <c r="Y22" s="346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73"/>
      <c r="Q23" s="1263" t="str">
        <f>B23</f>
        <v>自然及人文环境</v>
      </c>
      <c r="R23" s="667" t="s">
        <v>14</v>
      </c>
      <c r="S23" s="668">
        <f>F23</f>
        <v>100</v>
      </c>
      <c r="T23" s="667" t="s">
        <v>14</v>
      </c>
      <c r="U23" s="668">
        <f>H23</f>
        <v>100</v>
      </c>
      <c r="V23" s="667" t="s">
        <v>14</v>
      </c>
      <c r="W23" s="668">
        <f>J23</f>
        <v>100</v>
      </c>
      <c r="X23" s="1265"/>
      <c r="Y23" s="3466"/>
      <c r="Z23" s="1264" t="str">
        <f>Q23</f>
        <v>自然及人文环境</v>
      </c>
      <c r="AA23" s="1264">
        <f t="shared" si="3"/>
        <v>1</v>
      </c>
      <c r="AB23" s="1264">
        <f t="shared" si="4"/>
        <v>1</v>
      </c>
      <c r="AC23" s="1264">
        <f t="shared" si="5"/>
        <v>1</v>
      </c>
    </row>
    <row r="24" spans="1:29" ht="15">
      <c r="A24" s="367"/>
      <c r="B24" s="395"/>
      <c r="C24" s="386" t="s">
        <v>3479</v>
      </c>
      <c r="D24" s="387"/>
      <c r="E24" s="386" t="s">
        <v>3479</v>
      </c>
      <c r="F24" s="388"/>
      <c r="G24" s="386" t="s">
        <v>3479</v>
      </c>
      <c r="H24" s="387"/>
      <c r="I24" s="386" t="s">
        <v>3479</v>
      </c>
      <c r="J24" s="387"/>
      <c r="K24" s="541"/>
      <c r="L24" s="2493"/>
      <c r="M24" s="2488"/>
      <c r="N24" s="2488"/>
      <c r="O24" s="2488"/>
      <c r="P24" s="3473"/>
      <c r="Q24" s="1263"/>
      <c r="R24" s="667"/>
      <c r="S24" s="668"/>
      <c r="T24" s="667"/>
      <c r="U24" s="668"/>
      <c r="V24" s="667"/>
      <c r="W24" s="668"/>
      <c r="X24" s="1265"/>
      <c r="Y24" s="3466"/>
      <c r="Z24" s="1264"/>
      <c r="AA24" s="1264">
        <v>1</v>
      </c>
      <c r="AB24" s="1264">
        <v>1</v>
      </c>
      <c r="AC24" s="1264">
        <v>1</v>
      </c>
    </row>
    <row r="25" spans="1:29" ht="15">
      <c r="A25" s="367"/>
      <c r="B25" s="364" t="s">
        <v>1780</v>
      </c>
      <c r="C25" s="542" t="s">
        <v>3484</v>
      </c>
      <c r="D25" s="374">
        <v>100</v>
      </c>
      <c r="E25" s="542" t="s">
        <v>3481</v>
      </c>
      <c r="F25" s="400">
        <f>SUMIF(86:86,E25,87:87)-SUMIF(86:86,C25,87:87)+100</f>
        <v>101</v>
      </c>
      <c r="G25" s="542" t="s">
        <v>3484</v>
      </c>
      <c r="H25" s="374">
        <f>SUMIF(86:86,G25,87:87)-SUMIF(86:86,C25,87:87)+100</f>
        <v>100</v>
      </c>
      <c r="I25" s="542" t="s">
        <v>3481</v>
      </c>
      <c r="J25" s="374">
        <f>SUMIF(86:86,I25,87:87)-SUMIF(86:86,C25,87:87)+100</f>
        <v>101</v>
      </c>
      <c r="K25" s="538">
        <v>0.5</v>
      </c>
      <c r="L25" s="2493"/>
      <c r="M25" s="2488"/>
      <c r="N25" s="2488"/>
      <c r="O25" s="2488"/>
      <c r="P25" s="3473"/>
      <c r="Q25" s="1263" t="str">
        <f t="shared" ref="Q25:Q46" si="11">B25</f>
        <v>临街状况</v>
      </c>
      <c r="R25" s="667" t="s">
        <v>14</v>
      </c>
      <c r="S25" s="668">
        <f>F25</f>
        <v>101</v>
      </c>
      <c r="T25" s="667" t="s">
        <v>14</v>
      </c>
      <c r="U25" s="668">
        <f>H25</f>
        <v>100</v>
      </c>
      <c r="V25" s="667" t="s">
        <v>14</v>
      </c>
      <c r="W25" s="668">
        <f>J25</f>
        <v>101</v>
      </c>
      <c r="X25" s="1265"/>
      <c r="Y25" s="3466"/>
      <c r="Z25" s="1264" t="str">
        <f>Q25</f>
        <v>临街状况</v>
      </c>
      <c r="AA25" s="1264">
        <f t="shared" si="3"/>
        <v>0.99009900990099009</v>
      </c>
      <c r="AB25" s="1264">
        <f t="shared" si="4"/>
        <v>1</v>
      </c>
      <c r="AC25" s="1264">
        <f t="shared" si="5"/>
        <v>0.99009900990099009</v>
      </c>
    </row>
    <row r="26" spans="1:29" ht="15">
      <c r="A26" s="367"/>
      <c r="B26" s="1066" t="s">
        <v>1781</v>
      </c>
      <c r="C26" s="3177" t="s">
        <v>3486</v>
      </c>
      <c r="D26" s="374">
        <v>100</v>
      </c>
      <c r="E26" s="3177" t="s">
        <v>3486</v>
      </c>
      <c r="F26" s="400">
        <f>SUMIF(88:88,E26,89:89)-SUMIF(88:88,C26,89:89)+100</f>
        <v>100</v>
      </c>
      <c r="G26" s="3177" t="s">
        <v>3486</v>
      </c>
      <c r="H26" s="374">
        <f>SUMIF(88:88,G26,89:89)-SUMIF(88:88,C26,89:89)+100</f>
        <v>100</v>
      </c>
      <c r="I26" s="3177" t="s">
        <v>3486</v>
      </c>
      <c r="J26" s="374">
        <f>SUMIF(88:88,I26,89:89)-SUMIF(88:88,C26,89:89)+100</f>
        <v>100</v>
      </c>
      <c r="K26" s="539"/>
      <c r="L26" s="2493"/>
      <c r="M26" s="2488"/>
      <c r="N26" s="2488"/>
      <c r="O26" s="2488"/>
      <c r="P26" s="3473"/>
      <c r="Q26" s="1263" t="str">
        <f t="shared" si="11"/>
        <v>平面位置/可视性</v>
      </c>
      <c r="R26" s="667" t="s">
        <v>14</v>
      </c>
      <c r="S26" s="668">
        <f>F26</f>
        <v>100</v>
      </c>
      <c r="T26" s="667" t="s">
        <v>14</v>
      </c>
      <c r="U26" s="668">
        <f>H26</f>
        <v>100</v>
      </c>
      <c r="V26" s="667" t="s">
        <v>14</v>
      </c>
      <c r="W26" s="668">
        <f>J26</f>
        <v>100</v>
      </c>
      <c r="X26" s="1265"/>
      <c r="Y26" s="3466"/>
      <c r="Z26" s="1264" t="str">
        <f>Q26</f>
        <v>平面位置/可视性</v>
      </c>
      <c r="AA26" s="1264">
        <f t="shared" si="3"/>
        <v>1</v>
      </c>
      <c r="AB26" s="1264">
        <f t="shared" si="4"/>
        <v>1</v>
      </c>
      <c r="AC26" s="1264">
        <f t="shared" si="5"/>
        <v>1</v>
      </c>
    </row>
    <row r="27" spans="1:29" s="102" customFormat="1" ht="15">
      <c r="A27" s="370"/>
      <c r="B27" s="390" t="s">
        <v>1782</v>
      </c>
      <c r="C27" s="1807" t="s">
        <v>3487</v>
      </c>
      <c r="D27" s="401">
        <v>100</v>
      </c>
      <c r="E27" s="1807" t="s">
        <v>3487</v>
      </c>
      <c r="F27" s="395">
        <f>SUMIF(90:90,E27,91:91)-SUMIF(90:90,C27,91:91)+100</f>
        <v>100</v>
      </c>
      <c r="G27" s="1807" t="s">
        <v>3487</v>
      </c>
      <c r="H27" s="401">
        <f>SUMIF(90:90,G27,91:91)-SUMIF(90:90,C27,91:91)+100</f>
        <v>100</v>
      </c>
      <c r="I27" s="1807" t="s">
        <v>3487</v>
      </c>
      <c r="J27" s="401">
        <f>SUMIF(90:90,I27,91:91)-SUMIF(90:90,C27,91:91)+100</f>
        <v>100</v>
      </c>
      <c r="K27" s="538"/>
      <c r="L27" s="2489"/>
      <c r="M27" s="2440"/>
      <c r="N27" s="2440"/>
      <c r="O27" s="2440"/>
      <c r="P27" s="3473"/>
      <c r="Q27" s="530" t="str">
        <f t="shared" si="11"/>
        <v>人流量</v>
      </c>
      <c r="R27" s="664" t="s">
        <v>14</v>
      </c>
      <c r="S27" s="665">
        <f>F27</f>
        <v>100</v>
      </c>
      <c r="T27" s="664" t="s">
        <v>14</v>
      </c>
      <c r="U27" s="665">
        <f>H27</f>
        <v>100</v>
      </c>
      <c r="V27" s="664" t="s">
        <v>14</v>
      </c>
      <c r="W27" s="665">
        <f>J27</f>
        <v>100</v>
      </c>
      <c r="X27" s="666"/>
      <c r="Y27" s="3466"/>
      <c r="Z27" s="50" t="str">
        <f>Q27</f>
        <v>人流量</v>
      </c>
      <c r="AA27" s="1264">
        <f>D27/F27</f>
        <v>1</v>
      </c>
      <c r="AB27" s="1264">
        <f>D27/H27</f>
        <v>1</v>
      </c>
      <c r="AC27" s="1264">
        <f>D27/J27</f>
        <v>1</v>
      </c>
    </row>
    <row r="28" spans="1:29" ht="15">
      <c r="A28" s="367"/>
      <c r="B28" s="364" t="s">
        <v>1783</v>
      </c>
      <c r="C28" s="542" t="s">
        <v>3490</v>
      </c>
      <c r="D28" s="374">
        <v>100</v>
      </c>
      <c r="E28" s="542" t="s">
        <v>3490</v>
      </c>
      <c r="F28" s="400">
        <f>SUMIF(92:92,E28,93:93)-SUMIF(92:92,C28,93:93)+100</f>
        <v>100</v>
      </c>
      <c r="G28" s="542" t="s">
        <v>3490</v>
      </c>
      <c r="H28" s="374">
        <f>SUMIF(92:92,G28,93:93)-SUMIF(92:92,C28,93:93)+100</f>
        <v>100</v>
      </c>
      <c r="I28" s="542" t="s">
        <v>3490</v>
      </c>
      <c r="J28" s="374">
        <f>SUMIF(92:92,I28,93:93)-SUMIF(92:92,C28,93:93)+100</f>
        <v>100</v>
      </c>
      <c r="K28" s="539"/>
      <c r="L28" s="2493"/>
      <c r="M28" s="2488"/>
      <c r="N28" s="2488"/>
      <c r="O28" s="2488"/>
      <c r="P28" s="347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73"/>
      <c r="Q29" s="1263">
        <f t="shared" si="11"/>
        <v>111</v>
      </c>
      <c r="R29" s="667" t="s">
        <v>14</v>
      </c>
      <c r="S29" s="668">
        <f t="shared" si="12"/>
        <v>100</v>
      </c>
      <c r="T29" s="667" t="s">
        <v>14</v>
      </c>
      <c r="U29" s="668">
        <f t="shared" si="13"/>
        <v>100</v>
      </c>
      <c r="V29" s="667" t="s">
        <v>14</v>
      </c>
      <c r="W29" s="668">
        <f t="shared" si="14"/>
        <v>100</v>
      </c>
      <c r="X29" s="1265"/>
      <c r="Y29" s="346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73"/>
      <c r="Q30" s="1263">
        <f t="shared" si="11"/>
        <v>111</v>
      </c>
      <c r="R30" s="667" t="s">
        <v>14</v>
      </c>
      <c r="S30" s="668">
        <f t="shared" si="12"/>
        <v>100</v>
      </c>
      <c r="T30" s="667" t="s">
        <v>14</v>
      </c>
      <c r="U30" s="668">
        <f t="shared" si="13"/>
        <v>100</v>
      </c>
      <c r="V30" s="667" t="s">
        <v>14</v>
      </c>
      <c r="W30" s="668">
        <f t="shared" si="14"/>
        <v>100</v>
      </c>
      <c r="X30" s="1265"/>
      <c r="Y30" s="346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73"/>
      <c r="Q31" s="1263">
        <f t="shared" si="11"/>
        <v>111</v>
      </c>
      <c r="R31" s="667" t="s">
        <v>14</v>
      </c>
      <c r="S31" s="668">
        <f t="shared" si="12"/>
        <v>100</v>
      </c>
      <c r="T31" s="667" t="s">
        <v>14</v>
      </c>
      <c r="U31" s="668">
        <f t="shared" si="13"/>
        <v>100</v>
      </c>
      <c r="V31" s="667" t="s">
        <v>14</v>
      </c>
      <c r="W31" s="668">
        <f t="shared" si="14"/>
        <v>100</v>
      </c>
      <c r="X31" s="1265"/>
      <c r="Y31" s="3466"/>
      <c r="Z31" s="1264">
        <f t="shared" si="15"/>
        <v>111</v>
      </c>
      <c r="AA31" s="1264">
        <f t="shared" si="3"/>
        <v>1</v>
      </c>
      <c r="AB31" s="1264">
        <f t="shared" si="4"/>
        <v>1</v>
      </c>
      <c r="AC31" s="1264">
        <f t="shared" si="5"/>
        <v>1</v>
      </c>
    </row>
    <row r="32" spans="1:29" ht="15">
      <c r="A32" s="379" t="s">
        <v>1694</v>
      </c>
      <c r="B32" s="60" t="s">
        <v>1784</v>
      </c>
      <c r="C32" s="1764" t="s">
        <v>3499</v>
      </c>
      <c r="D32" s="405">
        <v>100</v>
      </c>
      <c r="E32" s="1764" t="s">
        <v>3501</v>
      </c>
      <c r="F32" s="400">
        <f>SUMIF(100:100,E32,101:101)-SUMIF(100:100,C32,101:101)+100</f>
        <v>95</v>
      </c>
      <c r="G32" s="1764" t="s">
        <v>3501</v>
      </c>
      <c r="H32" s="374">
        <f>SUMIF(100:100,G32,101:101)-SUMIF(100:100,C32,101:101)+100</f>
        <v>95</v>
      </c>
      <c r="I32" s="1764" t="s">
        <v>3501</v>
      </c>
      <c r="J32" s="405">
        <f>SUMIF(100:100,I32,101:101)-SUMIF(100:100,C32,101:101)+100</f>
        <v>95</v>
      </c>
      <c r="K32" s="538">
        <v>5</v>
      </c>
      <c r="L32" s="2493"/>
      <c r="M32" s="2488"/>
      <c r="N32" s="2488"/>
      <c r="O32" s="2488"/>
      <c r="P32" s="3467" t="s">
        <v>1696</v>
      </c>
      <c r="Q32" s="1263" t="str">
        <f t="shared" si="11"/>
        <v>商业类型</v>
      </c>
      <c r="R32" s="667" t="s">
        <v>14</v>
      </c>
      <c r="S32" s="668">
        <f t="shared" si="12"/>
        <v>95</v>
      </c>
      <c r="T32" s="667" t="s">
        <v>14</v>
      </c>
      <c r="U32" s="668">
        <f t="shared" si="13"/>
        <v>95</v>
      </c>
      <c r="V32" s="667" t="s">
        <v>14</v>
      </c>
      <c r="W32" s="668">
        <f t="shared" si="14"/>
        <v>95</v>
      </c>
      <c r="X32" s="1265"/>
      <c r="Y32" s="3470" t="s">
        <v>1696</v>
      </c>
      <c r="Z32" s="1264" t="str">
        <f t="shared" si="15"/>
        <v>商业类型</v>
      </c>
      <c r="AA32" s="1264">
        <f t="shared" si="3"/>
        <v>1.0526315789473684</v>
      </c>
      <c r="AB32" s="1264">
        <f t="shared" si="4"/>
        <v>1.0526315789473684</v>
      </c>
      <c r="AC32" s="1264">
        <f t="shared" si="5"/>
        <v>1.0526315789473684</v>
      </c>
    </row>
    <row r="33" spans="1:29" s="408" customFormat="1" ht="15">
      <c r="A33" s="406"/>
      <c r="B33" s="364" t="s">
        <v>1697</v>
      </c>
      <c r="C33" s="407">
        <f>'数据-汇总表'!F19</f>
        <v>199.39</v>
      </c>
      <c r="D33" s="119">
        <v>100</v>
      </c>
      <c r="E33" s="369">
        <f>租金案例!L5</f>
        <v>146.80000000000001</v>
      </c>
      <c r="F33" s="364">
        <f>LOOKUP(E33,103:103,104:104)-LOOKUP(C33,103:103,104:104)+100</f>
        <v>100</v>
      </c>
      <c r="G33" s="368">
        <f>租金案例!L9</f>
        <v>80</v>
      </c>
      <c r="H33" s="119">
        <f>LOOKUP(G33,103:103,104:104)-LOOKUP(C33,103:103,104:104)+100</f>
        <v>101</v>
      </c>
      <c r="I33" s="368">
        <f>租金案例!L10</f>
        <v>171.78</v>
      </c>
      <c r="J33" s="119">
        <f>LOOKUP(I33,103:103,104:104)-LOOKUP(C33,103:103,104:104)+100</f>
        <v>100</v>
      </c>
      <c r="K33" s="539"/>
      <c r="L33" s="2492"/>
      <c r="M33" s="2494"/>
      <c r="N33" s="2494"/>
      <c r="O33" s="2494"/>
      <c r="P33" s="3468"/>
      <c r="Q33" s="531" t="str">
        <f t="shared" si="11"/>
        <v>项目建筑规模</v>
      </c>
      <c r="R33" s="669" t="s">
        <v>14</v>
      </c>
      <c r="S33" s="670">
        <f t="shared" si="12"/>
        <v>100</v>
      </c>
      <c r="T33" s="669" t="s">
        <v>14</v>
      </c>
      <c r="U33" s="670">
        <f t="shared" si="13"/>
        <v>101</v>
      </c>
      <c r="V33" s="669" t="s">
        <v>14</v>
      </c>
      <c r="W33" s="670">
        <f t="shared" si="14"/>
        <v>100</v>
      </c>
      <c r="X33" s="671"/>
      <c r="Y33" s="3470"/>
      <c r="Z33" s="672" t="str">
        <f t="shared" si="15"/>
        <v>项目建筑规模</v>
      </c>
      <c r="AA33" s="1264">
        <f t="shared" si="3"/>
        <v>1</v>
      </c>
      <c r="AB33" s="1264">
        <f t="shared" si="4"/>
        <v>0.99009900990099009</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8"/>
      <c r="Q34" s="1263" t="str">
        <f t="shared" si="11"/>
        <v>建筑结构</v>
      </c>
      <c r="R34" s="667" t="s">
        <v>14</v>
      </c>
      <c r="S34" s="668">
        <f t="shared" si="12"/>
        <v>100</v>
      </c>
      <c r="T34" s="667" t="s">
        <v>14</v>
      </c>
      <c r="U34" s="668">
        <f t="shared" si="13"/>
        <v>100</v>
      </c>
      <c r="V34" s="667" t="s">
        <v>14</v>
      </c>
      <c r="W34" s="668">
        <f t="shared" si="14"/>
        <v>100</v>
      </c>
      <c r="X34" s="1265"/>
      <c r="Y34" s="347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8"/>
      <c r="Q35" s="1263" t="str">
        <f t="shared" si="11"/>
        <v>公共部分装修</v>
      </c>
      <c r="R35" s="667" t="s">
        <v>14</v>
      </c>
      <c r="S35" s="668">
        <f t="shared" si="12"/>
        <v>100</v>
      </c>
      <c r="T35" s="667" t="s">
        <v>14</v>
      </c>
      <c r="U35" s="668">
        <f t="shared" si="13"/>
        <v>100</v>
      </c>
      <c r="V35" s="667" t="s">
        <v>14</v>
      </c>
      <c r="W35" s="668">
        <f t="shared" si="14"/>
        <v>100</v>
      </c>
      <c r="X35" s="1265"/>
      <c r="Y35" s="3470"/>
      <c r="Z35" s="1264" t="str">
        <f t="shared" si="15"/>
        <v>公共部分装修</v>
      </c>
      <c r="AA35" s="1264">
        <f t="shared" si="3"/>
        <v>1</v>
      </c>
      <c r="AB35" s="1264">
        <f t="shared" si="4"/>
        <v>1</v>
      </c>
      <c r="AC35" s="1264">
        <f t="shared" si="5"/>
        <v>1</v>
      </c>
    </row>
    <row r="36" spans="1:29" ht="15">
      <c r="A36" s="409"/>
      <c r="B36" s="364" t="s">
        <v>1786</v>
      </c>
      <c r="C36" s="411">
        <f>'数据-取费表'!N6</f>
        <v>0.75</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68"/>
      <c r="Q36" s="1263" t="str">
        <f t="shared" si="11"/>
        <v>成新度</v>
      </c>
      <c r="R36" s="667" t="s">
        <v>14</v>
      </c>
      <c r="S36" s="668">
        <f t="shared" si="12"/>
        <v>100</v>
      </c>
      <c r="T36" s="667" t="s">
        <v>14</v>
      </c>
      <c r="U36" s="668">
        <f t="shared" si="13"/>
        <v>100</v>
      </c>
      <c r="V36" s="667" t="s">
        <v>14</v>
      </c>
      <c r="W36" s="668">
        <f t="shared" si="14"/>
        <v>100</v>
      </c>
      <c r="X36" s="1265"/>
      <c r="Y36" s="347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8"/>
      <c r="Q37" s="530" t="str">
        <f t="shared" si="11"/>
        <v>市政基础设施</v>
      </c>
      <c r="R37" s="664" t="s">
        <v>14</v>
      </c>
      <c r="S37" s="665">
        <f t="shared" si="12"/>
        <v>100</v>
      </c>
      <c r="T37" s="664" t="s">
        <v>14</v>
      </c>
      <c r="U37" s="665">
        <f t="shared" si="13"/>
        <v>100</v>
      </c>
      <c r="V37" s="664" t="s">
        <v>14</v>
      </c>
      <c r="W37" s="665">
        <f t="shared" si="14"/>
        <v>100</v>
      </c>
      <c r="X37" s="666"/>
      <c r="Y37" s="347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8" t="s">
        <v>1696</v>
      </c>
      <c r="Q38" s="1263" t="str">
        <f t="shared" si="11"/>
        <v>业态</v>
      </c>
      <c r="R38" s="667" t="s">
        <v>14</v>
      </c>
      <c r="S38" s="668">
        <f t="shared" si="12"/>
        <v>100</v>
      </c>
      <c r="T38" s="667" t="s">
        <v>14</v>
      </c>
      <c r="U38" s="668">
        <f t="shared" si="13"/>
        <v>100</v>
      </c>
      <c r="V38" s="667" t="s">
        <v>14</v>
      </c>
      <c r="W38" s="668">
        <f t="shared" si="14"/>
        <v>100</v>
      </c>
      <c r="X38" s="1265"/>
      <c r="Y38" s="347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8"/>
      <c r="Q39" s="1263" t="str">
        <f t="shared" si="11"/>
        <v>层高</v>
      </c>
      <c r="R39" s="667" t="s">
        <v>14</v>
      </c>
      <c r="S39" s="668">
        <f t="shared" si="12"/>
        <v>100</v>
      </c>
      <c r="T39" s="667" t="s">
        <v>14</v>
      </c>
      <c r="U39" s="668">
        <f t="shared" si="13"/>
        <v>100</v>
      </c>
      <c r="V39" s="667" t="s">
        <v>14</v>
      </c>
      <c r="W39" s="668">
        <f t="shared" si="14"/>
        <v>100</v>
      </c>
      <c r="X39" s="1265"/>
      <c r="Y39" s="347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8"/>
      <c r="Q40" s="1263" t="str">
        <f t="shared" si="11"/>
        <v>单套建筑面积</v>
      </c>
      <c r="R40" s="667" t="s">
        <v>14</v>
      </c>
      <c r="S40" s="668">
        <f t="shared" si="12"/>
        <v>100</v>
      </c>
      <c r="T40" s="667" t="s">
        <v>14</v>
      </c>
      <c r="U40" s="668">
        <f t="shared" si="13"/>
        <v>100</v>
      </c>
      <c r="V40" s="667" t="s">
        <v>14</v>
      </c>
      <c r="W40" s="668">
        <f t="shared" si="14"/>
        <v>100</v>
      </c>
      <c r="X40" s="1265"/>
      <c r="Y40" s="347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8"/>
      <c r="Q41" s="531" t="str">
        <f t="shared" si="11"/>
        <v>进深比</v>
      </c>
      <c r="R41" s="669" t="s">
        <v>14</v>
      </c>
      <c r="S41" s="670">
        <f t="shared" si="12"/>
        <v>100</v>
      </c>
      <c r="T41" s="669" t="s">
        <v>14</v>
      </c>
      <c r="U41" s="670">
        <f t="shared" si="13"/>
        <v>100</v>
      </c>
      <c r="V41" s="669" t="s">
        <v>14</v>
      </c>
      <c r="W41" s="670">
        <f t="shared" si="14"/>
        <v>100</v>
      </c>
      <c r="X41" s="671"/>
      <c r="Y41" s="3470"/>
      <c r="Z41" s="672" t="str">
        <f t="shared" si="15"/>
        <v>进深比</v>
      </c>
      <c r="AA41" s="1264">
        <f t="shared" si="3"/>
        <v>1</v>
      </c>
      <c r="AB41" s="1264">
        <f t="shared" si="4"/>
        <v>1</v>
      </c>
      <c r="AC41" s="1264">
        <f t="shared" si="5"/>
        <v>1</v>
      </c>
    </row>
    <row r="42" spans="1:29" ht="15">
      <c r="A42" s="409"/>
      <c r="B42" s="364" t="s">
        <v>1792</v>
      </c>
      <c r="C42" s="1760" t="s">
        <v>3497</v>
      </c>
      <c r="D42" s="374">
        <v>100</v>
      </c>
      <c r="E42" s="1760" t="s">
        <v>3497</v>
      </c>
      <c r="F42" s="400">
        <f>SUMIF(122:122,E42,123:123)-SUMIF(122:122,C42,123:123)+100</f>
        <v>100</v>
      </c>
      <c r="G42" s="1760" t="s">
        <v>3497</v>
      </c>
      <c r="H42" s="374">
        <f>SUMIF(122:122,G42,123:123)-SUMIF(122:122,C42,123:123)+100</f>
        <v>100</v>
      </c>
      <c r="I42" s="1760" t="s">
        <v>3497</v>
      </c>
      <c r="J42" s="374">
        <f>SUMIF(122:122,I42,123:123)-SUMIF(122:122,C42,123:123)+100</f>
        <v>100</v>
      </c>
      <c r="K42" s="538"/>
      <c r="L42" s="2493"/>
      <c r="M42" s="2488"/>
      <c r="N42" s="2488"/>
      <c r="O42" s="2488"/>
      <c r="P42" s="3468"/>
      <c r="Q42" s="1263" t="str">
        <f t="shared" si="11"/>
        <v>内部装修</v>
      </c>
      <c r="R42" s="667" t="s">
        <v>14</v>
      </c>
      <c r="S42" s="668">
        <f t="shared" si="12"/>
        <v>100</v>
      </c>
      <c r="T42" s="667" t="s">
        <v>14</v>
      </c>
      <c r="U42" s="668">
        <f t="shared" si="13"/>
        <v>100</v>
      </c>
      <c r="V42" s="667" t="s">
        <v>14</v>
      </c>
      <c r="W42" s="668">
        <f t="shared" si="14"/>
        <v>100</v>
      </c>
      <c r="X42" s="1265"/>
      <c r="Y42" s="3470"/>
      <c r="Z42" s="1264" t="str">
        <f t="shared" si="15"/>
        <v>内部装修</v>
      </c>
      <c r="AA42" s="1264">
        <f t="shared" si="3"/>
        <v>1</v>
      </c>
      <c r="AB42" s="1264">
        <f t="shared" si="4"/>
        <v>1</v>
      </c>
      <c r="AC42" s="1264">
        <f t="shared" si="5"/>
        <v>1</v>
      </c>
    </row>
    <row r="43" spans="1:29" ht="15">
      <c r="A43" s="409"/>
      <c r="B43" s="364" t="s">
        <v>1707</v>
      </c>
      <c r="C43" s="1760" t="s">
        <v>3479</v>
      </c>
      <c r="D43" s="374">
        <v>100</v>
      </c>
      <c r="E43" s="1760" t="s">
        <v>3479</v>
      </c>
      <c r="F43" s="400">
        <f>SUMIF(124:124,E43,125:125)-SUMIF(124:124,C43,125:125)+100</f>
        <v>100</v>
      </c>
      <c r="G43" s="1760" t="s">
        <v>3479</v>
      </c>
      <c r="H43" s="374">
        <f>SUMIF(124:124,G43,125:125)-SUMIF(124:124,C43,125:125)+100</f>
        <v>100</v>
      </c>
      <c r="I43" s="1760" t="s">
        <v>3479</v>
      </c>
      <c r="J43" s="374">
        <f>SUMIF(124:124,I43,125:125)-SUMIF(124:124,C43,125:125)+100</f>
        <v>100</v>
      </c>
      <c r="K43" s="538"/>
      <c r="L43" s="2493"/>
      <c r="M43" s="2488"/>
      <c r="N43" s="2488"/>
      <c r="O43" s="2488"/>
      <c r="P43" s="3468"/>
      <c r="Q43" s="1263" t="str">
        <f t="shared" si="11"/>
        <v>内部装修维护情况</v>
      </c>
      <c r="R43" s="667" t="s">
        <v>14</v>
      </c>
      <c r="S43" s="668">
        <f t="shared" si="12"/>
        <v>100</v>
      </c>
      <c r="T43" s="667" t="s">
        <v>14</v>
      </c>
      <c r="U43" s="668">
        <f t="shared" si="13"/>
        <v>100</v>
      </c>
      <c r="V43" s="667" t="s">
        <v>14</v>
      </c>
      <c r="W43" s="668">
        <f t="shared" si="14"/>
        <v>100</v>
      </c>
      <c r="X43" s="1265"/>
      <c r="Y43" s="347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8"/>
      <c r="Q44" s="530">
        <f t="shared" si="11"/>
        <v>111</v>
      </c>
      <c r="R44" s="664" t="s">
        <v>14</v>
      </c>
      <c r="S44" s="665">
        <f t="shared" si="12"/>
        <v>100</v>
      </c>
      <c r="T44" s="664" t="s">
        <v>14</v>
      </c>
      <c r="U44" s="665">
        <f t="shared" si="13"/>
        <v>100</v>
      </c>
      <c r="V44" s="664" t="s">
        <v>14</v>
      </c>
      <c r="W44" s="665">
        <f t="shared" si="14"/>
        <v>100</v>
      </c>
      <c r="X44" s="666"/>
      <c r="Y44" s="347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8"/>
      <c r="Q45" s="1263">
        <f t="shared" si="11"/>
        <v>111</v>
      </c>
      <c r="R45" s="667" t="s">
        <v>14</v>
      </c>
      <c r="S45" s="668">
        <f t="shared" si="12"/>
        <v>100</v>
      </c>
      <c r="T45" s="667" t="s">
        <v>14</v>
      </c>
      <c r="U45" s="668">
        <f t="shared" si="13"/>
        <v>100</v>
      </c>
      <c r="V45" s="667" t="s">
        <v>14</v>
      </c>
      <c r="W45" s="668">
        <f t="shared" si="14"/>
        <v>100</v>
      </c>
      <c r="X45" s="1265"/>
      <c r="Y45" s="347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69"/>
      <c r="Q46" s="1263">
        <f t="shared" si="11"/>
        <v>111</v>
      </c>
      <c r="R46" s="667" t="s">
        <v>14</v>
      </c>
      <c r="S46" s="668">
        <f t="shared" si="12"/>
        <v>100</v>
      </c>
      <c r="T46" s="667" t="s">
        <v>14</v>
      </c>
      <c r="U46" s="668">
        <f t="shared" si="13"/>
        <v>100</v>
      </c>
      <c r="V46" s="667" t="s">
        <v>14</v>
      </c>
      <c r="W46" s="668">
        <f t="shared" si="14"/>
        <v>100</v>
      </c>
      <c r="X46" s="1265"/>
      <c r="Y46" s="3471"/>
      <c r="Z46" s="1264">
        <f t="shared" si="15"/>
        <v>111</v>
      </c>
      <c r="AA46" s="1264">
        <f t="shared" si="3"/>
        <v>1</v>
      </c>
      <c r="AB46" s="1264">
        <f t="shared" si="4"/>
        <v>1</v>
      </c>
      <c r="AC46" s="1264">
        <f t="shared" si="5"/>
        <v>1</v>
      </c>
    </row>
    <row r="47" spans="1:29" ht="15">
      <c r="A47" s="416" t="s">
        <v>1708</v>
      </c>
      <c r="B47" s="417"/>
      <c r="C47" s="1081" t="s">
        <v>0</v>
      </c>
      <c r="D47" s="418"/>
      <c r="E47" s="419">
        <f>租金案例!M5</f>
        <v>7.1</v>
      </c>
      <c r="F47" s="420"/>
      <c r="G47" s="421">
        <f>租金案例!M9</f>
        <v>6.6</v>
      </c>
      <c r="H47" s="422"/>
      <c r="I47" s="419">
        <f>租金案例!M10</f>
        <v>7.66</v>
      </c>
      <c r="J47" s="422"/>
      <c r="K47" s="674"/>
      <c r="L47" s="2495"/>
      <c r="M47" s="2488"/>
      <c r="N47" s="2488"/>
      <c r="O47" s="2488"/>
      <c r="P47" s="3464" t="str">
        <f>A47</f>
        <v>成交单价（元/平方米）</v>
      </c>
      <c r="Q47" s="3464"/>
      <c r="R47" s="3459">
        <f>E47</f>
        <v>7.1</v>
      </c>
      <c r="S47" s="3459"/>
      <c r="T47" s="3459">
        <f>G47</f>
        <v>6.6</v>
      </c>
      <c r="U47" s="3459"/>
      <c r="V47" s="3459">
        <f>I47</f>
        <v>7.66</v>
      </c>
      <c r="W47" s="3459"/>
      <c r="X47" s="385"/>
      <c r="Y47" s="673"/>
      <c r="Z47" s="385"/>
      <c r="AA47" s="385"/>
      <c r="AB47" s="385"/>
      <c r="AC47" s="385"/>
    </row>
    <row r="48" spans="1:29" ht="15.75" thickBot="1">
      <c r="A48" s="423" t="s">
        <v>1793</v>
      </c>
      <c r="B48" s="424"/>
      <c r="C48" s="1082">
        <f>R49</f>
        <v>7.3</v>
      </c>
      <c r="D48" s="2141" t="s">
        <v>2138</v>
      </c>
      <c r="E48" s="1083">
        <f>R48</f>
        <v>7.3</v>
      </c>
      <c r="F48" s="2142"/>
      <c r="G48" s="1082">
        <f>T48</f>
        <v>6.8</v>
      </c>
      <c r="H48" s="2142"/>
      <c r="I48" s="1083">
        <f>V48</f>
        <v>7.9</v>
      </c>
      <c r="J48" s="2142"/>
      <c r="K48" s="2144">
        <f>F48+H48+J48</f>
        <v>0</v>
      </c>
      <c r="L48" s="2495"/>
      <c r="M48" s="2488"/>
      <c r="N48" s="2488"/>
      <c r="O48" s="2488"/>
      <c r="P48" s="3464" t="str">
        <f>A48</f>
        <v>比较价值（元/平方米）</v>
      </c>
      <c r="Q48" s="3464"/>
      <c r="R48" s="3459">
        <f>IF(F1="售价",ROUND(PRODUCT(R47,AA7:AA46),0),ROUND(PRODUCT(R47,AA7:AA46),1))</f>
        <v>7.3</v>
      </c>
      <c r="S48" s="3459"/>
      <c r="T48" s="3459">
        <f>IF(F1="售价",ROUND(PRODUCT(T47,AB7:AB46),0),ROUND(PRODUCT(T47,AB7:AB46),1))</f>
        <v>6.8</v>
      </c>
      <c r="U48" s="3459"/>
      <c r="V48" s="3459">
        <f>IF(F1="售价",ROUND(PRODUCT(V47,AC7:AC46),0),ROUND(PRODUCT(V47,AC7:AC46),1))</f>
        <v>7.9</v>
      </c>
      <c r="W48" s="3459"/>
      <c r="X48" s="385"/>
      <c r="Y48" s="385"/>
      <c r="Z48" s="385"/>
      <c r="AA48" s="385"/>
      <c r="AB48" s="385"/>
      <c r="AC48" s="385"/>
    </row>
    <row r="49" spans="1:29" ht="15.75" thickBot="1">
      <c r="A49" s="427" t="s">
        <v>1794</v>
      </c>
      <c r="B49" s="428"/>
      <c r="C49" s="351">
        <f>R49</f>
        <v>7.3</v>
      </c>
      <c r="D49" s="351"/>
      <c r="E49" s="351"/>
      <c r="F49" s="351"/>
      <c r="G49" s="351"/>
      <c r="H49" s="351"/>
      <c r="I49" s="351"/>
      <c r="J49" s="351"/>
      <c r="K49" s="675"/>
      <c r="L49" s="2495"/>
      <c r="M49" s="2488"/>
      <c r="N49" s="2488"/>
      <c r="O49" s="2488"/>
      <c r="P49" s="3461" t="str">
        <f>A49</f>
        <v>估价对象XX用房的比较价值（楼面单价，元/平方米）</v>
      </c>
      <c r="Q49" s="3462"/>
      <c r="R49" s="3463">
        <f>IF(F1="售价",ROUND(IF(D48="简单平均",AVERAGE(R48:V48),R48*F48+T48*H48+V48*J48),0),ROUND(IF(D48="简单平均",AVERAGE(R48:V48),R48*F48+T48*H48+V48*J48),1))</f>
        <v>7.3</v>
      </c>
      <c r="S49" s="3463"/>
      <c r="T49" s="3463"/>
      <c r="U49" s="3463"/>
      <c r="V49" s="3463"/>
      <c r="W49" s="346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2.8169014084507005E-2</v>
      </c>
      <c r="F52" s="435" t="str">
        <f>IF(OR(E52&gt;=0.3,E52&lt;=-0.3),"超过30%","")</f>
        <v/>
      </c>
      <c r="G52" s="434">
        <f>IF(G47&lt;G48,G48/G47-1,G47/G48-1)</f>
        <v>3.0303030303030276E-2</v>
      </c>
      <c r="H52" s="435" t="str">
        <f>IF(OR(G52&gt;=0.3,G52&lt;=-0.3),"超过30%","")</f>
        <v/>
      </c>
      <c r="I52" s="434">
        <f>IF(I47&lt;I48,I48/I47-1,I47/I48-1)</f>
        <v>3.1331592689294974E-2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7.3529411764705843E-2</v>
      </c>
      <c r="F53" s="435" t="str">
        <f>IF(OR(E53&gt;=0.2,E53&lt;=-0.2),"超过20%","")</f>
        <v/>
      </c>
      <c r="G53" s="434">
        <f>IF(G48&lt;I48,I48/G48-1,G48/I48-1)</f>
        <v>0.16176470588235303</v>
      </c>
      <c r="H53" s="435" t="str">
        <f>IF(OR(G53&gt;=0.2,G53&lt;=-0.2),"超过20%","")</f>
        <v/>
      </c>
      <c r="I53" s="434">
        <f>IF(I48&lt;E48,E48/I48-1,I48/E48-1)</f>
        <v>8.2191780821917915E-2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7.575757575757569E-2</v>
      </c>
      <c r="F54" s="435" t="str">
        <f>IF(OR(E54&gt;=0.3,E54&lt;=-0.3),"超过30%","")</f>
        <v/>
      </c>
      <c r="G54" s="434">
        <f>IF(G47&lt;I47,I47/G47-1,G47/I47-1)</f>
        <v>0.16060606060606064</v>
      </c>
      <c r="H54" s="435" t="str">
        <f>IF(OR(G54&gt;=0.3,G54&lt;=-0.3),"超过30%","")</f>
        <v/>
      </c>
      <c r="I54" s="434">
        <f>IF(I47&lt;E47,E47/I47-1,I47/E47-1)</f>
        <v>7.8873239436619835E-2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5" t="s">
        <v>3478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101</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76" t="s">
        <v>3482</v>
      </c>
      <c r="D86" s="3176" t="s">
        <v>3483</v>
      </c>
      <c r="E86" s="3176" t="s">
        <v>3485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99.5</v>
      </c>
      <c r="E87" s="475">
        <f t="shared" si="20"/>
        <v>99</v>
      </c>
      <c r="F87" s="475">
        <f t="shared" si="20"/>
        <v>98.5</v>
      </c>
      <c r="G87" s="475">
        <f t="shared" si="20"/>
        <v>98</v>
      </c>
      <c r="H87" s="475">
        <f t="shared" si="20"/>
        <v>97.5</v>
      </c>
      <c r="I87" s="475">
        <f t="shared" si="20"/>
        <v>97</v>
      </c>
      <c r="J87" s="475">
        <f t="shared" si="20"/>
        <v>96.5</v>
      </c>
      <c r="K87" s="475">
        <f t="shared" si="20"/>
        <v>96</v>
      </c>
      <c r="L87" s="475">
        <f t="shared" si="20"/>
        <v>95.5</v>
      </c>
      <c r="M87" s="475">
        <f t="shared" si="20"/>
        <v>95</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76" t="s">
        <v>3486</v>
      </c>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6" t="s">
        <v>3495</v>
      </c>
      <c r="D90" s="3176" t="s">
        <v>3488</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3489</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79" t="s">
        <v>3500</v>
      </c>
      <c r="D100" s="3179" t="s">
        <v>3502</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99</v>
      </c>
      <c r="E104" s="467">
        <f t="shared" ref="E104:F104" si="24">D104-$G$104</f>
        <v>98</v>
      </c>
      <c r="F104" s="467">
        <f t="shared" si="24"/>
        <v>97</v>
      </c>
      <c r="G104" s="467">
        <v>1</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6" t="s">
        <v>3496</v>
      </c>
      <c r="D122" s="3176" t="s">
        <v>3498</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199.39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80" t="s">
        <v>1775</v>
      </c>
      <c r="Q4" s="3481"/>
      <c r="R4" s="3475" t="s">
        <v>1771</v>
      </c>
      <c r="S4" s="3476"/>
      <c r="T4" s="3475" t="s">
        <v>1772</v>
      </c>
      <c r="U4" s="3476"/>
      <c r="V4" s="3484" t="s">
        <v>1773</v>
      </c>
      <c r="W4" s="3484"/>
      <c r="X4" s="1809"/>
      <c r="Y4" s="3475" t="s">
        <v>1775</v>
      </c>
      <c r="Z4" s="3476"/>
      <c r="AA4" s="3474" t="s">
        <v>1771</v>
      </c>
      <c r="AB4" s="3474" t="s">
        <v>1772</v>
      </c>
      <c r="AC4" s="3477" t="s">
        <v>1773</v>
      </c>
    </row>
    <row r="5" spans="1:29" ht="15">
      <c r="A5" s="348"/>
      <c r="B5" s="349"/>
      <c r="C5" s="3440" t="s">
        <v>1673</v>
      </c>
      <c r="D5" s="3441"/>
      <c r="E5" s="3438" t="s">
        <v>1674</v>
      </c>
      <c r="F5" s="3439"/>
      <c r="G5" s="3440" t="s">
        <v>1675</v>
      </c>
      <c r="H5" s="3441"/>
      <c r="I5" s="3440" t="s">
        <v>1676</v>
      </c>
      <c r="J5" s="3441"/>
      <c r="K5" s="537"/>
      <c r="L5" s="2487"/>
      <c r="M5" s="2488"/>
      <c r="N5" s="2488"/>
      <c r="O5" s="2488"/>
      <c r="P5" s="3482"/>
      <c r="Q5" s="3454"/>
      <c r="R5" s="3436"/>
      <c r="S5" s="3437"/>
      <c r="T5" s="3436"/>
      <c r="U5" s="3437"/>
      <c r="V5" s="3459"/>
      <c r="W5" s="3459"/>
      <c r="X5" s="1265"/>
      <c r="Y5" s="3436"/>
      <c r="Z5" s="3437"/>
      <c r="AA5" s="3430"/>
      <c r="AB5" s="3430"/>
      <c r="AC5" s="3478"/>
    </row>
    <row r="6" spans="1:29" ht="15.75" thickBot="1">
      <c r="A6" s="350"/>
      <c r="B6" s="351"/>
      <c r="C6" s="3442" t="s">
        <v>1677</v>
      </c>
      <c r="D6" s="3443"/>
      <c r="E6" s="3444" t="s">
        <v>1677</v>
      </c>
      <c r="F6" s="3445"/>
      <c r="G6" s="3442" t="s">
        <v>1677</v>
      </c>
      <c r="H6" s="3443"/>
      <c r="I6" s="3442" t="s">
        <v>1677</v>
      </c>
      <c r="J6" s="3443"/>
      <c r="K6" s="537" t="s">
        <v>1678</v>
      </c>
      <c r="L6" s="2487"/>
      <c r="M6" s="2488"/>
      <c r="N6" s="2488"/>
      <c r="O6" s="2488"/>
      <c r="P6" s="3483"/>
      <c r="Q6" s="3456"/>
      <c r="R6" s="3436"/>
      <c r="S6" s="3437"/>
      <c r="T6" s="3457"/>
      <c r="U6" s="3458"/>
      <c r="V6" s="3459"/>
      <c r="W6" s="3459"/>
      <c r="X6" s="1265"/>
      <c r="Y6" s="3457"/>
      <c r="Z6" s="3458"/>
      <c r="AA6" s="3431"/>
      <c r="AB6" s="3431"/>
      <c r="AC6" s="3479"/>
    </row>
    <row r="7" spans="1:29" s="102" customFormat="1" ht="15.75" thickBot="1">
      <c r="A7" s="352" t="s">
        <v>1679</v>
      </c>
      <c r="B7" s="353"/>
      <c r="C7" s="354">
        <f>'数据-取费表'!B2</f>
        <v>45860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5" t="s">
        <v>1680</v>
      </c>
      <c r="Q7" s="3460"/>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5" t="s">
        <v>1683</v>
      </c>
      <c r="Q8" s="3433"/>
      <c r="R8" s="664" t="s">
        <v>14</v>
      </c>
      <c r="S8" s="665">
        <f t="shared" si="0"/>
        <v>100</v>
      </c>
      <c r="T8" s="664" t="s">
        <v>14</v>
      </c>
      <c r="U8" s="665">
        <f t="shared" si="1"/>
        <v>100</v>
      </c>
      <c r="V8" s="664" t="s">
        <v>14</v>
      </c>
      <c r="W8" s="665">
        <f t="shared" si="2"/>
        <v>100</v>
      </c>
      <c r="X8" s="666"/>
      <c r="Y8" s="3432" t="s">
        <v>1683</v>
      </c>
      <c r="Z8" s="343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6"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6"/>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6"/>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6"/>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6"/>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6"/>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72" t="s">
        <v>1691</v>
      </c>
      <c r="Q15" s="1263" t="str">
        <f t="shared" si="6"/>
        <v>办公集聚程度</v>
      </c>
      <c r="R15" s="667" t="s">
        <v>14</v>
      </c>
      <c r="S15" s="668">
        <f t="shared" si="0"/>
        <v>100</v>
      </c>
      <c r="T15" s="667" t="s">
        <v>14</v>
      </c>
      <c r="U15" s="668">
        <f t="shared" si="1"/>
        <v>100</v>
      </c>
      <c r="V15" s="667" t="s">
        <v>14</v>
      </c>
      <c r="W15" s="668">
        <f t="shared" si="2"/>
        <v>100</v>
      </c>
      <c r="X15" s="1265"/>
      <c r="Y15" s="346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73"/>
      <c r="Q16" s="1263"/>
      <c r="R16" s="667"/>
      <c r="S16" s="668"/>
      <c r="T16" s="667"/>
      <c r="U16" s="668"/>
      <c r="V16" s="667"/>
      <c r="W16" s="668"/>
      <c r="X16" s="1265"/>
      <c r="Y16" s="346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73"/>
      <c r="Q17" s="1263" t="str">
        <f>B17</f>
        <v>交通便捷度</v>
      </c>
      <c r="R17" s="667" t="s">
        <v>14</v>
      </c>
      <c r="S17" s="668">
        <f>F17</f>
        <v>100</v>
      </c>
      <c r="T17" s="667" t="s">
        <v>14</v>
      </c>
      <c r="U17" s="668">
        <f>H17</f>
        <v>100</v>
      </c>
      <c r="V17" s="667" t="s">
        <v>14</v>
      </c>
      <c r="W17" s="668">
        <f>J17</f>
        <v>100</v>
      </c>
      <c r="X17" s="1265"/>
      <c r="Y17" s="346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73"/>
      <c r="Q18" s="1263"/>
      <c r="R18" s="667"/>
      <c r="S18" s="668"/>
      <c r="T18" s="667"/>
      <c r="U18" s="668"/>
      <c r="V18" s="667"/>
      <c r="W18" s="668"/>
      <c r="X18" s="1265"/>
      <c r="Y18" s="346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73"/>
      <c r="Q19" s="1263" t="str">
        <f>B19</f>
        <v>公共配套设施</v>
      </c>
      <c r="R19" s="667" t="s">
        <v>14</v>
      </c>
      <c r="S19" s="668">
        <f>F19</f>
        <v>100</v>
      </c>
      <c r="T19" s="667" t="s">
        <v>14</v>
      </c>
      <c r="U19" s="668">
        <f>H19</f>
        <v>100</v>
      </c>
      <c r="V19" s="667" t="s">
        <v>14</v>
      </c>
      <c r="W19" s="668">
        <f>J19</f>
        <v>100</v>
      </c>
      <c r="X19" s="1265"/>
      <c r="Y19" s="346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73"/>
      <c r="Q20" s="1263"/>
      <c r="R20" s="667"/>
      <c r="S20" s="668"/>
      <c r="T20" s="667"/>
      <c r="U20" s="668"/>
      <c r="V20" s="667"/>
      <c r="W20" s="668"/>
      <c r="X20" s="1265"/>
      <c r="Y20" s="346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73"/>
      <c r="Q21" s="1263" t="str">
        <f>B21</f>
        <v>基础设施水平</v>
      </c>
      <c r="R21" s="667" t="s">
        <v>14</v>
      </c>
      <c r="S21" s="668">
        <f>F21</f>
        <v>100</v>
      </c>
      <c r="T21" s="667" t="s">
        <v>14</v>
      </c>
      <c r="U21" s="668">
        <f>H21</f>
        <v>100</v>
      </c>
      <c r="V21" s="667" t="s">
        <v>14</v>
      </c>
      <c r="W21" s="668">
        <f>J21</f>
        <v>100</v>
      </c>
      <c r="X21" s="1265"/>
      <c r="Y21" s="346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73"/>
      <c r="Q22" s="1263"/>
      <c r="R22" s="667"/>
      <c r="S22" s="668"/>
      <c r="T22" s="667"/>
      <c r="U22" s="668"/>
      <c r="V22" s="667"/>
      <c r="W22" s="668"/>
      <c r="X22" s="1265"/>
      <c r="Y22" s="346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73"/>
      <c r="Q23" s="1263" t="str">
        <f>B23</f>
        <v>环境质量</v>
      </c>
      <c r="R23" s="667" t="s">
        <v>14</v>
      </c>
      <c r="S23" s="668">
        <f>F23</f>
        <v>100</v>
      </c>
      <c r="T23" s="667" t="s">
        <v>14</v>
      </c>
      <c r="U23" s="668">
        <f>H23</f>
        <v>100</v>
      </c>
      <c r="V23" s="667" t="s">
        <v>14</v>
      </c>
      <c r="W23" s="668">
        <f>J23</f>
        <v>100</v>
      </c>
      <c r="X23" s="1265"/>
      <c r="Y23" s="346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73"/>
      <c r="Q24" s="1263"/>
      <c r="R24" s="667"/>
      <c r="S24" s="668"/>
      <c r="T24" s="667"/>
      <c r="U24" s="668"/>
      <c r="V24" s="667"/>
      <c r="W24" s="668"/>
      <c r="X24" s="1265"/>
      <c r="Y24" s="346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73"/>
      <c r="Q25" s="1263" t="str">
        <f>B25</f>
        <v>毗邻道路的类型与等级</v>
      </c>
      <c r="R25" s="667" t="s">
        <v>14</v>
      </c>
      <c r="S25" s="668">
        <f>F25</f>
        <v>100</v>
      </c>
      <c r="T25" s="667" t="s">
        <v>14</v>
      </c>
      <c r="U25" s="668">
        <f>H25</f>
        <v>100</v>
      </c>
      <c r="V25" s="667" t="s">
        <v>14</v>
      </c>
      <c r="W25" s="668">
        <f>J25</f>
        <v>100</v>
      </c>
      <c r="X25" s="1265"/>
      <c r="Y25" s="346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73"/>
      <c r="Q26" s="1263"/>
      <c r="R26" s="667"/>
      <c r="S26" s="668"/>
      <c r="T26" s="667"/>
      <c r="U26" s="668"/>
      <c r="V26" s="667"/>
      <c r="W26" s="668"/>
      <c r="X26" s="1265"/>
      <c r="Y26" s="346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73"/>
      <c r="Q27" s="1263" t="str">
        <f t="shared" ref="Q27:Q47" si="11">B27</f>
        <v>楼层</v>
      </c>
      <c r="R27" s="667" t="s">
        <v>14</v>
      </c>
      <c r="S27" s="668">
        <f>F27</f>
        <v>100</v>
      </c>
      <c r="T27" s="667" t="s">
        <v>14</v>
      </c>
      <c r="U27" s="668">
        <f>H27</f>
        <v>100</v>
      </c>
      <c r="V27" s="667" t="s">
        <v>14</v>
      </c>
      <c r="W27" s="668">
        <f>J27</f>
        <v>100</v>
      </c>
      <c r="X27" s="1265"/>
      <c r="Y27" s="346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73"/>
      <c r="Q28" s="530" t="str">
        <f t="shared" si="11"/>
        <v>朝向</v>
      </c>
      <c r="R28" s="664" t="s">
        <v>14</v>
      </c>
      <c r="S28" s="665">
        <f>F28</f>
        <v>100</v>
      </c>
      <c r="T28" s="664" t="s">
        <v>14</v>
      </c>
      <c r="U28" s="665">
        <f>H28</f>
        <v>100</v>
      </c>
      <c r="V28" s="664" t="s">
        <v>14</v>
      </c>
      <c r="W28" s="665">
        <f>J28</f>
        <v>100</v>
      </c>
      <c r="X28" s="666"/>
      <c r="Y28" s="346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73"/>
      <c r="Q29" s="1263">
        <f t="shared" si="11"/>
        <v>111</v>
      </c>
      <c r="R29" s="667" t="s">
        <v>14</v>
      </c>
      <c r="S29" s="668">
        <f t="shared" ref="S29:S47" si="12">F29</f>
        <v>100</v>
      </c>
      <c r="T29" s="667" t="s">
        <v>14</v>
      </c>
      <c r="U29" s="668">
        <f t="shared" ref="U29:U47" si="13">H29</f>
        <v>100</v>
      </c>
      <c r="V29" s="667" t="s">
        <v>14</v>
      </c>
      <c r="W29" s="668">
        <f t="shared" ref="W29:W47" si="14">J29</f>
        <v>100</v>
      </c>
      <c r="X29" s="1265"/>
      <c r="Y29" s="346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73"/>
      <c r="Q30" s="1263">
        <f t="shared" si="11"/>
        <v>111</v>
      </c>
      <c r="R30" s="667" t="s">
        <v>14</v>
      </c>
      <c r="S30" s="668">
        <f t="shared" si="12"/>
        <v>100</v>
      </c>
      <c r="T30" s="667" t="s">
        <v>14</v>
      </c>
      <c r="U30" s="668">
        <f t="shared" si="13"/>
        <v>100</v>
      </c>
      <c r="V30" s="667" t="s">
        <v>14</v>
      </c>
      <c r="W30" s="668">
        <f t="shared" si="14"/>
        <v>100</v>
      </c>
      <c r="X30" s="1265"/>
      <c r="Y30" s="346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73"/>
      <c r="Q31" s="1263">
        <f t="shared" si="11"/>
        <v>111</v>
      </c>
      <c r="R31" s="667" t="s">
        <v>14</v>
      </c>
      <c r="S31" s="668">
        <f t="shared" si="12"/>
        <v>100</v>
      </c>
      <c r="T31" s="667" t="s">
        <v>14</v>
      </c>
      <c r="U31" s="668">
        <f t="shared" si="13"/>
        <v>100</v>
      </c>
      <c r="V31" s="667" t="s">
        <v>14</v>
      </c>
      <c r="W31" s="668">
        <f t="shared" si="14"/>
        <v>100</v>
      </c>
      <c r="X31" s="1265"/>
      <c r="Y31" s="346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73"/>
      <c r="Q32" s="1263">
        <f t="shared" si="11"/>
        <v>111</v>
      </c>
      <c r="R32" s="667" t="s">
        <v>14</v>
      </c>
      <c r="S32" s="668">
        <f t="shared" si="12"/>
        <v>100</v>
      </c>
      <c r="T32" s="667" t="s">
        <v>14</v>
      </c>
      <c r="U32" s="668">
        <f t="shared" si="13"/>
        <v>100</v>
      </c>
      <c r="V32" s="667" t="s">
        <v>14</v>
      </c>
      <c r="W32" s="668">
        <f t="shared" si="14"/>
        <v>100</v>
      </c>
      <c r="X32" s="1265"/>
      <c r="Y32" s="346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7" t="s">
        <v>1696</v>
      </c>
      <c r="Q33" s="1263" t="str">
        <f t="shared" si="11"/>
        <v>建筑类型</v>
      </c>
      <c r="R33" s="667" t="s">
        <v>14</v>
      </c>
      <c r="S33" s="668">
        <f t="shared" si="12"/>
        <v>100</v>
      </c>
      <c r="T33" s="667" t="s">
        <v>14</v>
      </c>
      <c r="U33" s="668">
        <f t="shared" si="13"/>
        <v>100</v>
      </c>
      <c r="V33" s="667" t="s">
        <v>14</v>
      </c>
      <c r="W33" s="668">
        <f t="shared" si="14"/>
        <v>100</v>
      </c>
      <c r="X33" s="1265"/>
      <c r="Y33" s="347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68"/>
      <c r="Q34" s="531" t="str">
        <f t="shared" si="11"/>
        <v>项目建筑规模</v>
      </c>
      <c r="R34" s="669" t="s">
        <v>14</v>
      </c>
      <c r="S34" s="670" t="e">
        <f t="shared" si="12"/>
        <v>#N/A</v>
      </c>
      <c r="T34" s="669" t="s">
        <v>14</v>
      </c>
      <c r="U34" s="670" t="e">
        <f t="shared" si="13"/>
        <v>#N/A</v>
      </c>
      <c r="V34" s="669" t="s">
        <v>14</v>
      </c>
      <c r="W34" s="670" t="e">
        <f t="shared" si="14"/>
        <v>#N/A</v>
      </c>
      <c r="X34" s="671"/>
      <c r="Y34" s="347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8"/>
      <c r="Q35" s="1263" t="str">
        <f t="shared" si="11"/>
        <v>建筑结构</v>
      </c>
      <c r="R35" s="667" t="s">
        <v>14</v>
      </c>
      <c r="S35" s="668">
        <f t="shared" si="12"/>
        <v>100</v>
      </c>
      <c r="T35" s="667" t="s">
        <v>14</v>
      </c>
      <c r="U35" s="668">
        <f t="shared" si="13"/>
        <v>100</v>
      </c>
      <c r="V35" s="667" t="s">
        <v>14</v>
      </c>
      <c r="W35" s="668">
        <f t="shared" si="14"/>
        <v>100</v>
      </c>
      <c r="X35" s="1265"/>
      <c r="Y35" s="347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8"/>
      <c r="Q36" s="1263" t="str">
        <f t="shared" si="11"/>
        <v>公共部分装修</v>
      </c>
      <c r="R36" s="667" t="s">
        <v>14</v>
      </c>
      <c r="S36" s="668">
        <f t="shared" si="12"/>
        <v>100</v>
      </c>
      <c r="T36" s="667" t="s">
        <v>14</v>
      </c>
      <c r="U36" s="668">
        <f t="shared" si="13"/>
        <v>100</v>
      </c>
      <c r="V36" s="667" t="s">
        <v>14</v>
      </c>
      <c r="W36" s="668">
        <f t="shared" si="14"/>
        <v>100</v>
      </c>
      <c r="X36" s="1265"/>
      <c r="Y36" s="347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68"/>
      <c r="Q37" s="1263" t="str">
        <f t="shared" si="11"/>
        <v>成新度</v>
      </c>
      <c r="R37" s="667" t="s">
        <v>14</v>
      </c>
      <c r="S37" s="668" t="e">
        <f t="shared" si="12"/>
        <v>#N/A</v>
      </c>
      <c r="T37" s="667" t="s">
        <v>14</v>
      </c>
      <c r="U37" s="668" t="e">
        <f t="shared" si="13"/>
        <v>#N/A</v>
      </c>
      <c r="V37" s="667" t="s">
        <v>14</v>
      </c>
      <c r="W37" s="668" t="e">
        <f t="shared" si="14"/>
        <v>#N/A</v>
      </c>
      <c r="X37" s="1265"/>
      <c r="Y37" s="347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8"/>
      <c r="Q38" s="530" t="str">
        <f t="shared" si="11"/>
        <v>写字楼等级</v>
      </c>
      <c r="R38" s="664" t="s">
        <v>14</v>
      </c>
      <c r="S38" s="665">
        <f t="shared" si="12"/>
        <v>100</v>
      </c>
      <c r="T38" s="664" t="s">
        <v>14</v>
      </c>
      <c r="U38" s="665">
        <f t="shared" si="13"/>
        <v>100</v>
      </c>
      <c r="V38" s="664" t="s">
        <v>14</v>
      </c>
      <c r="W38" s="665">
        <f t="shared" si="14"/>
        <v>100</v>
      </c>
      <c r="X38" s="666"/>
      <c r="Y38" s="347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8" t="s">
        <v>1696</v>
      </c>
      <c r="Q39" s="1263" t="str">
        <f t="shared" si="11"/>
        <v>物业管理</v>
      </c>
      <c r="R39" s="667" t="s">
        <v>14</v>
      </c>
      <c r="S39" s="668">
        <f t="shared" si="12"/>
        <v>100</v>
      </c>
      <c r="T39" s="667" t="s">
        <v>14</v>
      </c>
      <c r="U39" s="668">
        <f t="shared" si="13"/>
        <v>100</v>
      </c>
      <c r="V39" s="667" t="s">
        <v>14</v>
      </c>
      <c r="W39" s="668">
        <f t="shared" si="14"/>
        <v>100</v>
      </c>
      <c r="X39" s="1265"/>
      <c r="Y39" s="347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8"/>
      <c r="Q40" s="1263" t="str">
        <f t="shared" si="11"/>
        <v>市政基础设施</v>
      </c>
      <c r="R40" s="667" t="s">
        <v>14</v>
      </c>
      <c r="S40" s="668">
        <f t="shared" si="12"/>
        <v>100</v>
      </c>
      <c r="T40" s="667" t="s">
        <v>14</v>
      </c>
      <c r="U40" s="668">
        <f t="shared" si="13"/>
        <v>100</v>
      </c>
      <c r="V40" s="667" t="s">
        <v>14</v>
      </c>
      <c r="W40" s="668">
        <f t="shared" si="14"/>
        <v>100</v>
      </c>
      <c r="X40" s="1265"/>
      <c r="Y40" s="347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8"/>
      <c r="Q41" s="1263" t="str">
        <f t="shared" si="11"/>
        <v>层高</v>
      </c>
      <c r="R41" s="667" t="s">
        <v>14</v>
      </c>
      <c r="S41" s="668">
        <f t="shared" si="12"/>
        <v>100</v>
      </c>
      <c r="T41" s="667" t="s">
        <v>14</v>
      </c>
      <c r="U41" s="668">
        <f t="shared" si="13"/>
        <v>100</v>
      </c>
      <c r="V41" s="667" t="s">
        <v>14</v>
      </c>
      <c r="W41" s="668">
        <f t="shared" si="14"/>
        <v>100</v>
      </c>
      <c r="X41" s="1265"/>
      <c r="Y41" s="347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8"/>
      <c r="Q42" s="531" t="str">
        <f t="shared" si="11"/>
        <v>单套建筑面积</v>
      </c>
      <c r="R42" s="669" t="s">
        <v>14</v>
      </c>
      <c r="S42" s="670">
        <f t="shared" si="12"/>
        <v>100</v>
      </c>
      <c r="T42" s="669" t="s">
        <v>14</v>
      </c>
      <c r="U42" s="670">
        <f t="shared" si="13"/>
        <v>100</v>
      </c>
      <c r="V42" s="669" t="s">
        <v>14</v>
      </c>
      <c r="W42" s="670">
        <f t="shared" si="14"/>
        <v>100</v>
      </c>
      <c r="X42" s="671"/>
      <c r="Y42" s="347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8"/>
      <c r="Q43" s="1263" t="str">
        <f t="shared" si="11"/>
        <v>内部装修</v>
      </c>
      <c r="R43" s="667" t="s">
        <v>14</v>
      </c>
      <c r="S43" s="668">
        <f t="shared" si="12"/>
        <v>100</v>
      </c>
      <c r="T43" s="667" t="s">
        <v>14</v>
      </c>
      <c r="U43" s="668">
        <f t="shared" si="13"/>
        <v>100</v>
      </c>
      <c r="V43" s="667" t="s">
        <v>14</v>
      </c>
      <c r="W43" s="668">
        <f t="shared" si="14"/>
        <v>100</v>
      </c>
      <c r="X43" s="1265"/>
      <c r="Y43" s="347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8"/>
      <c r="Q44" s="1263" t="str">
        <f t="shared" si="11"/>
        <v>内部装修维护情况</v>
      </c>
      <c r="R44" s="667" t="s">
        <v>14</v>
      </c>
      <c r="S44" s="668">
        <f t="shared" si="12"/>
        <v>100</v>
      </c>
      <c r="T44" s="667" t="s">
        <v>14</v>
      </c>
      <c r="U44" s="668">
        <f t="shared" si="13"/>
        <v>100</v>
      </c>
      <c r="V44" s="667" t="s">
        <v>14</v>
      </c>
      <c r="W44" s="668">
        <f t="shared" si="14"/>
        <v>100</v>
      </c>
      <c r="X44" s="1265"/>
      <c r="Y44" s="347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8"/>
      <c r="Q45" s="530">
        <f t="shared" si="11"/>
        <v>111</v>
      </c>
      <c r="R45" s="664" t="s">
        <v>14</v>
      </c>
      <c r="S45" s="665">
        <f t="shared" si="12"/>
        <v>100</v>
      </c>
      <c r="T45" s="664" t="s">
        <v>14</v>
      </c>
      <c r="U45" s="665">
        <f t="shared" si="13"/>
        <v>100</v>
      </c>
      <c r="V45" s="664" t="s">
        <v>14</v>
      </c>
      <c r="W45" s="665">
        <f t="shared" si="14"/>
        <v>100</v>
      </c>
      <c r="X45" s="666"/>
      <c r="Y45" s="347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8"/>
      <c r="Q46" s="1263">
        <f t="shared" si="11"/>
        <v>111</v>
      </c>
      <c r="R46" s="667" t="s">
        <v>14</v>
      </c>
      <c r="S46" s="668">
        <f t="shared" si="12"/>
        <v>100</v>
      </c>
      <c r="T46" s="667" t="s">
        <v>14</v>
      </c>
      <c r="U46" s="668">
        <f t="shared" si="13"/>
        <v>100</v>
      </c>
      <c r="V46" s="667" t="s">
        <v>14</v>
      </c>
      <c r="W46" s="668">
        <f t="shared" si="14"/>
        <v>100</v>
      </c>
      <c r="X46" s="1265"/>
      <c r="Y46" s="347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69"/>
      <c r="Q47" s="1263">
        <f t="shared" si="11"/>
        <v>111</v>
      </c>
      <c r="R47" s="667" t="s">
        <v>14</v>
      </c>
      <c r="S47" s="668">
        <f t="shared" si="12"/>
        <v>100</v>
      </c>
      <c r="T47" s="667" t="s">
        <v>14</v>
      </c>
      <c r="U47" s="668">
        <f t="shared" si="13"/>
        <v>100</v>
      </c>
      <c r="V47" s="667" t="s">
        <v>14</v>
      </c>
      <c r="W47" s="668">
        <f t="shared" si="14"/>
        <v>100</v>
      </c>
      <c r="X47" s="1265"/>
      <c r="Y47" s="347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46" t="str">
        <f>A48</f>
        <v>成交单价（元/平方米）</v>
      </c>
      <c r="Q48" s="3464"/>
      <c r="R48" s="3459">
        <f>E48</f>
        <v>0</v>
      </c>
      <c r="S48" s="3459"/>
      <c r="T48" s="3459">
        <f>G48</f>
        <v>0</v>
      </c>
      <c r="U48" s="3459"/>
      <c r="V48" s="3459">
        <f>I48</f>
        <v>0</v>
      </c>
      <c r="W48" s="345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46" t="str">
        <f>A49</f>
        <v>比较价值（元/平方米）</v>
      </c>
      <c r="Q49" s="3464"/>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860"/>
      <c r="M4" s="861"/>
      <c r="N4" s="861"/>
      <c r="O4" s="861"/>
      <c r="P4" s="3451" t="s">
        <v>1775</v>
      </c>
      <c r="Q4" s="3452"/>
      <c r="R4" s="3434" t="s">
        <v>1771</v>
      </c>
      <c r="S4" s="3435"/>
      <c r="T4" s="3434" t="s">
        <v>1772</v>
      </c>
      <c r="U4" s="3435"/>
      <c r="V4" s="3459" t="s">
        <v>1773</v>
      </c>
      <c r="W4" s="3459"/>
      <c r="X4" s="1265"/>
      <c r="Y4" s="3434" t="s">
        <v>1775</v>
      </c>
      <c r="Z4" s="3435"/>
      <c r="AA4" s="3429" t="s">
        <v>1771</v>
      </c>
      <c r="AB4" s="3430" t="s">
        <v>1772</v>
      </c>
      <c r="AC4" s="3429" t="s">
        <v>1773</v>
      </c>
    </row>
    <row r="5" spans="1:29" ht="15">
      <c r="A5" s="348"/>
      <c r="B5" s="349"/>
      <c r="C5" s="3440" t="s">
        <v>1673</v>
      </c>
      <c r="D5" s="3441"/>
      <c r="E5" s="3438" t="s">
        <v>1674</v>
      </c>
      <c r="F5" s="3439"/>
      <c r="G5" s="3440" t="s">
        <v>1675</v>
      </c>
      <c r="H5" s="3441"/>
      <c r="I5" s="3440" t="s">
        <v>1676</v>
      </c>
      <c r="J5" s="3441"/>
      <c r="K5" s="537"/>
      <c r="L5" s="860"/>
      <c r="M5" s="861"/>
      <c r="N5" s="861"/>
      <c r="O5" s="861"/>
      <c r="P5" s="3453"/>
      <c r="Q5" s="3454"/>
      <c r="R5" s="3436"/>
      <c r="S5" s="3437"/>
      <c r="T5" s="3436"/>
      <c r="U5" s="3437"/>
      <c r="V5" s="3459"/>
      <c r="W5" s="3459"/>
      <c r="X5" s="1265"/>
      <c r="Y5" s="3436"/>
      <c r="Z5" s="3437"/>
      <c r="AA5" s="3430"/>
      <c r="AB5" s="3430"/>
      <c r="AC5" s="3430"/>
    </row>
    <row r="6" spans="1:29" ht="15.75" thickBot="1">
      <c r="A6" s="350"/>
      <c r="B6" s="351"/>
      <c r="C6" s="3442" t="s">
        <v>1677</v>
      </c>
      <c r="D6" s="3443"/>
      <c r="E6" s="3444" t="s">
        <v>1677</v>
      </c>
      <c r="F6" s="3445"/>
      <c r="G6" s="3442" t="s">
        <v>1677</v>
      </c>
      <c r="H6" s="3443"/>
      <c r="I6" s="3442" t="s">
        <v>1677</v>
      </c>
      <c r="J6" s="3443"/>
      <c r="K6" s="537" t="s">
        <v>1678</v>
      </c>
      <c r="L6" s="860"/>
      <c r="M6" s="861"/>
      <c r="N6" s="861"/>
      <c r="O6" s="861"/>
      <c r="P6" s="3455"/>
      <c r="Q6" s="3456"/>
      <c r="R6" s="3436"/>
      <c r="S6" s="3437"/>
      <c r="T6" s="3457"/>
      <c r="U6" s="3458"/>
      <c r="V6" s="3459"/>
      <c r="W6" s="3459"/>
      <c r="X6" s="1265"/>
      <c r="Y6" s="3457"/>
      <c r="Z6" s="3458"/>
      <c r="AA6" s="3431"/>
      <c r="AB6" s="3431"/>
      <c r="AC6" s="3431"/>
    </row>
    <row r="7" spans="1:29" s="102" customFormat="1" ht="15.75" thickBot="1">
      <c r="A7" s="352" t="s">
        <v>1679</v>
      </c>
      <c r="B7" s="353"/>
      <c r="C7" s="354">
        <f>'数据-取费表'!B2</f>
        <v>45860</v>
      </c>
      <c r="D7" s="355">
        <v>100</v>
      </c>
      <c r="E7" s="356"/>
      <c r="F7" s="357">
        <f>SUMIF(52:52,YEAR(E7)&amp;"-"&amp;MONTH(E7),53:53)</f>
        <v>0</v>
      </c>
      <c r="G7" s="356"/>
      <c r="H7" s="355">
        <f>SUMIF(52:52,YEAR(G7)&amp;"-"&amp;MONTH(G7),53:53)</f>
        <v>0</v>
      </c>
      <c r="I7" s="356"/>
      <c r="J7" s="355">
        <f>SUMIF(52:52,YEAR(I7)&amp;"-"&amp;MONTH(I7),53:53)</f>
        <v>0</v>
      </c>
      <c r="K7" s="38"/>
      <c r="L7" s="862"/>
      <c r="M7" s="863"/>
      <c r="N7" s="863"/>
      <c r="O7" s="863"/>
      <c r="P7" s="3432" t="s">
        <v>1680</v>
      </c>
      <c r="Q7" s="3460"/>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2" t="s">
        <v>1683</v>
      </c>
      <c r="Q8" s="3433"/>
      <c r="R8" s="664" t="s">
        <v>14</v>
      </c>
      <c r="S8" s="665">
        <f t="shared" si="0"/>
        <v>100</v>
      </c>
      <c r="T8" s="664" t="s">
        <v>14</v>
      </c>
      <c r="U8" s="665">
        <f t="shared" si="1"/>
        <v>100</v>
      </c>
      <c r="V8" s="664" t="s">
        <v>14</v>
      </c>
      <c r="W8" s="665">
        <f t="shared" si="2"/>
        <v>100</v>
      </c>
      <c r="X8" s="666"/>
      <c r="Y8" s="3432" t="s">
        <v>1683</v>
      </c>
      <c r="Z8" s="343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4"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64"/>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4"/>
      <c r="Q11" s="530" t="str">
        <f t="shared" si="6"/>
        <v>容积率</v>
      </c>
      <c r="R11" s="664" t="s">
        <v>14</v>
      </c>
      <c r="S11" s="665">
        <f t="shared" si="0"/>
        <v>100</v>
      </c>
      <c r="T11" s="664" t="s">
        <v>14</v>
      </c>
      <c r="U11" s="665">
        <f t="shared" si="1"/>
        <v>100</v>
      </c>
      <c r="V11" s="664" t="s">
        <v>14</v>
      </c>
      <c r="W11" s="665">
        <f t="shared" si="2"/>
        <v>100</v>
      </c>
      <c r="X11" s="666"/>
      <c r="Y11" s="33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4"/>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5" t="s">
        <v>1691</v>
      </c>
      <c r="Q15" s="1263" t="str">
        <f t="shared" si="6"/>
        <v>产业集聚程度</v>
      </c>
      <c r="R15" s="667" t="s">
        <v>14</v>
      </c>
      <c r="S15" s="668">
        <f t="shared" si="0"/>
        <v>100</v>
      </c>
      <c r="T15" s="667" t="s">
        <v>14</v>
      </c>
      <c r="U15" s="668">
        <f t="shared" si="1"/>
        <v>100</v>
      </c>
      <c r="V15" s="667" t="s">
        <v>14</v>
      </c>
      <c r="W15" s="668">
        <f t="shared" si="2"/>
        <v>100</v>
      </c>
      <c r="X15" s="1265"/>
      <c r="Y15" s="346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6"/>
      <c r="Q16" s="1263"/>
      <c r="R16" s="667"/>
      <c r="S16" s="668"/>
      <c r="T16" s="667"/>
      <c r="U16" s="668"/>
      <c r="V16" s="667"/>
      <c r="W16" s="668"/>
      <c r="X16" s="1265"/>
      <c r="Y16" s="346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6"/>
      <c r="Q17" s="1263" t="str">
        <f>B17</f>
        <v>交通便捷度</v>
      </c>
      <c r="R17" s="667" t="s">
        <v>14</v>
      </c>
      <c r="S17" s="668">
        <f>F17</f>
        <v>100</v>
      </c>
      <c r="T17" s="667" t="s">
        <v>14</v>
      </c>
      <c r="U17" s="668">
        <f>H17</f>
        <v>100</v>
      </c>
      <c r="V17" s="667" t="s">
        <v>14</v>
      </c>
      <c r="W17" s="668">
        <f>J17</f>
        <v>100</v>
      </c>
      <c r="X17" s="1265"/>
      <c r="Y17" s="346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6"/>
      <c r="Q18" s="1263"/>
      <c r="R18" s="667"/>
      <c r="S18" s="668"/>
      <c r="T18" s="667"/>
      <c r="U18" s="668"/>
      <c r="V18" s="667"/>
      <c r="W18" s="668"/>
      <c r="X18" s="1265"/>
      <c r="Y18" s="346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6"/>
      <c r="Q19" s="1263" t="str">
        <f>B19</f>
        <v>公共配套设施</v>
      </c>
      <c r="R19" s="667" t="s">
        <v>14</v>
      </c>
      <c r="S19" s="668">
        <f>F19</f>
        <v>100</v>
      </c>
      <c r="T19" s="667" t="s">
        <v>14</v>
      </c>
      <c r="U19" s="668">
        <f>H19</f>
        <v>100</v>
      </c>
      <c r="V19" s="667" t="s">
        <v>14</v>
      </c>
      <c r="W19" s="668">
        <f>J19</f>
        <v>100</v>
      </c>
      <c r="X19" s="1265"/>
      <c r="Y19" s="346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6"/>
      <c r="Q20" s="1263"/>
      <c r="R20" s="667"/>
      <c r="S20" s="668"/>
      <c r="T20" s="667"/>
      <c r="U20" s="668"/>
      <c r="V20" s="667"/>
      <c r="W20" s="668"/>
      <c r="X20" s="1265"/>
      <c r="Y20" s="346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6"/>
      <c r="Q21" s="1263" t="str">
        <f>B21</f>
        <v>基础设施水平</v>
      </c>
      <c r="R21" s="667" t="s">
        <v>14</v>
      </c>
      <c r="S21" s="668">
        <f>F21</f>
        <v>100</v>
      </c>
      <c r="T21" s="667" t="s">
        <v>14</v>
      </c>
      <c r="U21" s="668">
        <f>H21</f>
        <v>100</v>
      </c>
      <c r="V21" s="667" t="s">
        <v>14</v>
      </c>
      <c r="W21" s="668">
        <f>J21</f>
        <v>100</v>
      </c>
      <c r="X21" s="1265"/>
      <c r="Y21" s="34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6"/>
      <c r="Q22" s="1263"/>
      <c r="R22" s="667"/>
      <c r="S22" s="668"/>
      <c r="T22" s="667"/>
      <c r="U22" s="668"/>
      <c r="V22" s="667"/>
      <c r="W22" s="668"/>
      <c r="X22" s="1265"/>
      <c r="Y22" s="346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6"/>
      <c r="Q23" s="1263" t="str">
        <f>B23</f>
        <v>环境质量</v>
      </c>
      <c r="R23" s="667" t="s">
        <v>14</v>
      </c>
      <c r="S23" s="668">
        <f>F23</f>
        <v>100</v>
      </c>
      <c r="T23" s="667" t="s">
        <v>14</v>
      </c>
      <c r="U23" s="668">
        <f>H23</f>
        <v>100</v>
      </c>
      <c r="V23" s="667" t="s">
        <v>14</v>
      </c>
      <c r="W23" s="668">
        <f>J23</f>
        <v>100</v>
      </c>
      <c r="X23" s="1265"/>
      <c r="Y23" s="346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6"/>
      <c r="Q24" s="1263"/>
      <c r="R24" s="667"/>
      <c r="S24" s="668"/>
      <c r="T24" s="667"/>
      <c r="U24" s="668"/>
      <c r="V24" s="667"/>
      <c r="W24" s="668"/>
      <c r="X24" s="1265"/>
      <c r="Y24" s="346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6"/>
      <c r="Q25" s="1263">
        <f>B25</f>
        <v>111</v>
      </c>
      <c r="R25" s="667" t="s">
        <v>14</v>
      </c>
      <c r="S25" s="668">
        <f>F25</f>
        <v>100</v>
      </c>
      <c r="T25" s="667" t="s">
        <v>14</v>
      </c>
      <c r="U25" s="668">
        <f>H25</f>
        <v>100</v>
      </c>
      <c r="V25" s="667" t="s">
        <v>14</v>
      </c>
      <c r="W25" s="668">
        <f>J25</f>
        <v>100</v>
      </c>
      <c r="X25" s="1265"/>
      <c r="Y25" s="346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6"/>
      <c r="Q26" s="1263">
        <f t="shared" ref="Q26:Q40" si="11">B26</f>
        <v>111</v>
      </c>
      <c r="R26" s="667" t="s">
        <v>14</v>
      </c>
      <c r="S26" s="668">
        <f>F26</f>
        <v>100</v>
      </c>
      <c r="T26" s="667" t="s">
        <v>14</v>
      </c>
      <c r="U26" s="668">
        <f>H26</f>
        <v>100</v>
      </c>
      <c r="V26" s="667" t="s">
        <v>14</v>
      </c>
      <c r="W26" s="668">
        <f>J26</f>
        <v>100</v>
      </c>
      <c r="X26" s="1265"/>
      <c r="Y26" s="346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6"/>
      <c r="Q27" s="530">
        <f t="shared" si="11"/>
        <v>111</v>
      </c>
      <c r="R27" s="664" t="s">
        <v>14</v>
      </c>
      <c r="S27" s="665">
        <f>F27</f>
        <v>100</v>
      </c>
      <c r="T27" s="664" t="s">
        <v>14</v>
      </c>
      <c r="U27" s="665">
        <f>H27</f>
        <v>100</v>
      </c>
      <c r="V27" s="664" t="s">
        <v>14</v>
      </c>
      <c r="W27" s="665">
        <f>J27</f>
        <v>100</v>
      </c>
      <c r="X27" s="666"/>
      <c r="Y27" s="346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6"/>
      <c r="Q28" s="1263">
        <f t="shared" si="11"/>
        <v>111</v>
      </c>
      <c r="R28" s="667" t="s">
        <v>14</v>
      </c>
      <c r="S28" s="668">
        <f t="shared" ref="S28:S40" si="12">F28</f>
        <v>100</v>
      </c>
      <c r="T28" s="667" t="s">
        <v>14</v>
      </c>
      <c r="U28" s="668">
        <f t="shared" ref="U28:U40" si="13">H28</f>
        <v>100</v>
      </c>
      <c r="V28" s="667" t="s">
        <v>14</v>
      </c>
      <c r="W28" s="668">
        <f t="shared" ref="W28:W40" si="14">J28</f>
        <v>100</v>
      </c>
      <c r="X28" s="1265"/>
      <c r="Y28" s="346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9" t="s">
        <v>1696</v>
      </c>
      <c r="Q29" s="1263" t="str">
        <f t="shared" si="11"/>
        <v>建筑类型</v>
      </c>
      <c r="R29" s="667" t="s">
        <v>14</v>
      </c>
      <c r="S29" s="668">
        <f t="shared" si="12"/>
        <v>100</v>
      </c>
      <c r="T29" s="667" t="s">
        <v>14</v>
      </c>
      <c r="U29" s="668">
        <f t="shared" si="13"/>
        <v>100</v>
      </c>
      <c r="V29" s="667" t="s">
        <v>14</v>
      </c>
      <c r="W29" s="668">
        <f t="shared" si="14"/>
        <v>100</v>
      </c>
      <c r="X29" s="1265"/>
      <c r="Y29" s="347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0"/>
      <c r="Q30" s="531" t="str">
        <f t="shared" si="11"/>
        <v>项目建筑规模</v>
      </c>
      <c r="R30" s="669" t="s">
        <v>14</v>
      </c>
      <c r="S30" s="670" t="e">
        <f t="shared" si="12"/>
        <v>#N/A</v>
      </c>
      <c r="T30" s="669" t="s">
        <v>14</v>
      </c>
      <c r="U30" s="670" t="e">
        <f t="shared" si="13"/>
        <v>#N/A</v>
      </c>
      <c r="V30" s="669" t="s">
        <v>14</v>
      </c>
      <c r="W30" s="670" t="e">
        <f t="shared" si="14"/>
        <v>#N/A</v>
      </c>
      <c r="X30" s="671"/>
      <c r="Y30" s="347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0"/>
      <c r="Q31" s="1263" t="str">
        <f t="shared" si="11"/>
        <v>建筑结构</v>
      </c>
      <c r="R31" s="667" t="s">
        <v>14</v>
      </c>
      <c r="S31" s="668">
        <f t="shared" si="12"/>
        <v>100</v>
      </c>
      <c r="T31" s="667" t="s">
        <v>14</v>
      </c>
      <c r="U31" s="668">
        <f t="shared" si="13"/>
        <v>100</v>
      </c>
      <c r="V31" s="667" t="s">
        <v>14</v>
      </c>
      <c r="W31" s="668">
        <f t="shared" si="14"/>
        <v>100</v>
      </c>
      <c r="X31" s="1265"/>
      <c r="Y31" s="347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0"/>
      <c r="Q32" s="1263" t="str">
        <f t="shared" si="11"/>
        <v>公共部分装修</v>
      </c>
      <c r="R32" s="667" t="s">
        <v>14</v>
      </c>
      <c r="S32" s="668">
        <f t="shared" si="12"/>
        <v>100</v>
      </c>
      <c r="T32" s="667" t="s">
        <v>14</v>
      </c>
      <c r="U32" s="668">
        <f t="shared" si="13"/>
        <v>100</v>
      </c>
      <c r="V32" s="667" t="s">
        <v>14</v>
      </c>
      <c r="W32" s="668">
        <f t="shared" si="14"/>
        <v>100</v>
      </c>
      <c r="X32" s="1265"/>
      <c r="Y32" s="347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0"/>
      <c r="Q33" s="1263" t="str">
        <f t="shared" si="11"/>
        <v>成新度</v>
      </c>
      <c r="R33" s="667" t="s">
        <v>14</v>
      </c>
      <c r="S33" s="668" t="e">
        <f t="shared" si="12"/>
        <v>#N/A</v>
      </c>
      <c r="T33" s="667" t="s">
        <v>14</v>
      </c>
      <c r="U33" s="668" t="e">
        <f t="shared" si="13"/>
        <v>#N/A</v>
      </c>
      <c r="V33" s="667" t="s">
        <v>14</v>
      </c>
      <c r="W33" s="668" t="e">
        <f t="shared" si="14"/>
        <v>#N/A</v>
      </c>
      <c r="X33" s="1265"/>
      <c r="Y33" s="347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0"/>
      <c r="Q34" s="530" t="str">
        <f t="shared" si="11"/>
        <v>物业管理</v>
      </c>
      <c r="R34" s="664" t="s">
        <v>14</v>
      </c>
      <c r="S34" s="665">
        <f t="shared" si="12"/>
        <v>100</v>
      </c>
      <c r="T34" s="664" t="s">
        <v>14</v>
      </c>
      <c r="U34" s="665">
        <f t="shared" si="13"/>
        <v>100</v>
      </c>
      <c r="V34" s="664" t="s">
        <v>14</v>
      </c>
      <c r="W34" s="665">
        <f t="shared" si="14"/>
        <v>100</v>
      </c>
      <c r="X34" s="666"/>
      <c r="Y34" s="347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0" t="s">
        <v>1696</v>
      </c>
      <c r="Q35" s="1263" t="str">
        <f t="shared" si="11"/>
        <v>市政基础设施</v>
      </c>
      <c r="R35" s="667" t="s">
        <v>14</v>
      </c>
      <c r="S35" s="668">
        <f t="shared" si="12"/>
        <v>100</v>
      </c>
      <c r="T35" s="667" t="s">
        <v>14</v>
      </c>
      <c r="U35" s="668">
        <f t="shared" si="13"/>
        <v>100</v>
      </c>
      <c r="V35" s="667" t="s">
        <v>14</v>
      </c>
      <c r="W35" s="668">
        <f t="shared" si="14"/>
        <v>100</v>
      </c>
      <c r="X35" s="1265"/>
      <c r="Y35" s="347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0"/>
      <c r="Q36" s="1263" t="str">
        <f t="shared" si="11"/>
        <v>内部装修</v>
      </c>
      <c r="R36" s="667" t="s">
        <v>14</v>
      </c>
      <c r="S36" s="668">
        <f t="shared" si="12"/>
        <v>100</v>
      </c>
      <c r="T36" s="667" t="s">
        <v>14</v>
      </c>
      <c r="U36" s="668">
        <f t="shared" si="13"/>
        <v>100</v>
      </c>
      <c r="V36" s="667" t="s">
        <v>14</v>
      </c>
      <c r="W36" s="668">
        <f t="shared" si="14"/>
        <v>100</v>
      </c>
      <c r="X36" s="1265"/>
      <c r="Y36" s="347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0"/>
      <c r="Q37" s="1263" t="str">
        <f t="shared" si="11"/>
        <v>内部装修状况</v>
      </c>
      <c r="R37" s="667" t="s">
        <v>14</v>
      </c>
      <c r="S37" s="668">
        <f t="shared" si="12"/>
        <v>100</v>
      </c>
      <c r="T37" s="667" t="s">
        <v>14</v>
      </c>
      <c r="U37" s="668">
        <f t="shared" si="13"/>
        <v>100</v>
      </c>
      <c r="V37" s="667" t="s">
        <v>14</v>
      </c>
      <c r="W37" s="668">
        <f t="shared" si="14"/>
        <v>100</v>
      </c>
      <c r="X37" s="1265"/>
      <c r="Y37" s="347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0"/>
      <c r="Q38" s="531">
        <f t="shared" si="11"/>
        <v>111</v>
      </c>
      <c r="R38" s="669" t="s">
        <v>14</v>
      </c>
      <c r="S38" s="670">
        <f t="shared" si="12"/>
        <v>100</v>
      </c>
      <c r="T38" s="669" t="s">
        <v>14</v>
      </c>
      <c r="U38" s="670">
        <f t="shared" si="13"/>
        <v>100</v>
      </c>
      <c r="V38" s="669" t="s">
        <v>14</v>
      </c>
      <c r="W38" s="670">
        <f t="shared" si="14"/>
        <v>100</v>
      </c>
      <c r="X38" s="671"/>
      <c r="Y38" s="347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0"/>
      <c r="Q39" s="1263">
        <f t="shared" si="11"/>
        <v>111</v>
      </c>
      <c r="R39" s="667" t="s">
        <v>14</v>
      </c>
      <c r="S39" s="668">
        <f t="shared" si="12"/>
        <v>100</v>
      </c>
      <c r="T39" s="667" t="s">
        <v>14</v>
      </c>
      <c r="U39" s="668">
        <f t="shared" si="13"/>
        <v>100</v>
      </c>
      <c r="V39" s="667" t="s">
        <v>14</v>
      </c>
      <c r="W39" s="668">
        <f t="shared" si="14"/>
        <v>100</v>
      </c>
      <c r="X39" s="1265"/>
      <c r="Y39" s="347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1"/>
      <c r="Q40" s="1263">
        <f t="shared" si="11"/>
        <v>111</v>
      </c>
      <c r="R40" s="667" t="s">
        <v>14</v>
      </c>
      <c r="S40" s="668">
        <f t="shared" si="12"/>
        <v>100</v>
      </c>
      <c r="T40" s="667" t="s">
        <v>14</v>
      </c>
      <c r="U40" s="668">
        <f t="shared" si="13"/>
        <v>100</v>
      </c>
      <c r="V40" s="667" t="s">
        <v>14</v>
      </c>
      <c r="W40" s="668">
        <f t="shared" si="14"/>
        <v>100</v>
      </c>
      <c r="X40" s="1265"/>
      <c r="Y40" s="347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64" t="str">
        <f>A41</f>
        <v>成交单价（元/平方米）</v>
      </c>
      <c r="Q41" s="3464"/>
      <c r="R41" s="3459">
        <f>E41</f>
        <v>0</v>
      </c>
      <c r="S41" s="3459"/>
      <c r="T41" s="3459">
        <f>G41</f>
        <v>0</v>
      </c>
      <c r="U41" s="3459"/>
      <c r="V41" s="3459">
        <f>I41</f>
        <v>0</v>
      </c>
      <c r="W41" s="345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64" t="str">
        <f>A42</f>
        <v>比较价值（元/平方米）</v>
      </c>
      <c r="Q42" s="3464"/>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34" t="s">
        <v>1771</v>
      </c>
      <c r="S4" s="3435"/>
      <c r="T4" s="3434" t="s">
        <v>1772</v>
      </c>
      <c r="U4" s="3435"/>
      <c r="V4" s="3459" t="s">
        <v>1773</v>
      </c>
      <c r="W4" s="3459"/>
      <c r="X4" s="1265"/>
      <c r="Y4" s="3434" t="s">
        <v>1775</v>
      </c>
      <c r="Z4" s="3435"/>
      <c r="AA4" s="3429" t="s">
        <v>1771</v>
      </c>
      <c r="AB4" s="3430" t="s">
        <v>1772</v>
      </c>
      <c r="AC4" s="3429" t="s">
        <v>1773</v>
      </c>
    </row>
    <row r="5" spans="1:29" ht="15">
      <c r="A5" s="348"/>
      <c r="B5" s="349"/>
      <c r="C5" s="3440" t="s">
        <v>1673</v>
      </c>
      <c r="D5" s="3441"/>
      <c r="E5" s="3438" t="s">
        <v>1674</v>
      </c>
      <c r="F5" s="3439"/>
      <c r="G5" s="3440" t="s">
        <v>1675</v>
      </c>
      <c r="H5" s="3441"/>
      <c r="I5" s="3440" t="s">
        <v>1676</v>
      </c>
      <c r="J5" s="3441"/>
      <c r="K5" s="537"/>
      <c r="L5" s="2487"/>
      <c r="M5" s="2488"/>
      <c r="N5" s="2488"/>
      <c r="O5" s="2488"/>
      <c r="P5" s="3453"/>
      <c r="Q5" s="3454"/>
      <c r="R5" s="3436"/>
      <c r="S5" s="3437"/>
      <c r="T5" s="3436"/>
      <c r="U5" s="3437"/>
      <c r="V5" s="3459"/>
      <c r="W5" s="3459"/>
      <c r="X5" s="1265"/>
      <c r="Y5" s="3436"/>
      <c r="Z5" s="3437"/>
      <c r="AA5" s="3430"/>
      <c r="AB5" s="3430"/>
      <c r="AC5" s="3430"/>
    </row>
    <row r="6" spans="1:29" ht="15.75" thickBot="1">
      <c r="A6" s="350"/>
      <c r="B6" s="351"/>
      <c r="C6" s="3442" t="s">
        <v>1677</v>
      </c>
      <c r="D6" s="3443"/>
      <c r="E6" s="3444" t="s">
        <v>1677</v>
      </c>
      <c r="F6" s="3445"/>
      <c r="G6" s="3442" t="s">
        <v>1677</v>
      </c>
      <c r="H6" s="3443"/>
      <c r="I6" s="3442" t="s">
        <v>1677</v>
      </c>
      <c r="J6" s="3443"/>
      <c r="K6" s="537" t="s">
        <v>1678</v>
      </c>
      <c r="L6" s="2487"/>
      <c r="M6" s="2488"/>
      <c r="N6" s="2488"/>
      <c r="O6" s="2488"/>
      <c r="P6" s="3455"/>
      <c r="Q6" s="3456"/>
      <c r="R6" s="3436"/>
      <c r="S6" s="3437"/>
      <c r="T6" s="3457"/>
      <c r="U6" s="3458"/>
      <c r="V6" s="3459"/>
      <c r="W6" s="3459"/>
      <c r="X6" s="1265"/>
      <c r="Y6" s="3457"/>
      <c r="Z6" s="3458"/>
      <c r="AA6" s="3431"/>
      <c r="AB6" s="3431"/>
      <c r="AC6" s="3431"/>
    </row>
    <row r="7" spans="1:29" s="102" customFormat="1" ht="15.75" thickBot="1">
      <c r="A7" s="352" t="s">
        <v>1679</v>
      </c>
      <c r="B7" s="353"/>
      <c r="C7" s="354">
        <f>'数据-取费表'!B2</f>
        <v>45860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2" t="s">
        <v>1680</v>
      </c>
      <c r="Q7" s="3460"/>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64" t="s">
        <v>1686</v>
      </c>
      <c r="Q9" s="530" t="str">
        <f t="shared" ref="Q9:Q14" si="6">B9</f>
        <v>用途</v>
      </c>
      <c r="R9" s="664" t="s">
        <v>14</v>
      </c>
      <c r="S9" s="665">
        <f t="shared" si="0"/>
        <v>100</v>
      </c>
      <c r="T9" s="664" t="s">
        <v>14</v>
      </c>
      <c r="U9" s="665">
        <f t="shared" si="1"/>
        <v>100</v>
      </c>
      <c r="V9" s="664" t="s">
        <v>14</v>
      </c>
      <c r="W9" s="665">
        <f t="shared" si="2"/>
        <v>100</v>
      </c>
      <c r="X9" s="666"/>
      <c r="Y9" s="335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64"/>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64"/>
      <c r="Q11" s="530">
        <f t="shared" si="6"/>
        <v>111</v>
      </c>
      <c r="R11" s="664" t="s">
        <v>14</v>
      </c>
      <c r="S11" s="665">
        <f t="shared" si="0"/>
        <v>100</v>
      </c>
      <c r="T11" s="664" t="s">
        <v>14</v>
      </c>
      <c r="U11" s="665">
        <f t="shared" si="1"/>
        <v>100</v>
      </c>
      <c r="V11" s="664" t="s">
        <v>14</v>
      </c>
      <c r="W11" s="665">
        <f t="shared" si="2"/>
        <v>100</v>
      </c>
      <c r="X11" s="666"/>
      <c r="Y11" s="33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65" t="s">
        <v>1691</v>
      </c>
      <c r="Q14" s="1263" t="str">
        <f t="shared" si="6"/>
        <v>交通便捷度</v>
      </c>
      <c r="R14" s="667" t="s">
        <v>14</v>
      </c>
      <c r="S14" s="668">
        <f t="shared" si="0"/>
        <v>100</v>
      </c>
      <c r="T14" s="667" t="s">
        <v>14</v>
      </c>
      <c r="U14" s="668">
        <f t="shared" si="1"/>
        <v>100</v>
      </c>
      <c r="V14" s="667" t="s">
        <v>14</v>
      </c>
      <c r="W14" s="668">
        <f t="shared" si="2"/>
        <v>100</v>
      </c>
      <c r="X14" s="1265"/>
      <c r="Y14" s="346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66"/>
      <c r="Q15" s="1263"/>
      <c r="R15" s="667"/>
      <c r="S15" s="668"/>
      <c r="T15" s="667"/>
      <c r="U15" s="668"/>
      <c r="V15" s="667"/>
      <c r="W15" s="668"/>
      <c r="X15" s="1265"/>
      <c r="Y15" s="346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6"/>
      <c r="Q16" s="1263" t="str">
        <f>B16</f>
        <v>公共配套设施</v>
      </c>
      <c r="R16" s="667" t="s">
        <v>14</v>
      </c>
      <c r="S16" s="668">
        <f>F16</f>
        <v>100</v>
      </c>
      <c r="T16" s="667" t="s">
        <v>14</v>
      </c>
      <c r="U16" s="668">
        <f>H16</f>
        <v>100</v>
      </c>
      <c r="V16" s="667" t="s">
        <v>14</v>
      </c>
      <c r="W16" s="668">
        <f>J16</f>
        <v>100</v>
      </c>
      <c r="X16" s="1265"/>
      <c r="Y16" s="346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6"/>
      <c r="Q17" s="1263"/>
      <c r="R17" s="667"/>
      <c r="S17" s="668"/>
      <c r="T17" s="667"/>
      <c r="U17" s="668"/>
      <c r="V17" s="667"/>
      <c r="W17" s="668"/>
      <c r="X17" s="1265"/>
      <c r="Y17" s="346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6"/>
      <c r="Q18" s="1263" t="str">
        <f>B18</f>
        <v>基础设施水平</v>
      </c>
      <c r="R18" s="667" t="s">
        <v>14</v>
      </c>
      <c r="S18" s="668">
        <f>F18</f>
        <v>100</v>
      </c>
      <c r="T18" s="667" t="s">
        <v>14</v>
      </c>
      <c r="U18" s="668">
        <f>H18</f>
        <v>100</v>
      </c>
      <c r="V18" s="667" t="s">
        <v>14</v>
      </c>
      <c r="W18" s="668">
        <f>J18</f>
        <v>100</v>
      </c>
      <c r="X18" s="1265"/>
      <c r="Y18" s="346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6"/>
      <c r="Q19" s="1263"/>
      <c r="R19" s="667"/>
      <c r="S19" s="668"/>
      <c r="T19" s="667"/>
      <c r="U19" s="668"/>
      <c r="V19" s="667"/>
      <c r="W19" s="668"/>
      <c r="X19" s="1265"/>
      <c r="Y19" s="346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6"/>
      <c r="Q20" s="1263" t="str">
        <f>B20</f>
        <v>自然及人文环境</v>
      </c>
      <c r="R20" s="667" t="s">
        <v>14</v>
      </c>
      <c r="S20" s="668">
        <f>F20</f>
        <v>100</v>
      </c>
      <c r="T20" s="667" t="s">
        <v>14</v>
      </c>
      <c r="U20" s="668">
        <f>H20</f>
        <v>100</v>
      </c>
      <c r="V20" s="667" t="s">
        <v>14</v>
      </c>
      <c r="W20" s="668">
        <f>J20</f>
        <v>100</v>
      </c>
      <c r="X20" s="1265"/>
      <c r="Y20" s="346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6"/>
      <c r="Q21" s="1263"/>
      <c r="R21" s="667"/>
      <c r="S21" s="668"/>
      <c r="T21" s="667"/>
      <c r="U21" s="668"/>
      <c r="V21" s="667"/>
      <c r="W21" s="668"/>
      <c r="X21" s="1265"/>
      <c r="Y21" s="346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6"/>
      <c r="Q22" s="1263" t="str">
        <f>B22</f>
        <v>楼层</v>
      </c>
      <c r="R22" s="667" t="s">
        <v>14</v>
      </c>
      <c r="S22" s="668">
        <f>F22</f>
        <v>100</v>
      </c>
      <c r="T22" s="667" t="s">
        <v>14</v>
      </c>
      <c r="U22" s="668">
        <f>H22</f>
        <v>100</v>
      </c>
      <c r="V22" s="667" t="s">
        <v>14</v>
      </c>
      <c r="W22" s="668">
        <f>J22</f>
        <v>100</v>
      </c>
      <c r="X22" s="1265"/>
      <c r="Y22" s="346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6"/>
      <c r="Q23" s="1263">
        <f>B23</f>
        <v>111</v>
      </c>
      <c r="R23" s="667" t="s">
        <v>14</v>
      </c>
      <c r="S23" s="668">
        <f>F23</f>
        <v>100</v>
      </c>
      <c r="T23" s="667" t="s">
        <v>14</v>
      </c>
      <c r="U23" s="668">
        <f>H23</f>
        <v>100</v>
      </c>
      <c r="V23" s="667" t="s">
        <v>14</v>
      </c>
      <c r="W23" s="668">
        <f>J23</f>
        <v>100</v>
      </c>
      <c r="X23" s="1265"/>
      <c r="Y23" s="346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6"/>
      <c r="Q24" s="1263">
        <f t="shared" ref="Q24:Q36" si="11">B24</f>
        <v>111</v>
      </c>
      <c r="R24" s="667" t="s">
        <v>14</v>
      </c>
      <c r="S24" s="668">
        <f>F24</f>
        <v>100</v>
      </c>
      <c r="T24" s="667" t="s">
        <v>14</v>
      </c>
      <c r="U24" s="668">
        <f>H24</f>
        <v>100</v>
      </c>
      <c r="V24" s="667" t="s">
        <v>14</v>
      </c>
      <c r="W24" s="668">
        <f>J24</f>
        <v>100</v>
      </c>
      <c r="X24" s="1265"/>
      <c r="Y24" s="346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6"/>
      <c r="Q25" s="530">
        <f t="shared" si="11"/>
        <v>111</v>
      </c>
      <c r="R25" s="664" t="s">
        <v>14</v>
      </c>
      <c r="S25" s="665">
        <f>F25</f>
        <v>100</v>
      </c>
      <c r="T25" s="664" t="s">
        <v>14</v>
      </c>
      <c r="U25" s="665">
        <f>H25</f>
        <v>100</v>
      </c>
      <c r="V25" s="664" t="s">
        <v>14</v>
      </c>
      <c r="W25" s="665">
        <f>J25</f>
        <v>100</v>
      </c>
      <c r="X25" s="666"/>
      <c r="Y25" s="346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0"/>
      <c r="Q27" s="531" t="str">
        <f t="shared" si="11"/>
        <v>项目停车位配比</v>
      </c>
      <c r="R27" s="669" t="s">
        <v>14</v>
      </c>
      <c r="S27" s="670">
        <f t="shared" si="12"/>
        <v>100</v>
      </c>
      <c r="T27" s="669" t="s">
        <v>14</v>
      </c>
      <c r="U27" s="670">
        <f t="shared" si="13"/>
        <v>100</v>
      </c>
      <c r="V27" s="669" t="s">
        <v>14</v>
      </c>
      <c r="W27" s="670">
        <f t="shared" si="14"/>
        <v>100</v>
      </c>
      <c r="X27" s="671"/>
      <c r="Y27" s="347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0"/>
      <c r="Q28" s="1263" t="str">
        <f t="shared" si="11"/>
        <v>公共部分装修</v>
      </c>
      <c r="R28" s="667" t="s">
        <v>14</v>
      </c>
      <c r="S28" s="668">
        <f t="shared" si="12"/>
        <v>100</v>
      </c>
      <c r="T28" s="667" t="s">
        <v>14</v>
      </c>
      <c r="U28" s="668">
        <f t="shared" si="13"/>
        <v>100</v>
      </c>
      <c r="V28" s="667" t="s">
        <v>14</v>
      </c>
      <c r="W28" s="668">
        <f t="shared" si="14"/>
        <v>100</v>
      </c>
      <c r="X28" s="1265"/>
      <c r="Y28" s="347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70"/>
      <c r="Q29" s="1263" t="str">
        <f t="shared" si="11"/>
        <v>成新率</v>
      </c>
      <c r="R29" s="667" t="s">
        <v>14</v>
      </c>
      <c r="S29" s="668" t="e">
        <f t="shared" si="12"/>
        <v>#N/A</v>
      </c>
      <c r="T29" s="667" t="s">
        <v>14</v>
      </c>
      <c r="U29" s="668" t="e">
        <f t="shared" si="13"/>
        <v>#N/A</v>
      </c>
      <c r="V29" s="667" t="s">
        <v>14</v>
      </c>
      <c r="W29" s="668" t="e">
        <f t="shared" si="14"/>
        <v>#N/A</v>
      </c>
      <c r="X29" s="1265"/>
      <c r="Y29" s="347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0"/>
      <c r="Q30" s="1263" t="str">
        <f t="shared" si="11"/>
        <v>物业等级</v>
      </c>
      <c r="R30" s="667" t="s">
        <v>14</v>
      </c>
      <c r="S30" s="668">
        <f t="shared" si="12"/>
        <v>100</v>
      </c>
      <c r="T30" s="667" t="s">
        <v>14</v>
      </c>
      <c r="U30" s="668">
        <f t="shared" si="13"/>
        <v>100</v>
      </c>
      <c r="V30" s="667" t="s">
        <v>14</v>
      </c>
      <c r="W30" s="668">
        <f t="shared" si="14"/>
        <v>100</v>
      </c>
      <c r="X30" s="1265"/>
      <c r="Y30" s="347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70"/>
      <c r="Q31" s="530" t="str">
        <f t="shared" si="11"/>
        <v>停车位面积</v>
      </c>
      <c r="R31" s="664" t="s">
        <v>14</v>
      </c>
      <c r="S31" s="665" t="e">
        <f t="shared" si="12"/>
        <v>#N/A</v>
      </c>
      <c r="T31" s="664" t="s">
        <v>14</v>
      </c>
      <c r="U31" s="665" t="e">
        <f t="shared" si="13"/>
        <v>#N/A</v>
      </c>
      <c r="V31" s="664" t="s">
        <v>14</v>
      </c>
      <c r="W31" s="665" t="e">
        <f t="shared" si="14"/>
        <v>#N/A</v>
      </c>
      <c r="X31" s="666"/>
      <c r="Y31" s="347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0" t="s">
        <v>1696</v>
      </c>
      <c r="Q32" s="1263" t="str">
        <f t="shared" si="11"/>
        <v>车位类型</v>
      </c>
      <c r="R32" s="667" t="s">
        <v>14</v>
      </c>
      <c r="S32" s="668">
        <f t="shared" si="12"/>
        <v>100</v>
      </c>
      <c r="T32" s="667" t="s">
        <v>14</v>
      </c>
      <c r="U32" s="668">
        <f t="shared" si="13"/>
        <v>100</v>
      </c>
      <c r="V32" s="667" t="s">
        <v>14</v>
      </c>
      <c r="W32" s="668">
        <f t="shared" si="14"/>
        <v>100</v>
      </c>
      <c r="X32" s="1265"/>
      <c r="Y32" s="347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0"/>
      <c r="Q33" s="1263" t="str">
        <f t="shared" si="11"/>
        <v>是否直接入户</v>
      </c>
      <c r="R33" s="667" t="s">
        <v>14</v>
      </c>
      <c r="S33" s="668">
        <f t="shared" si="12"/>
        <v>100</v>
      </c>
      <c r="T33" s="667" t="s">
        <v>14</v>
      </c>
      <c r="U33" s="668">
        <f t="shared" si="13"/>
        <v>100</v>
      </c>
      <c r="V33" s="667" t="s">
        <v>14</v>
      </c>
      <c r="W33" s="668">
        <f t="shared" si="14"/>
        <v>100</v>
      </c>
      <c r="X33" s="1265"/>
      <c r="Y33" s="347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70"/>
      <c r="Q34" s="1263">
        <f t="shared" si="11"/>
        <v>111</v>
      </c>
      <c r="R34" s="667" t="s">
        <v>14</v>
      </c>
      <c r="S34" s="668">
        <f t="shared" si="12"/>
        <v>100</v>
      </c>
      <c r="T34" s="667" t="s">
        <v>14</v>
      </c>
      <c r="U34" s="668">
        <f t="shared" si="13"/>
        <v>100</v>
      </c>
      <c r="V34" s="667" t="s">
        <v>14</v>
      </c>
      <c r="W34" s="668">
        <f t="shared" si="14"/>
        <v>100</v>
      </c>
      <c r="X34" s="1265"/>
      <c r="Y34" s="347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0"/>
      <c r="Q35" s="531">
        <f t="shared" si="11"/>
        <v>111</v>
      </c>
      <c r="R35" s="669" t="s">
        <v>14</v>
      </c>
      <c r="S35" s="670">
        <f t="shared" si="12"/>
        <v>100</v>
      </c>
      <c r="T35" s="669" t="s">
        <v>14</v>
      </c>
      <c r="U35" s="670">
        <f t="shared" si="13"/>
        <v>100</v>
      </c>
      <c r="V35" s="669" t="s">
        <v>14</v>
      </c>
      <c r="W35" s="670">
        <f t="shared" si="14"/>
        <v>100</v>
      </c>
      <c r="X35" s="671"/>
      <c r="Y35" s="347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0"/>
      <c r="Q36" s="1263">
        <f t="shared" si="11"/>
        <v>111</v>
      </c>
      <c r="R36" s="667" t="s">
        <v>14</v>
      </c>
      <c r="S36" s="668">
        <f t="shared" si="12"/>
        <v>100</v>
      </c>
      <c r="T36" s="667" t="s">
        <v>14</v>
      </c>
      <c r="U36" s="668">
        <f t="shared" si="13"/>
        <v>100</v>
      </c>
      <c r="V36" s="667" t="s">
        <v>14</v>
      </c>
      <c r="W36" s="668">
        <f t="shared" si="14"/>
        <v>100</v>
      </c>
      <c r="X36" s="1265"/>
      <c r="Y36" s="3470"/>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64" t="str">
        <f>A37</f>
        <v>成交单价</v>
      </c>
      <c r="Q37" s="3464"/>
      <c r="R37" s="3459">
        <f>E37</f>
        <v>0</v>
      </c>
      <c r="S37" s="3459"/>
      <c r="T37" s="3459">
        <f>G37</f>
        <v>0</v>
      </c>
      <c r="U37" s="3459"/>
      <c r="V37" s="3459">
        <f>I37</f>
        <v>0</v>
      </c>
      <c r="W37" s="345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64" t="str">
        <f>A38</f>
        <v>比较价值（元/平方米）</v>
      </c>
      <c r="Q38" s="3464"/>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61" t="str">
        <f>A39</f>
        <v>估价对象XX用房的比较价值（楼面单价，元/平方米）</v>
      </c>
      <c r="Q39" s="3462"/>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34" t="s">
        <v>1771</v>
      </c>
      <c r="S4" s="3435"/>
      <c r="T4" s="3434" t="s">
        <v>1772</v>
      </c>
      <c r="U4" s="3435"/>
      <c r="V4" s="3459" t="s">
        <v>1773</v>
      </c>
      <c r="W4" s="3459"/>
      <c r="X4" s="1265"/>
      <c r="Y4" s="3434" t="s">
        <v>1775</v>
      </c>
      <c r="Z4" s="3435"/>
      <c r="AA4" s="3429" t="s">
        <v>1771</v>
      </c>
      <c r="AB4" s="3430" t="s">
        <v>1772</v>
      </c>
      <c r="AC4" s="3429" t="s">
        <v>1773</v>
      </c>
    </row>
    <row r="5" spans="1:29" ht="15">
      <c r="A5" s="348"/>
      <c r="B5" s="349"/>
      <c r="C5" s="3440" t="s">
        <v>1673</v>
      </c>
      <c r="D5" s="3441"/>
      <c r="E5" s="3438" t="s">
        <v>1674</v>
      </c>
      <c r="F5" s="3439"/>
      <c r="G5" s="3440" t="s">
        <v>1675</v>
      </c>
      <c r="H5" s="3441"/>
      <c r="I5" s="3440" t="s">
        <v>1676</v>
      </c>
      <c r="J5" s="3441"/>
      <c r="K5" s="537"/>
      <c r="L5" s="2487"/>
      <c r="M5" s="2488"/>
      <c r="N5" s="2488"/>
      <c r="O5" s="2488"/>
      <c r="P5" s="3453"/>
      <c r="Q5" s="3454"/>
      <c r="R5" s="3436"/>
      <c r="S5" s="3437"/>
      <c r="T5" s="3436"/>
      <c r="U5" s="3437"/>
      <c r="V5" s="3459"/>
      <c r="W5" s="3459"/>
      <c r="X5" s="1265"/>
      <c r="Y5" s="3436"/>
      <c r="Z5" s="3437"/>
      <c r="AA5" s="3430"/>
      <c r="AB5" s="3430"/>
      <c r="AC5" s="3430"/>
    </row>
    <row r="6" spans="1:29" ht="15.75" thickBot="1">
      <c r="A6" s="350"/>
      <c r="B6" s="351"/>
      <c r="C6" s="3442" t="s">
        <v>1677</v>
      </c>
      <c r="D6" s="3443"/>
      <c r="E6" s="3444" t="s">
        <v>1677</v>
      </c>
      <c r="F6" s="3445"/>
      <c r="G6" s="3442" t="s">
        <v>1677</v>
      </c>
      <c r="H6" s="3443"/>
      <c r="I6" s="3442" t="s">
        <v>1677</v>
      </c>
      <c r="J6" s="3443"/>
      <c r="K6" s="537" t="s">
        <v>1678</v>
      </c>
      <c r="L6" s="2487"/>
      <c r="M6" s="2488"/>
      <c r="N6" s="2488"/>
      <c r="O6" s="2488"/>
      <c r="P6" s="3455"/>
      <c r="Q6" s="3456"/>
      <c r="R6" s="3436"/>
      <c r="S6" s="3437"/>
      <c r="T6" s="3457"/>
      <c r="U6" s="3458"/>
      <c r="V6" s="3459"/>
      <c r="W6" s="3459"/>
      <c r="X6" s="1265"/>
      <c r="Y6" s="3457"/>
      <c r="Z6" s="3458"/>
      <c r="AA6" s="3431"/>
      <c r="AB6" s="3431"/>
      <c r="AC6" s="3431"/>
    </row>
    <row r="7" spans="1:29" s="102" customFormat="1" ht="15.75" thickBot="1">
      <c r="A7" s="352" t="s">
        <v>1679</v>
      </c>
      <c r="B7" s="353"/>
      <c r="C7" s="354">
        <f>'数据-取费表'!B2</f>
        <v>45860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2" t="s">
        <v>1680</v>
      </c>
      <c r="Q7" s="3460"/>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64" t="s">
        <v>1686</v>
      </c>
      <c r="Q9" s="530" t="str">
        <f t="shared" ref="Q9:Q14" si="6">B9</f>
        <v>用途</v>
      </c>
      <c r="R9" s="664" t="s">
        <v>14</v>
      </c>
      <c r="S9" s="665">
        <f t="shared" si="0"/>
        <v>100</v>
      </c>
      <c r="T9" s="664" t="s">
        <v>14</v>
      </c>
      <c r="U9" s="665">
        <f t="shared" si="1"/>
        <v>100</v>
      </c>
      <c r="V9" s="664" t="s">
        <v>14</v>
      </c>
      <c r="W9" s="665">
        <f t="shared" si="2"/>
        <v>100</v>
      </c>
      <c r="X9" s="666"/>
      <c r="Y9" s="335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64"/>
      <c r="Q10" s="530" t="str">
        <f t="shared" si="6"/>
        <v>土地使用年限（年）</v>
      </c>
      <c r="R10" s="664" t="s">
        <v>14</v>
      </c>
      <c r="S10" s="665">
        <f t="shared" si="0"/>
        <v>100</v>
      </c>
      <c r="T10" s="664" t="s">
        <v>14</v>
      </c>
      <c r="U10" s="665">
        <f t="shared" si="1"/>
        <v>100</v>
      </c>
      <c r="V10" s="664" t="s">
        <v>14</v>
      </c>
      <c r="W10" s="665">
        <f t="shared" si="2"/>
        <v>100</v>
      </c>
      <c r="X10" s="666"/>
      <c r="Y10" s="33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64"/>
      <c r="Q11" s="530">
        <f t="shared" si="6"/>
        <v>111</v>
      </c>
      <c r="R11" s="664" t="s">
        <v>14</v>
      </c>
      <c r="S11" s="665">
        <f t="shared" si="0"/>
        <v>100</v>
      </c>
      <c r="T11" s="664" t="s">
        <v>14</v>
      </c>
      <c r="U11" s="665">
        <f t="shared" si="1"/>
        <v>100</v>
      </c>
      <c r="V11" s="664" t="s">
        <v>14</v>
      </c>
      <c r="W11" s="665">
        <f t="shared" si="2"/>
        <v>100</v>
      </c>
      <c r="X11" s="666"/>
      <c r="Y11" s="33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65" t="s">
        <v>1691</v>
      </c>
      <c r="Q14" s="1263" t="str">
        <f t="shared" si="6"/>
        <v>交通便捷度</v>
      </c>
      <c r="R14" s="667" t="s">
        <v>14</v>
      </c>
      <c r="S14" s="668">
        <f t="shared" si="0"/>
        <v>100</v>
      </c>
      <c r="T14" s="667" t="s">
        <v>14</v>
      </c>
      <c r="U14" s="668">
        <f t="shared" si="1"/>
        <v>100</v>
      </c>
      <c r="V14" s="667" t="s">
        <v>14</v>
      </c>
      <c r="W14" s="668">
        <f t="shared" si="2"/>
        <v>100</v>
      </c>
      <c r="X14" s="1265"/>
      <c r="Y14" s="346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66"/>
      <c r="Q15" s="1263"/>
      <c r="R15" s="667"/>
      <c r="S15" s="668"/>
      <c r="T15" s="667"/>
      <c r="U15" s="668"/>
      <c r="V15" s="667"/>
      <c r="W15" s="668"/>
      <c r="X15" s="1265"/>
      <c r="Y15" s="346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6"/>
      <c r="Q16" s="1263" t="str">
        <f>B16</f>
        <v>公共配套设施</v>
      </c>
      <c r="R16" s="667" t="s">
        <v>14</v>
      </c>
      <c r="S16" s="668">
        <f>F16</f>
        <v>100</v>
      </c>
      <c r="T16" s="667" t="s">
        <v>14</v>
      </c>
      <c r="U16" s="668">
        <f>H16</f>
        <v>100</v>
      </c>
      <c r="V16" s="667" t="s">
        <v>14</v>
      </c>
      <c r="W16" s="668">
        <f>J16</f>
        <v>100</v>
      </c>
      <c r="X16" s="1265"/>
      <c r="Y16" s="346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6"/>
      <c r="Q17" s="1263"/>
      <c r="R17" s="667"/>
      <c r="S17" s="668"/>
      <c r="T17" s="667"/>
      <c r="U17" s="668"/>
      <c r="V17" s="667"/>
      <c r="W17" s="668"/>
      <c r="X17" s="1265"/>
      <c r="Y17" s="346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6"/>
      <c r="Q18" s="1263" t="str">
        <f>B18</f>
        <v>基础设施水平</v>
      </c>
      <c r="R18" s="667" t="s">
        <v>14</v>
      </c>
      <c r="S18" s="668">
        <f>F18</f>
        <v>100</v>
      </c>
      <c r="T18" s="667" t="s">
        <v>14</v>
      </c>
      <c r="U18" s="668">
        <f>H18</f>
        <v>100</v>
      </c>
      <c r="V18" s="667" t="s">
        <v>14</v>
      </c>
      <c r="W18" s="668">
        <f>J18</f>
        <v>100</v>
      </c>
      <c r="X18" s="1265"/>
      <c r="Y18" s="346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6"/>
      <c r="Q19" s="1263"/>
      <c r="R19" s="667"/>
      <c r="S19" s="668"/>
      <c r="T19" s="667"/>
      <c r="U19" s="668"/>
      <c r="V19" s="667"/>
      <c r="W19" s="668"/>
      <c r="X19" s="1265"/>
      <c r="Y19" s="346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6"/>
      <c r="Q20" s="1263" t="str">
        <f>B20</f>
        <v>自然及人文环境</v>
      </c>
      <c r="R20" s="667" t="s">
        <v>14</v>
      </c>
      <c r="S20" s="668">
        <f>F20</f>
        <v>100</v>
      </c>
      <c r="T20" s="667" t="s">
        <v>14</v>
      </c>
      <c r="U20" s="668">
        <f>H20</f>
        <v>100</v>
      </c>
      <c r="V20" s="667" t="s">
        <v>14</v>
      </c>
      <c r="W20" s="668">
        <f>J20</f>
        <v>100</v>
      </c>
      <c r="X20" s="1265"/>
      <c r="Y20" s="346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6"/>
      <c r="Q21" s="1263"/>
      <c r="R21" s="667"/>
      <c r="S21" s="668"/>
      <c r="T21" s="667"/>
      <c r="U21" s="668"/>
      <c r="V21" s="667"/>
      <c r="W21" s="668"/>
      <c r="X21" s="1265"/>
      <c r="Y21" s="346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6"/>
      <c r="Q22" s="1263" t="str">
        <f>B22</f>
        <v>楼层</v>
      </c>
      <c r="R22" s="667" t="s">
        <v>14</v>
      </c>
      <c r="S22" s="668">
        <f>F22</f>
        <v>100</v>
      </c>
      <c r="T22" s="667" t="s">
        <v>14</v>
      </c>
      <c r="U22" s="668">
        <f>H22</f>
        <v>100</v>
      </c>
      <c r="V22" s="667" t="s">
        <v>14</v>
      </c>
      <c r="W22" s="668">
        <f>J22</f>
        <v>100</v>
      </c>
      <c r="X22" s="1265"/>
      <c r="Y22" s="346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6"/>
      <c r="Q23" s="1263">
        <f>B23</f>
        <v>111</v>
      </c>
      <c r="R23" s="667" t="s">
        <v>14</v>
      </c>
      <c r="S23" s="668">
        <f>F23</f>
        <v>100</v>
      </c>
      <c r="T23" s="667" t="s">
        <v>14</v>
      </c>
      <c r="U23" s="668">
        <f>H23</f>
        <v>100</v>
      </c>
      <c r="V23" s="667" t="s">
        <v>14</v>
      </c>
      <c r="W23" s="668">
        <f>J23</f>
        <v>100</v>
      </c>
      <c r="X23" s="1265"/>
      <c r="Y23" s="346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6"/>
      <c r="Q24" s="1263">
        <f t="shared" ref="Q24:Q34" si="11">B24</f>
        <v>111</v>
      </c>
      <c r="R24" s="667" t="s">
        <v>14</v>
      </c>
      <c r="S24" s="668">
        <f>F24</f>
        <v>100</v>
      </c>
      <c r="T24" s="667" t="s">
        <v>14</v>
      </c>
      <c r="U24" s="668">
        <f>H24</f>
        <v>100</v>
      </c>
      <c r="V24" s="667" t="s">
        <v>14</v>
      </c>
      <c r="W24" s="668">
        <f>J24</f>
        <v>100</v>
      </c>
      <c r="X24" s="1265"/>
      <c r="Y24" s="346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6"/>
      <c r="Q25" s="530">
        <f t="shared" si="11"/>
        <v>111</v>
      </c>
      <c r="R25" s="664" t="s">
        <v>14</v>
      </c>
      <c r="S25" s="665">
        <f>F25</f>
        <v>100</v>
      </c>
      <c r="T25" s="664" t="s">
        <v>14</v>
      </c>
      <c r="U25" s="665">
        <f>H25</f>
        <v>100</v>
      </c>
      <c r="V25" s="664" t="s">
        <v>14</v>
      </c>
      <c r="W25" s="665">
        <f>J25</f>
        <v>100</v>
      </c>
      <c r="X25" s="666"/>
      <c r="Y25" s="346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70"/>
      <c r="Q27" s="531" t="str">
        <f t="shared" si="11"/>
        <v>成新率</v>
      </c>
      <c r="R27" s="669" t="s">
        <v>14</v>
      </c>
      <c r="S27" s="670" t="e">
        <f t="shared" si="12"/>
        <v>#N/A</v>
      </c>
      <c r="T27" s="669" t="s">
        <v>14</v>
      </c>
      <c r="U27" s="670" t="e">
        <f t="shared" si="13"/>
        <v>#N/A</v>
      </c>
      <c r="V27" s="669" t="s">
        <v>14</v>
      </c>
      <c r="W27" s="670" t="e">
        <f t="shared" si="14"/>
        <v>#N/A</v>
      </c>
      <c r="X27" s="671"/>
      <c r="Y27" s="347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70"/>
      <c r="Q28" s="1263" t="str">
        <f t="shared" si="11"/>
        <v>物业等级</v>
      </c>
      <c r="R28" s="667" t="s">
        <v>14</v>
      </c>
      <c r="S28" s="668">
        <f t="shared" si="12"/>
        <v>100</v>
      </c>
      <c r="T28" s="667" t="s">
        <v>14</v>
      </c>
      <c r="U28" s="668">
        <f t="shared" si="13"/>
        <v>100</v>
      </c>
      <c r="V28" s="667" t="s">
        <v>14</v>
      </c>
      <c r="W28" s="668">
        <f t="shared" si="14"/>
        <v>100</v>
      </c>
      <c r="X28" s="1265"/>
      <c r="Y28" s="347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70"/>
      <c r="Q29" s="1263" t="str">
        <f t="shared" si="11"/>
        <v>有无电梯</v>
      </c>
      <c r="R29" s="667" t="s">
        <v>14</v>
      </c>
      <c r="S29" s="668">
        <f t="shared" si="12"/>
        <v>100</v>
      </c>
      <c r="T29" s="667" t="s">
        <v>14</v>
      </c>
      <c r="U29" s="668">
        <f t="shared" si="13"/>
        <v>100</v>
      </c>
      <c r="V29" s="667" t="s">
        <v>14</v>
      </c>
      <c r="W29" s="668">
        <f t="shared" si="14"/>
        <v>100</v>
      </c>
      <c r="X29" s="1265"/>
      <c r="Y29" s="347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70"/>
      <c r="Q30" s="1263" t="str">
        <f t="shared" si="11"/>
        <v>建筑面积</v>
      </c>
      <c r="R30" s="667" t="s">
        <v>14</v>
      </c>
      <c r="S30" s="668" t="e">
        <f t="shared" si="12"/>
        <v>#N/A</v>
      </c>
      <c r="T30" s="667" t="s">
        <v>14</v>
      </c>
      <c r="U30" s="668" t="e">
        <f t="shared" si="13"/>
        <v>#N/A</v>
      </c>
      <c r="V30" s="667" t="s">
        <v>14</v>
      </c>
      <c r="W30" s="668" t="e">
        <f t="shared" si="14"/>
        <v>#N/A</v>
      </c>
      <c r="X30" s="1265"/>
      <c r="Y30" s="347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70"/>
      <c r="Q31" s="530" t="str">
        <f t="shared" si="11"/>
        <v>是否封闭</v>
      </c>
      <c r="R31" s="664" t="s">
        <v>14</v>
      </c>
      <c r="S31" s="665">
        <f t="shared" si="12"/>
        <v>100</v>
      </c>
      <c r="T31" s="664" t="s">
        <v>14</v>
      </c>
      <c r="U31" s="665">
        <f t="shared" si="13"/>
        <v>100</v>
      </c>
      <c r="V31" s="664" t="s">
        <v>14</v>
      </c>
      <c r="W31" s="665">
        <f t="shared" si="14"/>
        <v>100</v>
      </c>
      <c r="X31" s="666"/>
      <c r="Y31" s="347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70" t="s">
        <v>1696</v>
      </c>
      <c r="Q32" s="1263">
        <f t="shared" si="11"/>
        <v>111</v>
      </c>
      <c r="R32" s="667" t="s">
        <v>14</v>
      </c>
      <c r="S32" s="668">
        <f t="shared" si="12"/>
        <v>100</v>
      </c>
      <c r="T32" s="667" t="s">
        <v>14</v>
      </c>
      <c r="U32" s="668">
        <f t="shared" si="13"/>
        <v>100</v>
      </c>
      <c r="V32" s="667" t="s">
        <v>14</v>
      </c>
      <c r="W32" s="668">
        <f t="shared" si="14"/>
        <v>100</v>
      </c>
      <c r="X32" s="1265"/>
      <c r="Y32" s="347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70"/>
      <c r="Q33" s="1263">
        <f t="shared" si="11"/>
        <v>111</v>
      </c>
      <c r="R33" s="667" t="s">
        <v>14</v>
      </c>
      <c r="S33" s="668">
        <f t="shared" si="12"/>
        <v>100</v>
      </c>
      <c r="T33" s="667" t="s">
        <v>14</v>
      </c>
      <c r="U33" s="668">
        <f t="shared" si="13"/>
        <v>100</v>
      </c>
      <c r="V33" s="667" t="s">
        <v>14</v>
      </c>
      <c r="W33" s="668">
        <f t="shared" si="14"/>
        <v>100</v>
      </c>
      <c r="X33" s="1265"/>
      <c r="Y33" s="347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70"/>
      <c r="Q34" s="1263">
        <f t="shared" si="11"/>
        <v>111</v>
      </c>
      <c r="R34" s="667" t="s">
        <v>14</v>
      </c>
      <c r="S34" s="668">
        <f t="shared" si="12"/>
        <v>100</v>
      </c>
      <c r="T34" s="667" t="s">
        <v>14</v>
      </c>
      <c r="U34" s="668">
        <f t="shared" si="13"/>
        <v>100</v>
      </c>
      <c r="V34" s="667" t="s">
        <v>14</v>
      </c>
      <c r="W34" s="668">
        <f t="shared" si="14"/>
        <v>100</v>
      </c>
      <c r="X34" s="1265"/>
      <c r="Y34" s="347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64" t="str">
        <f>A35</f>
        <v>成交单价（元/平方米）</v>
      </c>
      <c r="Q35" s="3464"/>
      <c r="R35" s="3459">
        <f>E35</f>
        <v>0</v>
      </c>
      <c r="S35" s="3459"/>
      <c r="T35" s="3459">
        <f>G35</f>
        <v>0</v>
      </c>
      <c r="U35" s="3459"/>
      <c r="V35" s="3459">
        <f>I35</f>
        <v>0</v>
      </c>
      <c r="W35" s="345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64" t="str">
        <f>A36</f>
        <v>比较价值（元/平方米）</v>
      </c>
      <c r="Q36" s="3464"/>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61" t="str">
        <f>A37</f>
        <v>估价对象XX用房的比较价值（楼面单价，元/平方米）</v>
      </c>
      <c r="Q37" s="3462"/>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34" t="s">
        <v>1771</v>
      </c>
      <c r="S4" s="3435"/>
      <c r="T4" s="3434" t="s">
        <v>1772</v>
      </c>
      <c r="U4" s="3435"/>
      <c r="V4" s="3459" t="s">
        <v>1773</v>
      </c>
      <c r="W4" s="3459"/>
      <c r="X4" s="1265"/>
      <c r="Y4" s="3434" t="s">
        <v>1775</v>
      </c>
      <c r="Z4" s="3435"/>
      <c r="AA4" s="3429" t="s">
        <v>1771</v>
      </c>
      <c r="AB4" s="3430" t="s">
        <v>1772</v>
      </c>
      <c r="AC4" s="3429" t="s">
        <v>1773</v>
      </c>
    </row>
    <row r="5" spans="1:29" ht="15">
      <c r="A5" s="348"/>
      <c r="B5" s="349"/>
      <c r="C5" s="3440" t="s">
        <v>1673</v>
      </c>
      <c r="D5" s="3441"/>
      <c r="E5" s="3438" t="s">
        <v>1674</v>
      </c>
      <c r="F5" s="3439"/>
      <c r="G5" s="3440" t="s">
        <v>1675</v>
      </c>
      <c r="H5" s="3441"/>
      <c r="I5" s="3440" t="s">
        <v>1676</v>
      </c>
      <c r="J5" s="3441"/>
      <c r="K5" s="537"/>
      <c r="L5" s="2487"/>
      <c r="M5" s="2488"/>
      <c r="N5" s="2488"/>
      <c r="O5" s="2488"/>
      <c r="P5" s="3453"/>
      <c r="Q5" s="3454"/>
      <c r="R5" s="3436"/>
      <c r="S5" s="3437"/>
      <c r="T5" s="3436"/>
      <c r="U5" s="3437"/>
      <c r="V5" s="3459"/>
      <c r="W5" s="3459"/>
      <c r="X5" s="1265"/>
      <c r="Y5" s="3436"/>
      <c r="Z5" s="3437"/>
      <c r="AA5" s="3430"/>
      <c r="AB5" s="3430"/>
      <c r="AC5" s="3430"/>
    </row>
    <row r="6" spans="1:29" ht="15.75" thickBot="1">
      <c r="A6" s="350"/>
      <c r="B6" s="351"/>
      <c r="C6" s="3442" t="s">
        <v>1677</v>
      </c>
      <c r="D6" s="3443"/>
      <c r="E6" s="3444" t="s">
        <v>1677</v>
      </c>
      <c r="F6" s="3445"/>
      <c r="G6" s="3442" t="s">
        <v>1677</v>
      </c>
      <c r="H6" s="3443"/>
      <c r="I6" s="3442" t="s">
        <v>1677</v>
      </c>
      <c r="J6" s="3443"/>
      <c r="K6" s="537" t="s">
        <v>1678</v>
      </c>
      <c r="L6" s="2487"/>
      <c r="M6" s="2488"/>
      <c r="N6" s="2488"/>
      <c r="O6" s="2488"/>
      <c r="P6" s="3455"/>
      <c r="Q6" s="3456"/>
      <c r="R6" s="3436"/>
      <c r="S6" s="3437"/>
      <c r="T6" s="3457"/>
      <c r="U6" s="3458"/>
      <c r="V6" s="3459"/>
      <c r="W6" s="3459"/>
      <c r="X6" s="1265"/>
      <c r="Y6" s="3457"/>
      <c r="Z6" s="3458"/>
      <c r="AA6" s="3431"/>
      <c r="AB6" s="3431"/>
      <c r="AC6" s="3431"/>
    </row>
    <row r="7" spans="1:29" s="102" customFormat="1" ht="15.75" thickBot="1">
      <c r="A7" s="352" t="s">
        <v>1679</v>
      </c>
      <c r="B7" s="353"/>
      <c r="C7" s="354">
        <f>'数据-取费表'!B2</f>
        <v>45860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2" t="s">
        <v>1680</v>
      </c>
      <c r="Q7" s="3460"/>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64"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90"/>
      <c r="M10" s="2491"/>
      <c r="N10" s="2491"/>
      <c r="O10" s="2542"/>
      <c r="P10" s="3464"/>
      <c r="Q10" s="530" t="str">
        <f t="shared" si="6"/>
        <v>土地使用年限（年）</v>
      </c>
      <c r="R10" s="664" t="s">
        <v>14</v>
      </c>
      <c r="S10" s="665">
        <f t="shared" si="0"/>
        <v>139</v>
      </c>
      <c r="T10" s="664" t="s">
        <v>14</v>
      </c>
      <c r="U10" s="665">
        <f t="shared" si="1"/>
        <v>139</v>
      </c>
      <c r="V10" s="664" t="s">
        <v>14</v>
      </c>
      <c r="W10" s="665">
        <f t="shared" si="2"/>
        <v>139</v>
      </c>
      <c r="X10" s="666"/>
      <c r="Y10" s="3357"/>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64"/>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64"/>
      <c r="Q12" s="530" t="str">
        <f t="shared" si="6"/>
        <v>配建</v>
      </c>
      <c r="R12" s="664" t="s">
        <v>14</v>
      </c>
      <c r="S12" s="665">
        <f t="shared" si="0"/>
        <v>100</v>
      </c>
      <c r="T12" s="664" t="s">
        <v>14</v>
      </c>
      <c r="U12" s="665">
        <f t="shared" si="1"/>
        <v>100</v>
      </c>
      <c r="V12" s="664" t="s">
        <v>14</v>
      </c>
      <c r="W12" s="665">
        <f t="shared" si="2"/>
        <v>100</v>
      </c>
      <c r="X12" s="666"/>
      <c r="Y12" s="33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64"/>
      <c r="Q14" s="530">
        <f t="shared" si="6"/>
        <v>111</v>
      </c>
      <c r="R14" s="664" t="s">
        <v>14</v>
      </c>
      <c r="S14" s="665">
        <f t="shared" si="0"/>
        <v>100</v>
      </c>
      <c r="T14" s="664" t="s">
        <v>14</v>
      </c>
      <c r="U14" s="665">
        <f t="shared" si="1"/>
        <v>100</v>
      </c>
      <c r="V14" s="664" t="s">
        <v>14</v>
      </c>
      <c r="W14" s="665">
        <f t="shared" si="2"/>
        <v>100</v>
      </c>
      <c r="X14" s="666"/>
      <c r="Y14" s="335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5" t="s">
        <v>1691</v>
      </c>
      <c r="Q15" s="1263" t="str">
        <f t="shared" si="6"/>
        <v>居住社区成熟度</v>
      </c>
      <c r="R15" s="667" t="s">
        <v>14</v>
      </c>
      <c r="S15" s="668">
        <f t="shared" si="0"/>
        <v>100</v>
      </c>
      <c r="T15" s="667" t="s">
        <v>14</v>
      </c>
      <c r="U15" s="668">
        <f t="shared" si="1"/>
        <v>100</v>
      </c>
      <c r="V15" s="667" t="s">
        <v>14</v>
      </c>
      <c r="W15" s="668">
        <f t="shared" si="2"/>
        <v>100</v>
      </c>
      <c r="X15" s="1265"/>
      <c r="Y15" s="346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6"/>
      <c r="Q16" s="1263"/>
      <c r="R16" s="667"/>
      <c r="S16" s="668"/>
      <c r="T16" s="667"/>
      <c r="U16" s="668"/>
      <c r="V16" s="667"/>
      <c r="W16" s="668"/>
      <c r="X16" s="1265"/>
      <c r="Y16" s="346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6"/>
      <c r="Q17" s="1263" t="str">
        <f>B17</f>
        <v>商业繁华度</v>
      </c>
      <c r="R17" s="667" t="s">
        <v>14</v>
      </c>
      <c r="S17" s="668">
        <f>F17</f>
        <v>100</v>
      </c>
      <c r="T17" s="667" t="s">
        <v>14</v>
      </c>
      <c r="U17" s="668">
        <f>H17</f>
        <v>100</v>
      </c>
      <c r="V17" s="667" t="s">
        <v>14</v>
      </c>
      <c r="W17" s="668">
        <f>J17</f>
        <v>100</v>
      </c>
      <c r="X17" s="1265"/>
      <c r="Y17" s="346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6"/>
      <c r="Q18" s="1263"/>
      <c r="R18" s="667"/>
      <c r="S18" s="668"/>
      <c r="T18" s="667"/>
      <c r="U18" s="668"/>
      <c r="V18" s="667"/>
      <c r="W18" s="668"/>
      <c r="X18" s="1265"/>
      <c r="Y18" s="346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6"/>
      <c r="Q19" s="1263" t="str">
        <f>B19</f>
        <v>办公集聚程度</v>
      </c>
      <c r="R19" s="667" t="s">
        <v>14</v>
      </c>
      <c r="S19" s="668">
        <f>F19</f>
        <v>100</v>
      </c>
      <c r="T19" s="667" t="s">
        <v>14</v>
      </c>
      <c r="U19" s="668">
        <f>H19</f>
        <v>100</v>
      </c>
      <c r="V19" s="667" t="s">
        <v>14</v>
      </c>
      <c r="W19" s="668">
        <f>J19</f>
        <v>100</v>
      </c>
      <c r="X19" s="1265"/>
      <c r="Y19" s="346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6"/>
      <c r="Q20" s="1263"/>
      <c r="R20" s="667"/>
      <c r="S20" s="668"/>
      <c r="T20" s="667"/>
      <c r="U20" s="668"/>
      <c r="V20" s="667"/>
      <c r="W20" s="668"/>
      <c r="X20" s="1265"/>
      <c r="Y20" s="346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6"/>
      <c r="Q21" s="1263" t="str">
        <f>B21</f>
        <v>交通便捷度</v>
      </c>
      <c r="R21" s="667" t="s">
        <v>14</v>
      </c>
      <c r="S21" s="668">
        <f>F21</f>
        <v>100</v>
      </c>
      <c r="T21" s="667" t="s">
        <v>14</v>
      </c>
      <c r="U21" s="668">
        <f>H21</f>
        <v>100</v>
      </c>
      <c r="V21" s="667" t="s">
        <v>14</v>
      </c>
      <c r="W21" s="668">
        <f>J21</f>
        <v>100</v>
      </c>
      <c r="X21" s="1265"/>
      <c r="Y21" s="346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6"/>
      <c r="Q22" s="1263"/>
      <c r="R22" s="667"/>
      <c r="S22" s="668"/>
      <c r="T22" s="667"/>
      <c r="U22" s="668"/>
      <c r="V22" s="667"/>
      <c r="W22" s="668"/>
      <c r="X22" s="1265"/>
      <c r="Y22" s="346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6"/>
      <c r="Q23" s="1263" t="str">
        <f t="shared" ref="Q23:Q37" si="8">B23</f>
        <v>区域土地利用方向</v>
      </c>
      <c r="R23" s="667" t="s">
        <v>14</v>
      </c>
      <c r="S23" s="668">
        <f>F23</f>
        <v>100</v>
      </c>
      <c r="T23" s="667" t="s">
        <v>14</v>
      </c>
      <c r="U23" s="668">
        <f>H23</f>
        <v>100</v>
      </c>
      <c r="V23" s="667" t="s">
        <v>14</v>
      </c>
      <c r="W23" s="668">
        <f>J23</f>
        <v>100</v>
      </c>
      <c r="X23" s="1265"/>
      <c r="Y23" s="346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6"/>
      <c r="Q24" s="1263"/>
      <c r="R24" s="667"/>
      <c r="S24" s="668"/>
      <c r="T24" s="667"/>
      <c r="U24" s="668"/>
      <c r="V24" s="667"/>
      <c r="W24" s="668"/>
      <c r="X24" s="1265"/>
      <c r="Y24" s="346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6"/>
      <c r="Q25" s="1263" t="str">
        <f t="shared" si="8"/>
        <v>自然及人文环境状况</v>
      </c>
      <c r="R25" s="667" t="s">
        <v>14</v>
      </c>
      <c r="S25" s="668">
        <f>F25</f>
        <v>100</v>
      </c>
      <c r="T25" s="667" t="s">
        <v>14</v>
      </c>
      <c r="U25" s="668">
        <f>H25</f>
        <v>100</v>
      </c>
      <c r="V25" s="667" t="s">
        <v>14</v>
      </c>
      <c r="W25" s="668">
        <f>J25</f>
        <v>100</v>
      </c>
      <c r="X25" s="1265"/>
      <c r="Y25" s="346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6"/>
      <c r="Q26" s="1263"/>
      <c r="R26" s="667"/>
      <c r="S26" s="668"/>
      <c r="T26" s="667"/>
      <c r="U26" s="668"/>
      <c r="V26" s="667"/>
      <c r="W26" s="668"/>
      <c r="X26" s="1265"/>
      <c r="Y26" s="346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6"/>
      <c r="Q27" s="530" t="str">
        <f t="shared" si="8"/>
        <v>公共配套设施</v>
      </c>
      <c r="R27" s="664" t="s">
        <v>14</v>
      </c>
      <c r="S27" s="665">
        <f>F27</f>
        <v>100</v>
      </c>
      <c r="T27" s="664" t="s">
        <v>14</v>
      </c>
      <c r="U27" s="665">
        <f>H27</f>
        <v>100</v>
      </c>
      <c r="V27" s="664" t="s">
        <v>14</v>
      </c>
      <c r="W27" s="665">
        <f>J27</f>
        <v>100</v>
      </c>
      <c r="X27" s="666"/>
      <c r="Y27" s="346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6"/>
      <c r="Q28" s="530"/>
      <c r="R28" s="664"/>
      <c r="S28" s="665"/>
      <c r="T28" s="664"/>
      <c r="U28" s="665"/>
      <c r="V28" s="664"/>
      <c r="W28" s="665"/>
      <c r="X28" s="666"/>
      <c r="Y28" s="346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6"/>
      <c r="Q29" s="530" t="str">
        <f t="shared" ref="Q29" si="9">B29</f>
        <v>基础设施水平</v>
      </c>
      <c r="R29" s="664" t="s">
        <v>14</v>
      </c>
      <c r="S29" s="665">
        <f>F29</f>
        <v>100</v>
      </c>
      <c r="T29" s="664" t="s">
        <v>14</v>
      </c>
      <c r="U29" s="665">
        <f>H29</f>
        <v>100</v>
      </c>
      <c r="V29" s="664" t="s">
        <v>14</v>
      </c>
      <c r="W29" s="665">
        <f>J29</f>
        <v>100</v>
      </c>
      <c r="X29" s="666"/>
      <c r="Y29" s="346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6"/>
      <c r="Q30" s="530"/>
      <c r="R30" s="664"/>
      <c r="S30" s="665"/>
      <c r="T30" s="664"/>
      <c r="U30" s="665"/>
      <c r="V30" s="664"/>
      <c r="W30" s="665"/>
      <c r="X30" s="666"/>
      <c r="Y30" s="346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6"/>
      <c r="Q32" s="1263" t="str">
        <f t="shared" si="8"/>
        <v>毗邻道路的类型与等级</v>
      </c>
      <c r="R32" s="667" t="s">
        <v>14</v>
      </c>
      <c r="S32" s="668">
        <f t="shared" si="10"/>
        <v>100</v>
      </c>
      <c r="T32" s="667" t="s">
        <v>14</v>
      </c>
      <c r="U32" s="668">
        <f t="shared" si="11"/>
        <v>100</v>
      </c>
      <c r="V32" s="667" t="s">
        <v>14</v>
      </c>
      <c r="W32" s="668">
        <f t="shared" si="12"/>
        <v>100</v>
      </c>
      <c r="X32" s="1265"/>
      <c r="Y32" s="346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6"/>
      <c r="Q33" s="1263"/>
      <c r="R33" s="667"/>
      <c r="S33" s="668"/>
      <c r="T33" s="667"/>
      <c r="U33" s="668"/>
      <c r="V33" s="667"/>
      <c r="W33" s="668"/>
      <c r="X33" s="1265"/>
      <c r="Y33" s="346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6"/>
      <c r="Q34" s="1263" t="str">
        <f t="shared" si="8"/>
        <v>土地级别</v>
      </c>
      <c r="R34" s="667" t="s">
        <v>14</v>
      </c>
      <c r="S34" s="668">
        <f t="shared" si="10"/>
        <v>100</v>
      </c>
      <c r="T34" s="667" t="s">
        <v>14</v>
      </c>
      <c r="U34" s="668">
        <f t="shared" si="11"/>
        <v>100</v>
      </c>
      <c r="V34" s="667" t="s">
        <v>14</v>
      </c>
      <c r="W34" s="668">
        <f t="shared" si="12"/>
        <v>100</v>
      </c>
      <c r="X34" s="1265"/>
      <c r="Y34" s="346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6"/>
      <c r="Q35" s="1263">
        <f t="shared" si="8"/>
        <v>111</v>
      </c>
      <c r="R35" s="667" t="s">
        <v>14</v>
      </c>
      <c r="S35" s="668">
        <f t="shared" si="10"/>
        <v>100</v>
      </c>
      <c r="T35" s="667" t="s">
        <v>14</v>
      </c>
      <c r="U35" s="668">
        <f t="shared" si="11"/>
        <v>100</v>
      </c>
      <c r="V35" s="667" t="s">
        <v>14</v>
      </c>
      <c r="W35" s="668">
        <f t="shared" si="12"/>
        <v>100</v>
      </c>
      <c r="X35" s="1265"/>
      <c r="Y35" s="346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9" t="s">
        <v>1696</v>
      </c>
      <c r="Q36" s="1263">
        <f t="shared" si="8"/>
        <v>111</v>
      </c>
      <c r="R36" s="667" t="s">
        <v>14</v>
      </c>
      <c r="S36" s="668">
        <f t="shared" si="10"/>
        <v>100</v>
      </c>
      <c r="T36" s="667" t="s">
        <v>14</v>
      </c>
      <c r="U36" s="668">
        <f t="shared" si="11"/>
        <v>100</v>
      </c>
      <c r="V36" s="667" t="s">
        <v>14</v>
      </c>
      <c r="W36" s="668">
        <f t="shared" si="12"/>
        <v>100</v>
      </c>
      <c r="X36" s="1265"/>
      <c r="Y36" s="347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70"/>
      <c r="Q37" s="1263">
        <f t="shared" si="8"/>
        <v>111</v>
      </c>
      <c r="R37" s="669" t="s">
        <v>14</v>
      </c>
      <c r="S37" s="670">
        <f t="shared" si="10"/>
        <v>100</v>
      </c>
      <c r="T37" s="669" t="s">
        <v>14</v>
      </c>
      <c r="U37" s="670">
        <f t="shared" si="11"/>
        <v>100</v>
      </c>
      <c r="V37" s="669" t="s">
        <v>14</v>
      </c>
      <c r="W37" s="670">
        <f t="shared" si="12"/>
        <v>100</v>
      </c>
      <c r="X37" s="671"/>
      <c r="Y37" s="347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70"/>
      <c r="Q38" s="1263" t="str">
        <f>B38</f>
        <v>宗地面积</v>
      </c>
      <c r="R38" s="667" t="s">
        <v>14</v>
      </c>
      <c r="S38" s="668" t="e">
        <f t="shared" si="10"/>
        <v>#N/A</v>
      </c>
      <c r="T38" s="667" t="s">
        <v>14</v>
      </c>
      <c r="U38" s="668" t="e">
        <f t="shared" si="11"/>
        <v>#N/A</v>
      </c>
      <c r="V38" s="667" t="s">
        <v>14</v>
      </c>
      <c r="W38" s="668" t="e">
        <f t="shared" si="12"/>
        <v>#N/A</v>
      </c>
      <c r="X38" s="1265"/>
      <c r="Y38" s="347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70"/>
      <c r="Q39" s="1263" t="str">
        <f t="shared" ref="Q39:Q45" si="14">B39</f>
        <v>宗地形状</v>
      </c>
      <c r="R39" s="667" t="s">
        <v>14</v>
      </c>
      <c r="S39" s="668">
        <f t="shared" si="10"/>
        <v>100</v>
      </c>
      <c r="T39" s="667" t="s">
        <v>14</v>
      </c>
      <c r="U39" s="668">
        <f t="shared" si="11"/>
        <v>100</v>
      </c>
      <c r="V39" s="667" t="s">
        <v>14</v>
      </c>
      <c r="W39" s="668">
        <f t="shared" si="12"/>
        <v>100</v>
      </c>
      <c r="X39" s="1265"/>
      <c r="Y39" s="347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70"/>
      <c r="Q40" s="1263" t="str">
        <f t="shared" si="14"/>
        <v>临街宽度及深度</v>
      </c>
      <c r="R40" s="667" t="s">
        <v>14</v>
      </c>
      <c r="S40" s="668">
        <f t="shared" si="10"/>
        <v>100</v>
      </c>
      <c r="T40" s="667" t="s">
        <v>14</v>
      </c>
      <c r="U40" s="668">
        <f t="shared" si="11"/>
        <v>100</v>
      </c>
      <c r="V40" s="667" t="s">
        <v>14</v>
      </c>
      <c r="W40" s="668">
        <f t="shared" si="12"/>
        <v>100</v>
      </c>
      <c r="X40" s="1265"/>
      <c r="Y40" s="347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70"/>
      <c r="Q41" s="1263" t="str">
        <f t="shared" si="14"/>
        <v>宗地开发程度</v>
      </c>
      <c r="R41" s="664" t="s">
        <v>14</v>
      </c>
      <c r="S41" s="665">
        <f t="shared" si="10"/>
        <v>100</v>
      </c>
      <c r="T41" s="664" t="s">
        <v>14</v>
      </c>
      <c r="U41" s="665">
        <f t="shared" si="11"/>
        <v>100</v>
      </c>
      <c r="V41" s="664" t="s">
        <v>14</v>
      </c>
      <c r="W41" s="665">
        <f t="shared" si="12"/>
        <v>100</v>
      </c>
      <c r="X41" s="666"/>
      <c r="Y41" s="347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70" t="s">
        <v>1696</v>
      </c>
      <c r="Q42" s="1263" t="str">
        <f t="shared" si="14"/>
        <v>工程地质条件</v>
      </c>
      <c r="R42" s="667" t="s">
        <v>14</v>
      </c>
      <c r="S42" s="668">
        <f t="shared" si="10"/>
        <v>100</v>
      </c>
      <c r="T42" s="667" t="s">
        <v>14</v>
      </c>
      <c r="U42" s="668">
        <f t="shared" si="11"/>
        <v>100</v>
      </c>
      <c r="V42" s="667" t="s">
        <v>14</v>
      </c>
      <c r="W42" s="668">
        <f t="shared" si="12"/>
        <v>100</v>
      </c>
      <c r="X42" s="1265"/>
      <c r="Y42" s="347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70"/>
      <c r="Q43" s="1263">
        <f t="shared" si="14"/>
        <v>111</v>
      </c>
      <c r="R43" s="667" t="s">
        <v>14</v>
      </c>
      <c r="S43" s="668">
        <f t="shared" si="10"/>
        <v>100</v>
      </c>
      <c r="T43" s="667" t="s">
        <v>14</v>
      </c>
      <c r="U43" s="668">
        <f t="shared" si="11"/>
        <v>100</v>
      </c>
      <c r="V43" s="667" t="s">
        <v>14</v>
      </c>
      <c r="W43" s="668">
        <f t="shared" si="12"/>
        <v>100</v>
      </c>
      <c r="X43" s="1265"/>
      <c r="Y43" s="347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70"/>
      <c r="Q44" s="1263">
        <f t="shared" si="14"/>
        <v>111</v>
      </c>
      <c r="R44" s="667" t="s">
        <v>14</v>
      </c>
      <c r="S44" s="668">
        <f t="shared" si="10"/>
        <v>100</v>
      </c>
      <c r="T44" s="667" t="s">
        <v>14</v>
      </c>
      <c r="U44" s="668">
        <f t="shared" si="11"/>
        <v>100</v>
      </c>
      <c r="V44" s="667" t="s">
        <v>14</v>
      </c>
      <c r="W44" s="668">
        <f t="shared" si="12"/>
        <v>100</v>
      </c>
      <c r="X44" s="1265"/>
      <c r="Y44" s="347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70"/>
      <c r="Q45" s="1263">
        <f t="shared" si="14"/>
        <v>111</v>
      </c>
      <c r="R45" s="669" t="s">
        <v>14</v>
      </c>
      <c r="S45" s="670">
        <f t="shared" si="10"/>
        <v>100</v>
      </c>
      <c r="T45" s="669" t="s">
        <v>14</v>
      </c>
      <c r="U45" s="670">
        <f t="shared" si="11"/>
        <v>100</v>
      </c>
      <c r="V45" s="669" t="s">
        <v>14</v>
      </c>
      <c r="W45" s="670">
        <f t="shared" si="12"/>
        <v>100</v>
      </c>
      <c r="X45" s="671"/>
      <c r="Y45" s="347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64" t="str">
        <f>A46</f>
        <v>成交单价</v>
      </c>
      <c r="Q46" s="3464"/>
      <c r="R46" s="3459">
        <f>E46</f>
        <v>0</v>
      </c>
      <c r="S46" s="3459"/>
      <c r="T46" s="3459">
        <f>G46</f>
        <v>0</v>
      </c>
      <c r="U46" s="3459"/>
      <c r="V46" s="3459">
        <f>I46</f>
        <v>0</v>
      </c>
      <c r="W46" s="345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64" t="str">
        <f>A47</f>
        <v>比较价值（元/平方米）</v>
      </c>
      <c r="Q47" s="3464"/>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61" t="str">
        <f>A48</f>
        <v>估价对象XX用房的比较价值（楼面单价，元/平方米）</v>
      </c>
      <c r="Q48" s="3462"/>
      <c r="R48" s="3492" t="e">
        <f>ROUND(IF(D47="简单平均",AVERAGE(R47:W47),R47*F47+T47*H47+V47*J47),0)</f>
        <v>#DIV/0!</v>
      </c>
      <c r="S48" s="3492"/>
      <c r="T48" s="3492"/>
      <c r="U48" s="3492"/>
      <c r="V48" s="3492"/>
      <c r="W48" s="349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47" t="s">
        <v>1887</v>
      </c>
      <c r="H55" s="349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199.39</v>
      </c>
      <c r="F56" s="833" t="e">
        <f t="shared" ref="F56:F64" si="15">ROUND(B56*E56/10000,0)</f>
        <v>#DIV/0!</v>
      </c>
      <c r="G56" s="3446"/>
      <c r="H56" s="346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SUMIF(修正!A59:A70,H57,修正!B59:B70)</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SUMIF(修正!A59:A70,H58,修正!C59:C70)</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SUMIF(修正!A59:A70,H59,修正!D59:D70)</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199.39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7"/>
      <c r="M4" s="2488"/>
      <c r="N4" s="2488"/>
      <c r="O4" s="2488"/>
      <c r="P4" s="3451" t="s">
        <v>1775</v>
      </c>
      <c r="Q4" s="3452"/>
      <c r="R4" s="3434" t="s">
        <v>1771</v>
      </c>
      <c r="S4" s="3435"/>
      <c r="T4" s="3434" t="s">
        <v>1772</v>
      </c>
      <c r="U4" s="3435"/>
      <c r="V4" s="3459" t="s">
        <v>1773</v>
      </c>
      <c r="W4" s="3459"/>
      <c r="X4" s="1265"/>
      <c r="Y4" s="3434" t="s">
        <v>1775</v>
      </c>
      <c r="Z4" s="3435"/>
      <c r="AA4" s="3429" t="s">
        <v>1771</v>
      </c>
      <c r="AB4" s="3430" t="s">
        <v>1772</v>
      </c>
      <c r="AC4" s="3429" t="s">
        <v>1773</v>
      </c>
    </row>
    <row r="5" spans="1:29" ht="15">
      <c r="A5" s="348"/>
      <c r="B5" s="349"/>
      <c r="C5" s="3440" t="s">
        <v>1673</v>
      </c>
      <c r="D5" s="3441"/>
      <c r="E5" s="3438" t="s">
        <v>1674</v>
      </c>
      <c r="F5" s="3439"/>
      <c r="G5" s="3440" t="s">
        <v>1675</v>
      </c>
      <c r="H5" s="3441"/>
      <c r="I5" s="3440" t="s">
        <v>1676</v>
      </c>
      <c r="J5" s="3441"/>
      <c r="K5" s="537"/>
      <c r="L5" s="2487"/>
      <c r="M5" s="2488"/>
      <c r="N5" s="2488"/>
      <c r="O5" s="2488"/>
      <c r="P5" s="3453"/>
      <c r="Q5" s="3454"/>
      <c r="R5" s="3436"/>
      <c r="S5" s="3437"/>
      <c r="T5" s="3436"/>
      <c r="U5" s="3437"/>
      <c r="V5" s="3459"/>
      <c r="W5" s="3459"/>
      <c r="X5" s="1265"/>
      <c r="Y5" s="3436"/>
      <c r="Z5" s="3437"/>
      <c r="AA5" s="3430"/>
      <c r="AB5" s="3430"/>
      <c r="AC5" s="3430"/>
    </row>
    <row r="6" spans="1:29" ht="15.75" thickBot="1">
      <c r="A6" s="350"/>
      <c r="B6" s="351"/>
      <c r="C6" s="3494" t="s">
        <v>1919</v>
      </c>
      <c r="D6" s="3495"/>
      <c r="E6" s="3496" t="s">
        <v>1919</v>
      </c>
      <c r="F6" s="3497"/>
      <c r="G6" s="3494" t="s">
        <v>1919</v>
      </c>
      <c r="H6" s="3495"/>
      <c r="I6" s="3494" t="s">
        <v>1919</v>
      </c>
      <c r="J6" s="3495"/>
      <c r="K6" s="537" t="s">
        <v>1678</v>
      </c>
      <c r="L6" s="2487"/>
      <c r="M6" s="2488"/>
      <c r="N6" s="2488"/>
      <c r="O6" s="2488"/>
      <c r="P6" s="3455"/>
      <c r="Q6" s="3456"/>
      <c r="R6" s="3436"/>
      <c r="S6" s="3437"/>
      <c r="T6" s="3457"/>
      <c r="U6" s="3458"/>
      <c r="V6" s="3459"/>
      <c r="W6" s="3459"/>
      <c r="X6" s="1265"/>
      <c r="Y6" s="3457"/>
      <c r="Z6" s="3458"/>
      <c r="AA6" s="3431"/>
      <c r="AB6" s="3431"/>
      <c r="AC6" s="3431"/>
    </row>
    <row r="7" spans="1:29" s="102" customFormat="1" ht="15.75" thickBot="1">
      <c r="A7" s="352" t="s">
        <v>1679</v>
      </c>
      <c r="B7" s="353"/>
      <c r="C7" s="354">
        <f>'数据-取费表'!B2</f>
        <v>45860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2" t="s">
        <v>1680</v>
      </c>
      <c r="Q7" s="3460"/>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64" t="s">
        <v>1686</v>
      </c>
      <c r="Q9" s="530" t="str">
        <f t="shared" ref="Q9:Q15" si="6">B9</f>
        <v>用途</v>
      </c>
      <c r="R9" s="664" t="s">
        <v>14</v>
      </c>
      <c r="S9" s="665">
        <f t="shared" si="0"/>
        <v>100</v>
      </c>
      <c r="T9" s="664" t="s">
        <v>14</v>
      </c>
      <c r="U9" s="665">
        <f t="shared" si="1"/>
        <v>100</v>
      </c>
      <c r="V9" s="664" t="s">
        <v>14</v>
      </c>
      <c r="W9" s="665">
        <f t="shared" si="2"/>
        <v>100</v>
      </c>
      <c r="X9" s="666"/>
      <c r="Y9" s="33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90"/>
      <c r="M10" s="2491"/>
      <c r="N10" s="2491"/>
      <c r="O10" s="2542"/>
      <c r="P10" s="3464"/>
      <c r="Q10" s="530" t="str">
        <f t="shared" si="6"/>
        <v>土地使用年限（年）</v>
      </c>
      <c r="R10" s="664" t="s">
        <v>14</v>
      </c>
      <c r="S10" s="665">
        <f t="shared" si="0"/>
        <v>139</v>
      </c>
      <c r="T10" s="664" t="s">
        <v>14</v>
      </c>
      <c r="U10" s="665">
        <f t="shared" si="1"/>
        <v>139</v>
      </c>
      <c r="V10" s="664" t="s">
        <v>14</v>
      </c>
      <c r="W10" s="665">
        <f t="shared" si="2"/>
        <v>139</v>
      </c>
      <c r="X10" s="666"/>
      <c r="Y10" s="3357"/>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64"/>
      <c r="Q11" s="530" t="str">
        <f t="shared" si="6"/>
        <v>容积率</v>
      </c>
      <c r="R11" s="664" t="s">
        <v>14</v>
      </c>
      <c r="S11" s="665" t="e">
        <f t="shared" si="0"/>
        <v>#N/A</v>
      </c>
      <c r="T11" s="664" t="s">
        <v>14</v>
      </c>
      <c r="U11" s="665" t="e">
        <f t="shared" si="1"/>
        <v>#N/A</v>
      </c>
      <c r="V11" s="664" t="s">
        <v>14</v>
      </c>
      <c r="W11" s="665" t="e">
        <f t="shared" si="2"/>
        <v>#N/A</v>
      </c>
      <c r="X11" s="666"/>
      <c r="Y11" s="33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64"/>
      <c r="Q12" s="530">
        <f t="shared" si="6"/>
        <v>111</v>
      </c>
      <c r="R12" s="664" t="s">
        <v>14</v>
      </c>
      <c r="S12" s="665">
        <f t="shared" si="0"/>
        <v>100</v>
      </c>
      <c r="T12" s="664" t="s">
        <v>14</v>
      </c>
      <c r="U12" s="665">
        <f t="shared" si="1"/>
        <v>100</v>
      </c>
      <c r="V12" s="664" t="s">
        <v>14</v>
      </c>
      <c r="W12" s="665">
        <f t="shared" si="2"/>
        <v>100</v>
      </c>
      <c r="X12" s="666"/>
      <c r="Y12" s="33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64"/>
      <c r="Q13" s="530">
        <f t="shared" si="6"/>
        <v>111</v>
      </c>
      <c r="R13" s="664" t="s">
        <v>14</v>
      </c>
      <c r="S13" s="665">
        <f t="shared" si="0"/>
        <v>100</v>
      </c>
      <c r="T13" s="664" t="s">
        <v>14</v>
      </c>
      <c r="U13" s="665">
        <f t="shared" si="1"/>
        <v>100</v>
      </c>
      <c r="V13" s="664" t="s">
        <v>14</v>
      </c>
      <c r="W13" s="665">
        <f t="shared" si="2"/>
        <v>100</v>
      </c>
      <c r="X13" s="666"/>
      <c r="Y13" s="335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64"/>
      <c r="Q14" s="530">
        <f t="shared" si="6"/>
        <v>111</v>
      </c>
      <c r="R14" s="664" t="s">
        <v>14</v>
      </c>
      <c r="S14" s="665">
        <f t="shared" si="0"/>
        <v>100</v>
      </c>
      <c r="T14" s="664" t="s">
        <v>14</v>
      </c>
      <c r="U14" s="665">
        <f t="shared" si="1"/>
        <v>100</v>
      </c>
      <c r="V14" s="664" t="s">
        <v>14</v>
      </c>
      <c r="W14" s="665">
        <f t="shared" si="2"/>
        <v>100</v>
      </c>
      <c r="X14" s="666"/>
      <c r="Y14" s="335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5" t="s">
        <v>1691</v>
      </c>
      <c r="Q15" s="1263" t="str">
        <f t="shared" si="6"/>
        <v>产业集聚程度</v>
      </c>
      <c r="R15" s="667" t="s">
        <v>14</v>
      </c>
      <c r="S15" s="668">
        <f t="shared" si="0"/>
        <v>100</v>
      </c>
      <c r="T15" s="667" t="s">
        <v>14</v>
      </c>
      <c r="U15" s="668">
        <f t="shared" si="1"/>
        <v>100</v>
      </c>
      <c r="V15" s="667" t="s">
        <v>14</v>
      </c>
      <c r="W15" s="668">
        <f t="shared" si="2"/>
        <v>100</v>
      </c>
      <c r="X15" s="1265"/>
      <c r="Y15" s="346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6"/>
      <c r="Q16" s="1263"/>
      <c r="R16" s="667"/>
      <c r="S16" s="668"/>
      <c r="T16" s="667"/>
      <c r="U16" s="668"/>
      <c r="V16" s="667"/>
      <c r="W16" s="668"/>
      <c r="X16" s="1265"/>
      <c r="Y16" s="346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6"/>
      <c r="Q17" s="1263" t="str">
        <f>B17</f>
        <v>交通便捷度</v>
      </c>
      <c r="R17" s="667" t="s">
        <v>14</v>
      </c>
      <c r="S17" s="668">
        <f>F17</f>
        <v>100</v>
      </c>
      <c r="T17" s="667" t="s">
        <v>14</v>
      </c>
      <c r="U17" s="668">
        <f>H17</f>
        <v>100</v>
      </c>
      <c r="V17" s="667" t="s">
        <v>14</v>
      </c>
      <c r="W17" s="668">
        <f>J17</f>
        <v>100</v>
      </c>
      <c r="X17" s="1265"/>
      <c r="Y17" s="346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6"/>
      <c r="Q18" s="1263"/>
      <c r="R18" s="667"/>
      <c r="S18" s="668"/>
      <c r="T18" s="667"/>
      <c r="U18" s="668"/>
      <c r="V18" s="667"/>
      <c r="W18" s="668"/>
      <c r="X18" s="1265"/>
      <c r="Y18" s="346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6"/>
      <c r="Q19" s="1263" t="str">
        <f t="shared" ref="Q19:Q33" si="8">B19</f>
        <v>区域土地利用方向</v>
      </c>
      <c r="R19" s="667" t="s">
        <v>14</v>
      </c>
      <c r="S19" s="668">
        <f>F19</f>
        <v>100</v>
      </c>
      <c r="T19" s="667" t="s">
        <v>14</v>
      </c>
      <c r="U19" s="668">
        <f>H19</f>
        <v>100</v>
      </c>
      <c r="V19" s="667" t="s">
        <v>14</v>
      </c>
      <c r="W19" s="668">
        <f>J19</f>
        <v>100</v>
      </c>
      <c r="X19" s="1265"/>
      <c r="Y19" s="346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6"/>
      <c r="Q20" s="1263"/>
      <c r="R20" s="667"/>
      <c r="S20" s="668"/>
      <c r="T20" s="667"/>
      <c r="U20" s="668"/>
      <c r="V20" s="667"/>
      <c r="W20" s="668"/>
      <c r="X20" s="1265"/>
      <c r="Y20" s="346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6"/>
      <c r="Q21" s="1263" t="str">
        <f t="shared" si="8"/>
        <v>环境状况</v>
      </c>
      <c r="R21" s="667" t="s">
        <v>14</v>
      </c>
      <c r="S21" s="668">
        <f>F21</f>
        <v>100</v>
      </c>
      <c r="T21" s="667" t="s">
        <v>14</v>
      </c>
      <c r="U21" s="668">
        <f>H21</f>
        <v>100</v>
      </c>
      <c r="V21" s="667" t="s">
        <v>14</v>
      </c>
      <c r="W21" s="668">
        <f>J21</f>
        <v>100</v>
      </c>
      <c r="X21" s="1265"/>
      <c r="Y21" s="346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6"/>
      <c r="Q22" s="1263"/>
      <c r="R22" s="667"/>
      <c r="S22" s="668"/>
      <c r="T22" s="667"/>
      <c r="U22" s="668"/>
      <c r="V22" s="667"/>
      <c r="W22" s="668"/>
      <c r="X22" s="1265"/>
      <c r="Y22" s="346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6"/>
      <c r="Q23" s="530" t="str">
        <f t="shared" si="8"/>
        <v>公共配套设施</v>
      </c>
      <c r="R23" s="664" t="s">
        <v>14</v>
      </c>
      <c r="S23" s="665">
        <f>F23</f>
        <v>100</v>
      </c>
      <c r="T23" s="664" t="s">
        <v>14</v>
      </c>
      <c r="U23" s="665">
        <f>H23</f>
        <v>100</v>
      </c>
      <c r="V23" s="664" t="s">
        <v>14</v>
      </c>
      <c r="W23" s="665">
        <f>J23</f>
        <v>100</v>
      </c>
      <c r="X23" s="666"/>
      <c r="Y23" s="346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6"/>
      <c r="Q24" s="530"/>
      <c r="R24" s="664"/>
      <c r="S24" s="665"/>
      <c r="T24" s="664"/>
      <c r="U24" s="665"/>
      <c r="V24" s="664"/>
      <c r="W24" s="665"/>
      <c r="X24" s="666"/>
      <c r="Y24" s="346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6"/>
      <c r="Q25" s="530" t="str">
        <f t="shared" ref="Q25" si="9">B25</f>
        <v>基础设施水平</v>
      </c>
      <c r="R25" s="664" t="s">
        <v>14</v>
      </c>
      <c r="S25" s="665">
        <f>F25</f>
        <v>100</v>
      </c>
      <c r="T25" s="664" t="s">
        <v>14</v>
      </c>
      <c r="U25" s="665">
        <f>H25</f>
        <v>100</v>
      </c>
      <c r="V25" s="664" t="s">
        <v>14</v>
      </c>
      <c r="W25" s="665">
        <f>J25</f>
        <v>100</v>
      </c>
      <c r="X25" s="666"/>
      <c r="Y25" s="346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6"/>
      <c r="Q26" s="530"/>
      <c r="R26" s="664"/>
      <c r="S26" s="665"/>
      <c r="T26" s="664"/>
      <c r="U26" s="665"/>
      <c r="V26" s="664"/>
      <c r="W26" s="665"/>
      <c r="X26" s="666"/>
      <c r="Y26" s="346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6"/>
      <c r="Q28" s="1263" t="str">
        <f t="shared" si="8"/>
        <v>毗邻道路的类型与等级</v>
      </c>
      <c r="R28" s="667" t="s">
        <v>14</v>
      </c>
      <c r="S28" s="668">
        <f t="shared" si="10"/>
        <v>100</v>
      </c>
      <c r="T28" s="667" t="s">
        <v>14</v>
      </c>
      <c r="U28" s="668">
        <f t="shared" si="11"/>
        <v>100</v>
      </c>
      <c r="V28" s="667" t="s">
        <v>14</v>
      </c>
      <c r="W28" s="668">
        <f t="shared" si="12"/>
        <v>100</v>
      </c>
      <c r="X28" s="1265"/>
      <c r="Y28" s="346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6"/>
      <c r="Q29" s="1263"/>
      <c r="R29" s="667"/>
      <c r="S29" s="668"/>
      <c r="T29" s="667"/>
      <c r="U29" s="668"/>
      <c r="V29" s="667"/>
      <c r="W29" s="668"/>
      <c r="X29" s="1265"/>
      <c r="Y29" s="346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6"/>
      <c r="Q30" s="1263" t="str">
        <f t="shared" si="8"/>
        <v>土地级别</v>
      </c>
      <c r="R30" s="667" t="s">
        <v>14</v>
      </c>
      <c r="S30" s="668">
        <f t="shared" si="10"/>
        <v>100</v>
      </c>
      <c r="T30" s="667" t="s">
        <v>14</v>
      </c>
      <c r="U30" s="668">
        <f t="shared" si="11"/>
        <v>100</v>
      </c>
      <c r="V30" s="667" t="s">
        <v>14</v>
      </c>
      <c r="W30" s="668">
        <f t="shared" si="12"/>
        <v>100</v>
      </c>
      <c r="X30" s="1265"/>
      <c r="Y30" s="346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6"/>
      <c r="Q31" s="1263">
        <f t="shared" si="8"/>
        <v>111</v>
      </c>
      <c r="R31" s="667" t="s">
        <v>14</v>
      </c>
      <c r="S31" s="668">
        <f t="shared" si="10"/>
        <v>100</v>
      </c>
      <c r="T31" s="667" t="s">
        <v>14</v>
      </c>
      <c r="U31" s="668">
        <f t="shared" si="11"/>
        <v>100</v>
      </c>
      <c r="V31" s="667" t="s">
        <v>14</v>
      </c>
      <c r="W31" s="668">
        <f t="shared" si="12"/>
        <v>100</v>
      </c>
      <c r="X31" s="1265"/>
      <c r="Y31" s="346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9" t="s">
        <v>1696</v>
      </c>
      <c r="Q32" s="1263">
        <f t="shared" si="8"/>
        <v>111</v>
      </c>
      <c r="R32" s="667" t="s">
        <v>14</v>
      </c>
      <c r="S32" s="668">
        <f t="shared" si="10"/>
        <v>100</v>
      </c>
      <c r="T32" s="667" t="s">
        <v>14</v>
      </c>
      <c r="U32" s="668">
        <f t="shared" si="11"/>
        <v>100</v>
      </c>
      <c r="V32" s="667" t="s">
        <v>14</v>
      </c>
      <c r="W32" s="668">
        <f t="shared" si="12"/>
        <v>100</v>
      </c>
      <c r="X32" s="1265"/>
      <c r="Y32" s="347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70"/>
      <c r="Q33" s="1263">
        <f t="shared" si="8"/>
        <v>111</v>
      </c>
      <c r="R33" s="669" t="s">
        <v>14</v>
      </c>
      <c r="S33" s="670">
        <f t="shared" si="10"/>
        <v>100</v>
      </c>
      <c r="T33" s="669" t="s">
        <v>14</v>
      </c>
      <c r="U33" s="670">
        <f t="shared" si="11"/>
        <v>100</v>
      </c>
      <c r="V33" s="669" t="s">
        <v>14</v>
      </c>
      <c r="W33" s="670">
        <f t="shared" si="12"/>
        <v>100</v>
      </c>
      <c r="X33" s="671"/>
      <c r="Y33" s="347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70"/>
      <c r="Q34" s="1263" t="str">
        <f>B34</f>
        <v>宗地面积</v>
      </c>
      <c r="R34" s="667" t="s">
        <v>14</v>
      </c>
      <c r="S34" s="668" t="e">
        <f t="shared" si="10"/>
        <v>#N/A</v>
      </c>
      <c r="T34" s="667" t="s">
        <v>14</v>
      </c>
      <c r="U34" s="668" t="e">
        <f t="shared" si="11"/>
        <v>#N/A</v>
      </c>
      <c r="V34" s="667" t="s">
        <v>14</v>
      </c>
      <c r="W34" s="668" t="e">
        <f t="shared" si="12"/>
        <v>#N/A</v>
      </c>
      <c r="X34" s="1265"/>
      <c r="Y34" s="347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70"/>
      <c r="Q35" s="1263" t="str">
        <f t="shared" ref="Q35:Q40" si="14">B35</f>
        <v>宗地形状</v>
      </c>
      <c r="R35" s="667" t="s">
        <v>14</v>
      </c>
      <c r="S35" s="668">
        <f t="shared" si="10"/>
        <v>100</v>
      </c>
      <c r="T35" s="667" t="s">
        <v>14</v>
      </c>
      <c r="U35" s="668">
        <f t="shared" si="11"/>
        <v>100</v>
      </c>
      <c r="V35" s="667" t="s">
        <v>14</v>
      </c>
      <c r="W35" s="668">
        <f t="shared" si="12"/>
        <v>100</v>
      </c>
      <c r="X35" s="1265"/>
      <c r="Y35" s="347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70"/>
      <c r="Q36" s="1263" t="str">
        <f t="shared" si="14"/>
        <v>宗地开发程度</v>
      </c>
      <c r="R36" s="664" t="s">
        <v>14</v>
      </c>
      <c r="S36" s="665">
        <f t="shared" si="10"/>
        <v>100</v>
      </c>
      <c r="T36" s="664" t="s">
        <v>14</v>
      </c>
      <c r="U36" s="665">
        <f t="shared" si="11"/>
        <v>100</v>
      </c>
      <c r="V36" s="664" t="s">
        <v>14</v>
      </c>
      <c r="W36" s="665">
        <f t="shared" si="12"/>
        <v>100</v>
      </c>
      <c r="X36" s="666"/>
      <c r="Y36" s="347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70" t="s">
        <v>1696</v>
      </c>
      <c r="Q37" s="1263" t="str">
        <f t="shared" si="14"/>
        <v>工程地质条件</v>
      </c>
      <c r="R37" s="667" t="s">
        <v>14</v>
      </c>
      <c r="S37" s="668">
        <f t="shared" si="10"/>
        <v>100</v>
      </c>
      <c r="T37" s="667" t="s">
        <v>14</v>
      </c>
      <c r="U37" s="668">
        <f t="shared" si="11"/>
        <v>100</v>
      </c>
      <c r="V37" s="667" t="s">
        <v>14</v>
      </c>
      <c r="W37" s="668">
        <f t="shared" si="12"/>
        <v>100</v>
      </c>
      <c r="X37" s="1265"/>
      <c r="Y37" s="347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70"/>
      <c r="Q38" s="1263">
        <f t="shared" si="14"/>
        <v>111</v>
      </c>
      <c r="R38" s="667" t="s">
        <v>14</v>
      </c>
      <c r="S38" s="668">
        <f t="shared" si="10"/>
        <v>100</v>
      </c>
      <c r="T38" s="667" t="s">
        <v>14</v>
      </c>
      <c r="U38" s="668">
        <f t="shared" si="11"/>
        <v>100</v>
      </c>
      <c r="V38" s="667" t="s">
        <v>14</v>
      </c>
      <c r="W38" s="668">
        <f t="shared" si="12"/>
        <v>100</v>
      </c>
      <c r="X38" s="1265"/>
      <c r="Y38" s="347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70"/>
      <c r="Q39" s="1263">
        <f t="shared" si="14"/>
        <v>111</v>
      </c>
      <c r="R39" s="667" t="s">
        <v>14</v>
      </c>
      <c r="S39" s="668">
        <f t="shared" si="10"/>
        <v>100</v>
      </c>
      <c r="T39" s="667" t="s">
        <v>14</v>
      </c>
      <c r="U39" s="668">
        <f t="shared" si="11"/>
        <v>100</v>
      </c>
      <c r="V39" s="667" t="s">
        <v>14</v>
      </c>
      <c r="W39" s="668">
        <f t="shared" si="12"/>
        <v>100</v>
      </c>
      <c r="X39" s="1265"/>
      <c r="Y39" s="347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70"/>
      <c r="Q40" s="1263">
        <f t="shared" si="14"/>
        <v>111</v>
      </c>
      <c r="R40" s="669" t="s">
        <v>14</v>
      </c>
      <c r="S40" s="670">
        <f t="shared" si="10"/>
        <v>100</v>
      </c>
      <c r="T40" s="669" t="s">
        <v>14</v>
      </c>
      <c r="U40" s="670">
        <f t="shared" si="11"/>
        <v>100</v>
      </c>
      <c r="V40" s="669" t="s">
        <v>14</v>
      </c>
      <c r="W40" s="670">
        <f t="shared" si="12"/>
        <v>100</v>
      </c>
      <c r="X40" s="671"/>
      <c r="Y40" s="347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64" t="str">
        <f>A41</f>
        <v>成交单价</v>
      </c>
      <c r="Q41" s="3464"/>
      <c r="R41" s="3459">
        <f>E41</f>
        <v>0</v>
      </c>
      <c r="S41" s="3459"/>
      <c r="T41" s="3459">
        <f>G41</f>
        <v>0</v>
      </c>
      <c r="U41" s="3459"/>
      <c r="V41" s="3459">
        <f>I41</f>
        <v>0</v>
      </c>
      <c r="W41" s="345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64" t="str">
        <f>A42</f>
        <v>比较价值（元/平方米）</v>
      </c>
      <c r="Q42" s="3464"/>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61" t="str">
        <f>A43</f>
        <v>估价对象XX用房的比较价值（楼面单价，元/平方米）</v>
      </c>
      <c r="Q43" s="3462"/>
      <c r="R43" s="3492" t="e">
        <f>ROUND(IF(D42="简单平均",AVERAGE(R42:W42),R42*F42+T42*H42+V42*J42),0)</f>
        <v>#DIV/0!</v>
      </c>
      <c r="S43" s="3492"/>
      <c r="T43" s="3492"/>
      <c r="U43" s="3492"/>
      <c r="V43" s="3492"/>
      <c r="W43" s="349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47" t="s">
        <v>1887</v>
      </c>
      <c r="H50" s="349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199.39</v>
      </c>
      <c r="F51" s="611" t="e">
        <f t="shared" ref="F51:F60" si="15">ROUND(B51*E51/10000,0)</f>
        <v>#DIV/0!</v>
      </c>
      <c r="G51" s="3446"/>
      <c r="H51" s="346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SUMIF(修正!A59:A70,H52,修正!B59:B70)</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SUMIF(修正!A59:A70,H53,修正!C59:C70)</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SUMIF(修正!A59:A70,H54,修正!D59:D70)</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1" t="s">
        <v>2084</v>
      </c>
      <c r="D1" s="3502"/>
      <c r="E1" s="3502"/>
      <c r="F1" s="3502"/>
      <c r="G1" s="3502"/>
      <c r="H1" s="3502"/>
      <c r="I1" s="3502"/>
      <c r="J1" s="3502"/>
      <c r="K1" s="3502"/>
      <c r="L1" s="3502"/>
      <c r="M1" s="3502"/>
      <c r="N1" s="3502"/>
      <c r="O1" s="3502"/>
      <c r="P1" s="3502"/>
      <c r="Q1" s="3502"/>
      <c r="R1" s="3502"/>
      <c r="S1" s="350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199.39</v>
      </c>
      <c r="F2" s="2545"/>
      <c r="G2" s="2545"/>
      <c r="H2" s="2545"/>
      <c r="I2" s="2545"/>
      <c r="J2" s="2545"/>
      <c r="K2" s="2545"/>
      <c r="L2" s="2545"/>
      <c r="M2" s="2545"/>
      <c r="N2" s="2545"/>
      <c r="O2" s="2545"/>
      <c r="P2" s="2545"/>
    </row>
    <row r="3" spans="1:16" ht="15.75">
      <c r="A3" s="1984" t="s">
        <v>2076</v>
      </c>
      <c r="B3" s="2388">
        <f ca="1">ROUND(B2*10000/E2,0)</f>
        <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199.39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F170-DA25-406B-BE6D-4C0D4424268B}">
  <sheetPr>
    <tabColor rgb="FFFFFF00"/>
  </sheetPr>
  <dimension ref="A1:T118"/>
  <sheetViews>
    <sheetView workbookViewId="0">
      <selection activeCell="M25" sqref="M25"/>
    </sheetView>
  </sheetViews>
  <sheetFormatPr defaultRowHeight="13.5"/>
  <cols>
    <col min="11" max="11" width="13" bestFit="1" customWidth="1"/>
    <col min="13" max="13" width="10.625" customWidth="1"/>
  </cols>
  <sheetData>
    <row r="1" spans="1:20">
      <c r="A1" s="3170" t="s">
        <v>3425</v>
      </c>
      <c r="T1" s="3170" t="s">
        <v>3468</v>
      </c>
    </row>
    <row r="4" spans="1:20">
      <c r="K4" s="1405" t="s">
        <v>3428</v>
      </c>
      <c r="L4">
        <v>144.5</v>
      </c>
      <c r="M4">
        <v>3.87</v>
      </c>
      <c r="N4" s="1405" t="s">
        <v>3429</v>
      </c>
    </row>
    <row r="5" spans="1:20">
      <c r="K5" s="3173" t="s">
        <v>3430</v>
      </c>
      <c r="L5" s="3159">
        <v>146.80000000000001</v>
      </c>
      <c r="M5" s="3159">
        <v>7.1</v>
      </c>
      <c r="N5" s="3173" t="s">
        <v>3434</v>
      </c>
    </row>
    <row r="6" spans="1:20">
      <c r="K6" s="1405" t="s">
        <v>3431</v>
      </c>
      <c r="L6">
        <v>216</v>
      </c>
      <c r="M6">
        <v>6</v>
      </c>
      <c r="N6" s="1405" t="s">
        <v>3432</v>
      </c>
    </row>
    <row r="7" spans="1:20">
      <c r="K7" s="3178" t="s">
        <v>3431</v>
      </c>
      <c r="L7" s="3178">
        <v>47.57</v>
      </c>
      <c r="M7" s="3178">
        <v>6.22</v>
      </c>
      <c r="N7" s="3178" t="s">
        <v>3432</v>
      </c>
    </row>
    <row r="8" spans="1:20">
      <c r="K8" s="1405" t="s">
        <v>3436</v>
      </c>
      <c r="L8">
        <v>111.42</v>
      </c>
      <c r="M8">
        <v>9.74</v>
      </c>
      <c r="N8" s="1405" t="s">
        <v>3437</v>
      </c>
    </row>
    <row r="9" spans="1:20">
      <c r="K9" s="3173" t="s">
        <v>3469</v>
      </c>
      <c r="L9" s="3159">
        <v>80</v>
      </c>
      <c r="M9" s="3159">
        <v>6.6</v>
      </c>
      <c r="N9" s="3159"/>
    </row>
    <row r="10" spans="1:20">
      <c r="K10" s="3173" t="s">
        <v>3471</v>
      </c>
      <c r="L10" s="3159">
        <v>171.78</v>
      </c>
      <c r="M10" s="3159">
        <v>7.66</v>
      </c>
      <c r="N10" s="3173" t="s">
        <v>3472</v>
      </c>
    </row>
    <row r="23" spans="1:15">
      <c r="K23" s="1405" t="s">
        <v>3491</v>
      </c>
      <c r="L23">
        <v>420000</v>
      </c>
      <c r="M23">
        <f>'数据-汇总表'!F19</f>
        <v>199.39</v>
      </c>
      <c r="N23">
        <f>L23/365/M23</f>
        <v>5.7710262877117682</v>
      </c>
      <c r="O23" s="1405" t="s">
        <v>3492</v>
      </c>
    </row>
    <row r="24" spans="1:15">
      <c r="K24">
        <v>2024</v>
      </c>
      <c r="L24">
        <v>463050</v>
      </c>
      <c r="M24">
        <f>M23</f>
        <v>199.39</v>
      </c>
      <c r="N24">
        <f>L24/365/M24</f>
        <v>6.3625564822022236</v>
      </c>
      <c r="O24" s="1405" t="s">
        <v>3492</v>
      </c>
    </row>
    <row r="31" spans="1:15">
      <c r="A31" s="3170" t="s">
        <v>3426</v>
      </c>
    </row>
    <row r="35" spans="20:20">
      <c r="T35" s="3170" t="s">
        <v>3470</v>
      </c>
    </row>
    <row r="58" spans="1:1">
      <c r="A58" s="3170" t="s">
        <v>3427</v>
      </c>
    </row>
    <row r="77" spans="20:20">
      <c r="T77" s="3170" t="s">
        <v>3765</v>
      </c>
    </row>
    <row r="85" spans="1:1">
      <c r="A85" s="3170" t="s">
        <v>3433</v>
      </c>
    </row>
    <row r="118" spans="1:1">
      <c r="A118" s="3170" t="s">
        <v>3435</v>
      </c>
    </row>
  </sheetData>
  <phoneticPr fontId="134" type="noConversion"/>
  <hyperlinks>
    <hyperlink ref="A1" r:id="rId1" display="https://shangye.ke.com/bj/sp_rent/101129246778.html?tags=%E6%9C%89%E5%85%8D%E7%A7%9F%E6%9C%9F%2C%E8%BF%91%E5%9C%B0%E9%93%81%2C%E6%9C%89%E4%BE%9B%E6%9A%96%2C%E5%8F%AF%E5%A2%9E%E5%AE%B9%E7%94%B5%E5%8A%9B%2C%E5%8F%AF%E6%B3%A8%E5%86%8C%2C%E4%B8%8B%E6%B0%B4%2C%E4%B8%8A%E6%B0%B4%2C%E5%AE%A2%E6%A2%AF%2C380v" xr:uid="{41B08B7A-7D28-4DC3-AB87-1FCFDA2DFE81}"/>
    <hyperlink ref="A31" r:id="rId2" display="https://shangye.ke.com/bj/sp_rent/101129278498.html?tags=%E8%BF%91%E5%9C%B0%E9%93%81%2C%E7%B2%BE%E8%A3%85%E4%BF%AE" xr:uid="{3C6F7047-6124-424E-A415-0FE63953C8C0}"/>
    <hyperlink ref="A58" r:id="rId3" display="https://shangye.ke.com/bj/sp_rent/101130218323.html?tags=%E6%9C%89%E5%85%8D%E7%A7%9F%E6%9C%9F%2C%E8%BF%91%E5%9C%B0%E9%93%81%2C%E5%8F%AF%E6%98%8E%E7%81%AB%2C%E6%9C%89%E4%BE%9B%E6%9A%96%2C%E5%8F%AF%E5%A2%9E%E5%AE%B9%E7%94%B5%E5%8A%9B%2C%E5%8F%AF%E6%B3%A8%E5%86%8C%2C%E4%B8%8B%E6%B0%B4%2C%E4%B8%8A%E6%B0%B4%2C%E6%8E%92%E7%83%9F%E7%AE%A1%E9%81%93%2C380v" xr:uid="{28ECEFC0-4BD6-46A7-A052-DD7493E5FBF3}"/>
    <hyperlink ref="A85" r:id="rId4" display="https://shangye.ke.com/bj/sp_rent/101129045031.html?tags=%E6%9C%89%E5%85%8D%E7%A7%9F%E6%9C%9F%2C%E8%BF%91%E5%9C%B0%E9%93%81%2C%E6%9C%89%E4%BE%9B%E6%9A%96%2C%E7%B2%BE%E8%A3%85%E4%BF%AE%2C%E5%8F%AF%E6%B3%A8%E5%86%8C%2C%E4%B8%8B%E6%B0%B4%2C%E4%B8%8A%E6%B0%B4%2C220v" xr:uid="{196E1D9B-0C40-41FA-89F8-3F90A8764B06}"/>
    <hyperlink ref="A118" r:id="rId5" display="https://shangye.ke.com/bj/sp_rent/101131227508.html?tags=%E4%B8%9A%E4%B8%BB%E4%BB%98%E4%BD%A3%2C%E6%9C%89%E5%85%8D%E7%A7%9F%E6%9C%9F%2C%E8%BF%91%E5%9C%B0%E9%93%81%2C%E6%9C%89%E4%BE%9B%E6%9A%96%2C%E7%B2%BE%E8%A3%85%E4%BF%AE%2C%E5%8F%AF%E6%B3%A8%E5%86%8C%2C%E4%B8%8B%E6%B0%B4%2C%E4%B8%8A%E6%B0%B4%2C%E6%8E%92%E7%83%9F%E7%AE%A1%E9%81%93%2C220v%2C%E5%B8%A6%E5%AE%B6%E5%85%B7" xr:uid="{715C0B64-C12E-42E9-A339-719D08906685}"/>
    <hyperlink ref="T1" r:id="rId6" display="https://shangye.ke.com/bj/sp_rent/101121608342.html?tags=%E6%9C%89%E5%85%8D%E7%A7%9F%E6%9C%9F%2C%E8%BF%91%E5%9C%B0%E9%93%81%2C%E6%9C%89%E4%BE%9B%E6%9A%96%2C%E5%8F%AF%E5%A2%9E%E5%AE%B9%E7%94%B5%E5%8A%9B%2C%E5%8F%AF%E6%B3%A8%E5%86%8C%2C%E4%B8%8A%E6%B0%B4%2C220v" xr:uid="{B9713027-6789-4F27-9003-A032C6A339D8}"/>
    <hyperlink ref="T35" r:id="rId7" display="https://shangye.ke.com/bj/sp_rent/101127592289.html?tags=%E6%9C%89%E5%85%8D%E7%A7%9F%E6%9C%9F%2C%E8%BF%91%E5%9C%B0%E9%93%81%2C%E6%9C%89%E4%BE%9B%E6%9A%96%2C%E7%B2%BE%E8%A3%85%E4%BF%AE%2C%E5%8F%AF%E6%B3%A8%E5%86%8C%2C%E4%B8%8B%E6%B0%B4%2C%E4%B8%8A%E6%B0%B4%2C380v" xr:uid="{C630BAD3-6099-4CB7-B328-0A92FB5AEBC2}"/>
    <hyperlink ref="T77" r:id="rId8" display="https://bj.58.com/shangpu/83899609610331x.shtml?utm_source=market&amp;spm=u-2d2yxv86y3v43nkddh1.BDPCPZ_BT&amp;prd=x0NAXiR1wlSETnm4cICGeip6ZXDdWQFuzz1%2FCYPFt6A%3D&amp;houseId=4139307386072072&amp;urlParamsMap=F4FED0612B490B65A31153FBEC996E33CC8496F4B8EB0D6B803BACE2607D4054B4AE0AE4D5FD1E29D2DE6DF80407643981620D30E6AE74FB15620DCDE3A7453B5F9E7391094162E8DAFD19AC812825A7ECA4F97E769A74E0FC3D4EA3F41249351823098668EDAAEF68F8AFDDB8ADF02C&amp;gpos=42&amp;positionType=anxuanhouseplus&amp;filterJson=eyJTSEFOR1FVQU4iOlt7ImtleSI6IiIsImxhYmVsIjoi5pyb5LqsIiwidmFsIjoid2FuZ2ppbmcifV0sIlFVWVUiOlt7ImtleSI6IiIsImxhYmVsIjoi5pyd6ZizIiwidmFsIjoiY2hhb3lhbmcifV19&amp;jx_abtest=ZWljX3N5ZGNfcGNfcmVjb21tZW5kX3Rlc3QscHRyX2ZhbmdfYnVkZ2V0X2JvdHRvbXwxLHVzZXJfcGhhc2VfbA&amp;list_type=main&amp;PGTID=0d306b35-0000-1267-27bd-6a75d2cb0724&amp;ClickID=53" xr:uid="{3D5CB0F6-63D7-42E1-9339-B76AD9DAED26}"/>
  </hyperlinks>
  <pageMargins left="0.7" right="0.7" top="0.75" bottom="0.75" header="0.3" footer="0.3"/>
  <drawing r:id="rId9"/>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584-0889-4DD9-966A-552E139BEBFE}">
  <dimension ref="D2:W63"/>
  <sheetViews>
    <sheetView workbookViewId="0">
      <selection activeCell="AC20" sqref="AC20"/>
    </sheetView>
  </sheetViews>
  <sheetFormatPr defaultRowHeight="13.5"/>
  <cols>
    <col min="15" max="15" width="10.5" bestFit="1" customWidth="1"/>
    <col min="23" max="23" width="9.5" bestFit="1" customWidth="1"/>
  </cols>
  <sheetData>
    <row r="2" spans="20:20">
      <c r="T2" s="3170" t="s">
        <v>3424</v>
      </c>
    </row>
    <row r="29" spans="4:5">
      <c r="D29" s="1405" t="s">
        <v>3438</v>
      </c>
      <c r="E29">
        <v>26381</v>
      </c>
    </row>
    <row r="34" spans="12:16">
      <c r="L34" s="3170" t="s">
        <v>3458</v>
      </c>
    </row>
    <row r="35" spans="12:16">
      <c r="L35" s="1405" t="s">
        <v>3459</v>
      </c>
      <c r="N35" s="1405" t="s">
        <v>3465</v>
      </c>
    </row>
    <row r="36" spans="12:16">
      <c r="L36" s="1405" t="s">
        <v>3460</v>
      </c>
      <c r="M36">
        <v>199.41</v>
      </c>
      <c r="N36">
        <v>50460</v>
      </c>
      <c r="O36" s="3172">
        <v>45322</v>
      </c>
      <c r="P36" s="1405" t="s">
        <v>3467</v>
      </c>
    </row>
    <row r="55" spans="12:23">
      <c r="L55" s="3170" t="s">
        <v>3461</v>
      </c>
    </row>
    <row r="56" spans="12:23">
      <c r="M56" s="1405" t="s">
        <v>3465</v>
      </c>
      <c r="N56" s="1405" t="s">
        <v>3466</v>
      </c>
    </row>
    <row r="57" spans="12:23">
      <c r="L57" s="1405" t="s">
        <v>3462</v>
      </c>
      <c r="M57">
        <v>23854</v>
      </c>
      <c r="N57">
        <f>1520140/67.31</f>
        <v>22584.162828703014</v>
      </c>
      <c r="O57" s="3171">
        <v>45142</v>
      </c>
      <c r="W57">
        <f>N57/0.6</f>
        <v>37640.271381171689</v>
      </c>
    </row>
    <row r="61" spans="12:23">
      <c r="L61" s="3170" t="s">
        <v>3463</v>
      </c>
    </row>
    <row r="62" spans="12:23">
      <c r="M62" s="1405" t="s">
        <v>3465</v>
      </c>
      <c r="N62" s="1405" t="s">
        <v>3466</v>
      </c>
    </row>
    <row r="63" spans="12:23">
      <c r="L63" s="1405" t="s">
        <v>3464</v>
      </c>
      <c r="M63">
        <v>35213</v>
      </c>
      <c r="N63">
        <f>7380800/374.29</f>
        <v>19719.468861043573</v>
      </c>
      <c r="O63" s="3172">
        <v>42870</v>
      </c>
    </row>
  </sheetData>
  <phoneticPr fontId="134" type="noConversion"/>
  <hyperlinks>
    <hyperlink ref="T2" r:id="rId1" display="https://baijiahao.baidu.com/s?id=1826282684334052744&amp;wfr=spider&amp;for=pc" xr:uid="{25AF0564-3C9F-4C78-8D81-65D38529AD41}"/>
    <hyperlink ref="L34" r:id="rId2" display="https://sf-item.taobao.com/sf_item/850741091078.htm?spm=a213w.7398504.paiList.6.2b9d8117ahSHX5&amp;track_id=e8ccd6a0-6ac1-441b-bc9f-66ca3ad29fe2" xr:uid="{411E74E9-E3D2-42EC-94C1-BACA02022B8C}"/>
    <hyperlink ref="L55" r:id="rId3" display="https://sf-item.taobao.com/sf_item/729554285293.htm?spm=a213w.7398504.paiList.7.2b9d8117ahSHX5&amp;track_id=e8ccd6a0-6ac1-441b-bc9f-66ca3ad29fe2" xr:uid="{47C5A48F-9D5C-47F6-9423-5CB90ABB2750}"/>
    <hyperlink ref="L61" r:id="rId4" display="https://paimai.jd.com/106313387" xr:uid="{F88A3C61-FF50-42DF-A9DD-FBC8FBE30B15}"/>
  </hyperlinks>
  <pageMargins left="0.7" right="0.7" top="0.75" bottom="0.75" header="0.3" footer="0.3"/>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4" t="s">
        <v>2607</v>
      </c>
      <c r="B20" s="3504" t="s">
        <v>2628</v>
      </c>
      <c r="C20" s="3169" t="s">
        <v>2439</v>
      </c>
      <c r="D20" s="3169"/>
      <c r="E20" s="2845">
        <v>1</v>
      </c>
      <c r="F20" s="2846" t="s">
        <v>2440</v>
      </c>
      <c r="G20" s="2846"/>
    </row>
    <row r="21" spans="1:13" ht="19.5" customHeight="1">
      <c r="A21" s="3515"/>
      <c r="B21" s="3505"/>
      <c r="C21" s="2858" t="s">
        <v>2441</v>
      </c>
      <c r="D21" s="2858"/>
      <c r="E21" s="2849">
        <v>1</v>
      </c>
      <c r="F21" s="2846" t="s">
        <v>2442</v>
      </c>
      <c r="G21" s="2846"/>
    </row>
    <row r="22" spans="1:13" ht="19.5" customHeight="1">
      <c r="A22" s="3515"/>
      <c r="B22" s="3505"/>
      <c r="C22" s="2858" t="s">
        <v>2443</v>
      </c>
      <c r="D22" s="2858"/>
      <c r="E22" s="2849">
        <v>0.9</v>
      </c>
      <c r="F22" s="2846" t="s">
        <v>2444</v>
      </c>
      <c r="G22" s="2846"/>
    </row>
    <row r="23" spans="1:13" ht="19.5" customHeight="1">
      <c r="A23" s="3515"/>
      <c r="B23" s="3505"/>
      <c r="C23" s="2858" t="s">
        <v>2445</v>
      </c>
      <c r="D23" s="2858"/>
      <c r="E23" s="2849">
        <v>0.9</v>
      </c>
      <c r="F23" s="2846" t="s">
        <v>2446</v>
      </c>
      <c r="G23" s="2846"/>
    </row>
    <row r="24" spans="1:13" ht="19.5" customHeight="1">
      <c r="A24" s="3515"/>
      <c r="B24" s="3505"/>
      <c r="C24" s="2858" t="s">
        <v>2447</v>
      </c>
      <c r="D24" s="2858"/>
      <c r="E24" s="2849">
        <v>0.8</v>
      </c>
      <c r="F24" s="2846" t="s">
        <v>2448</v>
      </c>
      <c r="G24" s="2846"/>
    </row>
    <row r="25" spans="1:13" ht="19.5" customHeight="1">
      <c r="A25" s="3515"/>
      <c r="B25" s="3505"/>
      <c r="C25" s="2858" t="s">
        <v>2449</v>
      </c>
      <c r="D25" s="2858"/>
      <c r="E25" s="2849">
        <v>0.8</v>
      </c>
      <c r="F25" s="2846"/>
      <c r="G25" s="2846"/>
    </row>
    <row r="26" spans="1:13" ht="19.5" customHeight="1">
      <c r="A26" s="3515"/>
      <c r="B26" s="3505"/>
      <c r="C26" s="2858" t="s">
        <v>3411</v>
      </c>
      <c r="D26" s="2858"/>
      <c r="E26" s="2849">
        <v>0.43</v>
      </c>
      <c r="F26" s="2846"/>
      <c r="G26" s="2846"/>
    </row>
    <row r="27" spans="1:13" ht="19.5" customHeight="1" thickBot="1">
      <c r="A27" s="3516"/>
      <c r="B27" s="3506"/>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7" t="s">
        <v>2631</v>
      </c>
      <c r="B29" s="3510" t="s">
        <v>2612</v>
      </c>
      <c r="C29" s="2843" t="s">
        <v>2452</v>
      </c>
      <c r="D29" s="2844"/>
      <c r="E29" s="2845">
        <v>1</v>
      </c>
      <c r="F29" s="2846" t="s">
        <v>2453</v>
      </c>
      <c r="G29" s="2846"/>
    </row>
    <row r="30" spans="1:13" ht="19.5" customHeight="1">
      <c r="A30" s="3508"/>
      <c r="B30" s="3511"/>
      <c r="C30" s="2847" t="s">
        <v>2454</v>
      </c>
      <c r="D30" s="2848"/>
      <c r="E30" s="2849">
        <v>1</v>
      </c>
      <c r="F30" s="2846" t="s">
        <v>2455</v>
      </c>
      <c r="G30" s="2846"/>
    </row>
    <row r="31" spans="1:13" ht="19.5" customHeight="1">
      <c r="A31" s="3508"/>
      <c r="B31" s="3511"/>
      <c r="C31" s="2847" t="s">
        <v>2456</v>
      </c>
      <c r="D31" s="2848"/>
      <c r="E31" s="2849">
        <v>0.8</v>
      </c>
      <c r="F31" s="2846" t="s">
        <v>2457</v>
      </c>
      <c r="G31" s="2846"/>
    </row>
    <row r="32" spans="1:13" ht="19.5" customHeight="1">
      <c r="A32" s="3508"/>
      <c r="B32" s="3511"/>
      <c r="C32" s="2847" t="s">
        <v>2458</v>
      </c>
      <c r="D32" s="2848"/>
      <c r="E32" s="2849">
        <v>0.8</v>
      </c>
      <c r="F32" s="2846" t="s">
        <v>2459</v>
      </c>
      <c r="G32" s="2846"/>
    </row>
    <row r="33" spans="1:7" ht="19.5" customHeight="1">
      <c r="A33" s="3508"/>
      <c r="B33" s="3511"/>
      <c r="C33" s="2847" t="s">
        <v>2460</v>
      </c>
      <c r="D33" s="2848"/>
      <c r="E33" s="2849">
        <v>0.8</v>
      </c>
      <c r="F33" s="2846" t="s">
        <v>2461</v>
      </c>
      <c r="G33" s="2846"/>
    </row>
    <row r="34" spans="1:7" ht="19.5" customHeight="1">
      <c r="A34" s="3508"/>
      <c r="B34" s="3511"/>
      <c r="C34" s="2847" t="s">
        <v>2462</v>
      </c>
      <c r="D34" s="2848"/>
      <c r="E34" s="2849">
        <v>0.7</v>
      </c>
      <c r="F34" s="2846" t="s">
        <v>2463</v>
      </c>
      <c r="G34" s="2846"/>
    </row>
    <row r="35" spans="1:7" ht="19.5" customHeight="1">
      <c r="A35" s="3508"/>
      <c r="B35" s="3511"/>
      <c r="C35" s="2847" t="s">
        <v>2464</v>
      </c>
      <c r="D35" s="2848"/>
      <c r="E35" s="2849">
        <v>0.8</v>
      </c>
      <c r="F35" s="2846" t="s">
        <v>2465</v>
      </c>
      <c r="G35" s="2846"/>
    </row>
    <row r="36" spans="1:7" ht="19.5" customHeight="1">
      <c r="A36" s="3508"/>
      <c r="B36" s="3511"/>
      <c r="C36" s="2847" t="s">
        <v>2466</v>
      </c>
      <c r="D36" s="2848"/>
      <c r="E36" s="2849">
        <v>0.6</v>
      </c>
      <c r="F36" s="2846" t="s">
        <v>2467</v>
      </c>
      <c r="G36" s="2846"/>
    </row>
    <row r="37" spans="1:7" ht="19.5" customHeight="1">
      <c r="A37" s="3508"/>
      <c r="B37" s="3511"/>
      <c r="C37" s="2847" t="s">
        <v>2468</v>
      </c>
      <c r="D37" s="2848"/>
      <c r="E37" s="2849">
        <v>0.2</v>
      </c>
      <c r="F37" s="2846" t="s">
        <v>2469</v>
      </c>
      <c r="G37" s="2846"/>
    </row>
    <row r="38" spans="1:7" ht="19.5" customHeight="1">
      <c r="A38" s="3508"/>
      <c r="B38" s="3511"/>
      <c r="C38" s="2847" t="s">
        <v>2470</v>
      </c>
      <c r="D38" s="2848"/>
      <c r="E38" s="2849">
        <v>0.2</v>
      </c>
      <c r="F38" s="2846" t="s">
        <v>2471</v>
      </c>
      <c r="G38" s="2846"/>
    </row>
    <row r="39" spans="1:7" ht="19.5" customHeight="1">
      <c r="A39" s="3508"/>
      <c r="B39" s="3512" t="s">
        <v>2632</v>
      </c>
      <c r="C39" s="2847" t="s">
        <v>2472</v>
      </c>
      <c r="D39" s="2848"/>
      <c r="E39" s="2849">
        <v>0.6</v>
      </c>
      <c r="F39" s="2846" t="s">
        <v>2473</v>
      </c>
      <c r="G39" s="2846"/>
    </row>
    <row r="40" spans="1:7" ht="19.5" customHeight="1">
      <c r="A40" s="3508"/>
      <c r="B40" s="3511"/>
      <c r="C40" s="2847" t="s">
        <v>2474</v>
      </c>
      <c r="D40" s="2848"/>
      <c r="E40" s="2849">
        <v>0.6</v>
      </c>
      <c r="F40" s="2846" t="s">
        <v>2475</v>
      </c>
      <c r="G40" s="2846"/>
    </row>
    <row r="41" spans="1:7" ht="19.5" customHeight="1" thickBot="1">
      <c r="A41" s="3509"/>
      <c r="B41" s="351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14" t="s">
        <v>2610</v>
      </c>
      <c r="B43" s="3510" t="s">
        <v>2634</v>
      </c>
      <c r="C43" s="2843" t="s">
        <v>2479</v>
      </c>
      <c r="D43" s="2844"/>
      <c r="E43" s="2845">
        <v>1</v>
      </c>
      <c r="F43" s="2846" t="s">
        <v>2480</v>
      </c>
      <c r="G43" s="2846"/>
    </row>
    <row r="44" spans="1:7" ht="19.5" customHeight="1">
      <c r="A44" s="3515"/>
      <c r="B44" s="3511"/>
      <c r="C44" s="2847" t="s">
        <v>2481</v>
      </c>
      <c r="D44" s="2848"/>
      <c r="E44" s="2849">
        <v>1</v>
      </c>
      <c r="F44" s="2846" t="s">
        <v>2482</v>
      </c>
      <c r="G44" s="2846"/>
    </row>
    <row r="45" spans="1:7" ht="19.5" customHeight="1">
      <c r="A45" s="3515"/>
      <c r="B45" s="3517"/>
      <c r="C45" s="2847" t="s">
        <v>2483</v>
      </c>
      <c r="D45" s="2848"/>
      <c r="E45" s="2849">
        <v>1.5</v>
      </c>
      <c r="F45" s="2846" t="s">
        <v>2484</v>
      </c>
      <c r="G45" s="2846"/>
    </row>
    <row r="46" spans="1:7" ht="19.5" customHeight="1">
      <c r="A46" s="3515"/>
      <c r="B46" s="2858" t="s">
        <v>2635</v>
      </c>
      <c r="C46" s="2847" t="s">
        <v>2636</v>
      </c>
      <c r="D46" s="2848"/>
      <c r="E46" s="2849">
        <v>2</v>
      </c>
      <c r="F46" s="2846" t="s">
        <v>2485</v>
      </c>
      <c r="G46" s="2846"/>
    </row>
    <row r="47" spans="1:7" ht="19.5" customHeight="1">
      <c r="A47" s="3515"/>
      <c r="B47" s="3512" t="s">
        <v>2637</v>
      </c>
      <c r="C47" s="2847" t="s">
        <v>2486</v>
      </c>
      <c r="D47" s="2848"/>
      <c r="E47" s="2849">
        <v>1</v>
      </c>
      <c r="F47" s="2846" t="s">
        <v>2487</v>
      </c>
      <c r="G47" s="2846"/>
    </row>
    <row r="48" spans="1:7" ht="19.5" customHeight="1">
      <c r="A48" s="3515"/>
      <c r="B48" s="3511"/>
      <c r="C48" s="2847" t="s">
        <v>2488</v>
      </c>
      <c r="D48" s="2848"/>
      <c r="E48" s="2849">
        <v>1</v>
      </c>
      <c r="F48" s="2846" t="s">
        <v>2489</v>
      </c>
      <c r="G48" s="2846"/>
    </row>
    <row r="49" spans="1:7" ht="19.5" customHeight="1">
      <c r="A49" s="3515"/>
      <c r="B49" s="3511"/>
      <c r="C49" s="2847" t="s">
        <v>2490</v>
      </c>
      <c r="D49" s="2848"/>
      <c r="E49" s="2849">
        <v>1</v>
      </c>
      <c r="F49" s="2846" t="s">
        <v>2491</v>
      </c>
      <c r="G49" s="2846"/>
    </row>
    <row r="50" spans="1:7" ht="19.5" customHeight="1">
      <c r="A50" s="3515"/>
      <c r="B50" s="3511"/>
      <c r="C50" s="2847" t="s">
        <v>2492</v>
      </c>
      <c r="D50" s="2848"/>
      <c r="E50" s="2849">
        <v>1</v>
      </c>
      <c r="F50" s="2846" t="s">
        <v>2493</v>
      </c>
      <c r="G50" s="2846"/>
    </row>
    <row r="51" spans="1:7" ht="19.5" customHeight="1">
      <c r="A51" s="3515"/>
      <c r="B51" s="3511"/>
      <c r="C51" s="2847" t="s">
        <v>2494</v>
      </c>
      <c r="D51" s="2848"/>
      <c r="E51" s="2849">
        <v>1</v>
      </c>
      <c r="F51" s="2846" t="s">
        <v>2495</v>
      </c>
      <c r="G51" s="2846"/>
    </row>
    <row r="52" spans="1:7" ht="19.5" customHeight="1">
      <c r="A52" s="3515"/>
      <c r="B52" s="3511"/>
      <c r="C52" s="2847" t="s">
        <v>2496</v>
      </c>
      <c r="D52" s="2848"/>
      <c r="E52" s="2849">
        <v>1</v>
      </c>
      <c r="F52" s="2846" t="s">
        <v>2497</v>
      </c>
      <c r="G52" s="2846"/>
    </row>
    <row r="53" spans="1:7" ht="19.5" customHeight="1" thickBot="1">
      <c r="A53" s="3516"/>
      <c r="B53" s="351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12" t="s">
        <v>2651</v>
      </c>
      <c r="C75" s="2832" t="s">
        <v>2652</v>
      </c>
      <c r="D75" s="2832" t="s">
        <v>2653</v>
      </c>
      <c r="E75" s="2858">
        <v>0.2</v>
      </c>
      <c r="F75" s="2858">
        <v>25</v>
      </c>
    </row>
    <row r="76" spans="1:7" ht="24">
      <c r="A76" s="2858">
        <v>2</v>
      </c>
      <c r="B76" s="3511"/>
      <c r="C76" s="2832" t="s">
        <v>2654</v>
      </c>
      <c r="D76" s="2832" t="s">
        <v>2655</v>
      </c>
      <c r="E76" s="2858">
        <v>0.2</v>
      </c>
      <c r="F76" s="2858">
        <v>25</v>
      </c>
    </row>
    <row r="77" spans="1:7" ht="24">
      <c r="A77" s="2858">
        <v>3</v>
      </c>
      <c r="B77" s="3511"/>
      <c r="C77" s="2832" t="s">
        <v>2656</v>
      </c>
      <c r="D77" s="2832" t="s">
        <v>2657</v>
      </c>
      <c r="E77" s="2858">
        <v>0.2</v>
      </c>
      <c r="F77" s="2858">
        <v>25</v>
      </c>
    </row>
    <row r="78" spans="1:7" ht="13.5">
      <c r="A78" s="2858">
        <v>4</v>
      </c>
      <c r="B78" s="3511"/>
      <c r="C78" s="2832" t="s">
        <v>2658</v>
      </c>
      <c r="D78" s="2832" t="s">
        <v>2659</v>
      </c>
      <c r="E78" s="2858">
        <v>0.15</v>
      </c>
      <c r="F78" s="2858">
        <v>20</v>
      </c>
    </row>
    <row r="79" spans="1:7" ht="24">
      <c r="A79" s="2858">
        <v>5</v>
      </c>
      <c r="B79" s="3511"/>
      <c r="C79" s="2832" t="s">
        <v>2660</v>
      </c>
      <c r="D79" s="2832" t="s">
        <v>2661</v>
      </c>
      <c r="E79" s="2858">
        <v>0.15</v>
      </c>
      <c r="F79" s="2858">
        <v>20</v>
      </c>
    </row>
    <row r="80" spans="1:7" ht="24">
      <c r="A80" s="2858">
        <v>6</v>
      </c>
      <c r="B80" s="3511"/>
      <c r="C80" s="2832" t="s">
        <v>2662</v>
      </c>
      <c r="D80" s="2832" t="s">
        <v>2663</v>
      </c>
      <c r="E80" s="2858">
        <v>0.15</v>
      </c>
      <c r="F80" s="2858">
        <v>20</v>
      </c>
    </row>
    <row r="81" spans="1:6" ht="24">
      <c r="A81" s="2858">
        <v>7</v>
      </c>
      <c r="B81" s="3511"/>
      <c r="C81" s="2832" t="s">
        <v>2664</v>
      </c>
      <c r="D81" s="2832" t="s">
        <v>2665</v>
      </c>
      <c r="E81" s="2858">
        <v>0.15</v>
      </c>
      <c r="F81" s="2858">
        <v>20</v>
      </c>
    </row>
    <row r="82" spans="1:6" ht="24">
      <c r="A82" s="2858">
        <v>8</v>
      </c>
      <c r="B82" s="3511"/>
      <c r="C82" s="2832" t="s">
        <v>2666</v>
      </c>
      <c r="D82" s="2832" t="s">
        <v>2667</v>
      </c>
      <c r="E82" s="2858">
        <v>0.1</v>
      </c>
      <c r="F82" s="2858">
        <v>15</v>
      </c>
    </row>
    <row r="83" spans="1:6" ht="24">
      <c r="A83" s="2858">
        <v>9</v>
      </c>
      <c r="B83" s="3511"/>
      <c r="C83" s="2832" t="s">
        <v>2668</v>
      </c>
      <c r="D83" s="2832" t="s">
        <v>2669</v>
      </c>
      <c r="E83" s="2858">
        <v>0.1</v>
      </c>
      <c r="F83" s="2858">
        <v>15</v>
      </c>
    </row>
    <row r="84" spans="1:6" ht="24">
      <c r="A84" s="2858">
        <v>10</v>
      </c>
      <c r="B84" s="3511"/>
      <c r="C84" s="2832" t="s">
        <v>2670</v>
      </c>
      <c r="D84" s="2832" t="s">
        <v>2671</v>
      </c>
      <c r="E84" s="2858">
        <v>0.1</v>
      </c>
      <c r="F84" s="2858">
        <v>15</v>
      </c>
    </row>
    <row r="85" spans="1:6" ht="24">
      <c r="A85" s="2858">
        <v>11</v>
      </c>
      <c r="B85" s="3511"/>
      <c r="C85" s="2832" t="s">
        <v>2672</v>
      </c>
      <c r="D85" s="2832" t="s">
        <v>2673</v>
      </c>
      <c r="E85" s="2858">
        <v>0.1</v>
      </c>
      <c r="F85" s="2858">
        <v>15</v>
      </c>
    </row>
    <row r="86" spans="1:6" ht="24">
      <c r="A86" s="2858">
        <v>12</v>
      </c>
      <c r="B86" s="3511"/>
      <c r="C86" s="2832" t="s">
        <v>2674</v>
      </c>
      <c r="D86" s="2832" t="s">
        <v>2675</v>
      </c>
      <c r="E86" s="2858">
        <v>0.1</v>
      </c>
      <c r="F86" s="2858">
        <v>15</v>
      </c>
    </row>
    <row r="87" spans="1:6" ht="13.5">
      <c r="A87" s="2858">
        <v>13</v>
      </c>
      <c r="B87" s="3511"/>
      <c r="C87" s="2832" t="s">
        <v>2676</v>
      </c>
      <c r="D87" s="2832" t="s">
        <v>2677</v>
      </c>
      <c r="E87" s="2858">
        <v>0.1</v>
      </c>
      <c r="F87" s="2858">
        <v>15</v>
      </c>
    </row>
    <row r="88" spans="1:6" ht="13.5">
      <c r="A88" s="2858">
        <v>14</v>
      </c>
      <c r="B88" s="3511"/>
      <c r="C88" s="2832" t="s">
        <v>2678</v>
      </c>
      <c r="D88" s="2832" t="s">
        <v>2679</v>
      </c>
      <c r="E88" s="2858">
        <v>0.1</v>
      </c>
      <c r="F88" s="2858">
        <v>15</v>
      </c>
    </row>
    <row r="89" spans="1:6" ht="13.5">
      <c r="A89" s="2858">
        <v>15</v>
      </c>
      <c r="B89" s="3511"/>
      <c r="C89" s="2832" t="s">
        <v>2680</v>
      </c>
      <c r="D89" s="2832" t="s">
        <v>2681</v>
      </c>
      <c r="E89" s="2858">
        <v>0.1</v>
      </c>
      <c r="F89" s="2858">
        <v>15</v>
      </c>
    </row>
    <row r="90" spans="1:6" ht="24">
      <c r="A90" s="2858">
        <v>16</v>
      </c>
      <c r="B90" s="3511"/>
      <c r="C90" s="2832" t="s">
        <v>2682</v>
      </c>
      <c r="D90" s="2832" t="s">
        <v>2683</v>
      </c>
      <c r="E90" s="2858">
        <v>0.1</v>
      </c>
      <c r="F90" s="2858">
        <v>15</v>
      </c>
    </row>
    <row r="91" spans="1:6" ht="24">
      <c r="A91" s="2858">
        <v>17</v>
      </c>
      <c r="B91" s="3517"/>
      <c r="C91" s="2832" t="s">
        <v>2684</v>
      </c>
      <c r="D91" s="2832" t="s">
        <v>2685</v>
      </c>
      <c r="E91" s="2858">
        <v>0.1</v>
      </c>
      <c r="F91" s="2858">
        <v>15</v>
      </c>
    </row>
    <row r="92" spans="1:6" ht="13.5">
      <c r="A92" s="2858">
        <v>18</v>
      </c>
      <c r="B92" s="3512" t="s">
        <v>2686</v>
      </c>
      <c r="C92" s="2832" t="s">
        <v>2687</v>
      </c>
      <c r="D92" s="2832" t="s">
        <v>2688</v>
      </c>
      <c r="E92" s="2858">
        <v>0.2</v>
      </c>
      <c r="F92" s="2858">
        <v>25</v>
      </c>
    </row>
    <row r="93" spans="1:6" ht="24">
      <c r="A93" s="2858">
        <v>19</v>
      </c>
      <c r="B93" s="3511"/>
      <c r="C93" s="2832" t="s">
        <v>2689</v>
      </c>
      <c r="D93" s="2832" t="s">
        <v>2690</v>
      </c>
      <c r="E93" s="2858">
        <v>0.2</v>
      </c>
      <c r="F93" s="2858">
        <v>25</v>
      </c>
    </row>
    <row r="94" spans="1:6" ht="13.5">
      <c r="A94" s="2858">
        <v>20</v>
      </c>
      <c r="B94" s="3511"/>
      <c r="C94" s="2832" t="s">
        <v>2691</v>
      </c>
      <c r="D94" s="2832" t="s">
        <v>2692</v>
      </c>
      <c r="E94" s="2858">
        <v>0.15</v>
      </c>
      <c r="F94" s="2858">
        <v>20</v>
      </c>
    </row>
    <row r="95" spans="1:6" ht="13.5">
      <c r="A95" s="2858">
        <v>21</v>
      </c>
      <c r="B95" s="3511"/>
      <c r="C95" s="2832" t="s">
        <v>2693</v>
      </c>
      <c r="D95" s="2832" t="s">
        <v>2694</v>
      </c>
      <c r="E95" s="2858">
        <v>0.15</v>
      </c>
      <c r="F95" s="2858">
        <v>20</v>
      </c>
    </row>
    <row r="96" spans="1:6" ht="13.5">
      <c r="A96" s="2858">
        <v>22</v>
      </c>
      <c r="B96" s="3511"/>
      <c r="C96" s="2832" t="s">
        <v>2695</v>
      </c>
      <c r="D96" s="2832" t="s">
        <v>2696</v>
      </c>
      <c r="E96" s="2858">
        <v>0.15</v>
      </c>
      <c r="F96" s="2858">
        <v>20</v>
      </c>
    </row>
    <row r="97" spans="1:6" ht="36">
      <c r="A97" s="2858">
        <v>23</v>
      </c>
      <c r="B97" s="3511"/>
      <c r="C97" s="2832" t="s">
        <v>2697</v>
      </c>
      <c r="D97" s="2832" t="s">
        <v>2698</v>
      </c>
      <c r="E97" s="2858">
        <v>0.15</v>
      </c>
      <c r="F97" s="2858">
        <v>20</v>
      </c>
    </row>
    <row r="98" spans="1:6" ht="13.5">
      <c r="A98" s="2858">
        <v>24</v>
      </c>
      <c r="B98" s="3511"/>
      <c r="C98" s="2832" t="s">
        <v>2699</v>
      </c>
      <c r="D98" s="2832" t="s">
        <v>2700</v>
      </c>
      <c r="E98" s="2858">
        <v>0.1</v>
      </c>
      <c r="F98" s="2858">
        <v>15</v>
      </c>
    </row>
    <row r="99" spans="1:6" ht="13.5">
      <c r="A99" s="2858">
        <v>25</v>
      </c>
      <c r="B99" s="3511"/>
      <c r="C99" s="2832" t="s">
        <v>2701</v>
      </c>
      <c r="D99" s="2832" t="s">
        <v>2702</v>
      </c>
      <c r="E99" s="2858">
        <v>0.1</v>
      </c>
      <c r="F99" s="2858">
        <v>15</v>
      </c>
    </row>
    <row r="100" spans="1:6" ht="24">
      <c r="A100" s="2858">
        <v>26</v>
      </c>
      <c r="B100" s="3511"/>
      <c r="C100" s="2832" t="s">
        <v>2703</v>
      </c>
      <c r="D100" s="2832" t="s">
        <v>2704</v>
      </c>
      <c r="E100" s="2858">
        <v>0.1</v>
      </c>
      <c r="F100" s="2858">
        <v>15</v>
      </c>
    </row>
    <row r="101" spans="1:6" ht="24">
      <c r="A101" s="2858">
        <v>27</v>
      </c>
      <c r="B101" s="3511"/>
      <c r="C101" s="2832" t="s">
        <v>2705</v>
      </c>
      <c r="D101" s="2832" t="s">
        <v>2706</v>
      </c>
      <c r="E101" s="2858">
        <v>0.1</v>
      </c>
      <c r="F101" s="2858">
        <v>15</v>
      </c>
    </row>
    <row r="102" spans="1:6" ht="13.5">
      <c r="A102" s="2858">
        <v>28</v>
      </c>
      <c r="B102" s="3511"/>
      <c r="C102" s="2832" t="s">
        <v>2707</v>
      </c>
      <c r="D102" s="2832" t="s">
        <v>2708</v>
      </c>
      <c r="E102" s="2858">
        <v>0.1</v>
      </c>
      <c r="F102" s="2858">
        <v>15</v>
      </c>
    </row>
    <row r="103" spans="1:6" ht="13.5">
      <c r="A103" s="2858">
        <v>29</v>
      </c>
      <c r="B103" s="3511"/>
      <c r="C103" s="2832" t="s">
        <v>2709</v>
      </c>
      <c r="D103" s="2832" t="s">
        <v>2710</v>
      </c>
      <c r="E103" s="2858">
        <v>0.1</v>
      </c>
      <c r="F103" s="2858">
        <v>15</v>
      </c>
    </row>
    <row r="104" spans="1:6" ht="13.5">
      <c r="A104" s="2858">
        <v>30</v>
      </c>
      <c r="B104" s="3511"/>
      <c r="C104" s="2832" t="s">
        <v>2711</v>
      </c>
      <c r="D104" s="2832" t="s">
        <v>2712</v>
      </c>
      <c r="E104" s="2858">
        <v>0.1</v>
      </c>
      <c r="F104" s="2858">
        <v>15</v>
      </c>
    </row>
    <row r="105" spans="1:6" ht="24">
      <c r="A105" s="2858">
        <v>31</v>
      </c>
      <c r="B105" s="3511"/>
      <c r="C105" s="2832" t="s">
        <v>2713</v>
      </c>
      <c r="D105" s="2832" t="s">
        <v>2714</v>
      </c>
      <c r="E105" s="2858">
        <v>0.1</v>
      </c>
      <c r="F105" s="2858">
        <v>15</v>
      </c>
    </row>
    <row r="106" spans="1:6" ht="24">
      <c r="A106" s="2858">
        <v>32</v>
      </c>
      <c r="B106" s="3511"/>
      <c r="C106" s="2832" t="s">
        <v>2715</v>
      </c>
      <c r="D106" s="2832" t="s">
        <v>2716</v>
      </c>
      <c r="E106" s="2858">
        <v>0.1</v>
      </c>
      <c r="F106" s="2858">
        <v>15</v>
      </c>
    </row>
    <row r="107" spans="1:6" ht="24">
      <c r="A107" s="2858">
        <v>33</v>
      </c>
      <c r="B107" s="3511"/>
      <c r="C107" s="2832" t="s">
        <v>2717</v>
      </c>
      <c r="D107" s="2832" t="s">
        <v>2718</v>
      </c>
      <c r="E107" s="2858">
        <v>0.1</v>
      </c>
      <c r="F107" s="2858">
        <v>15</v>
      </c>
    </row>
    <row r="108" spans="1:6" ht="24">
      <c r="A108" s="2858">
        <v>34</v>
      </c>
      <c r="B108" s="3517"/>
      <c r="C108" s="2832" t="s">
        <v>2719</v>
      </c>
      <c r="D108" s="2832" t="s">
        <v>2720</v>
      </c>
      <c r="E108" s="2858">
        <v>0.1</v>
      </c>
      <c r="F108" s="2858">
        <v>15</v>
      </c>
    </row>
    <row r="109" spans="1:6" ht="24">
      <c r="A109" s="2858">
        <v>35</v>
      </c>
      <c r="B109" s="3512" t="s">
        <v>2721</v>
      </c>
      <c r="C109" s="2858" t="s">
        <v>2722</v>
      </c>
      <c r="D109" s="2832" t="s">
        <v>2723</v>
      </c>
      <c r="E109" s="2858">
        <v>0.15</v>
      </c>
      <c r="F109" s="2858">
        <v>20</v>
      </c>
    </row>
    <row r="110" spans="1:6" ht="13.5">
      <c r="A110" s="2858">
        <v>36</v>
      </c>
      <c r="B110" s="3511"/>
      <c r="C110" s="2858" t="s">
        <v>2724</v>
      </c>
      <c r="D110" s="2832" t="s">
        <v>2725</v>
      </c>
      <c r="E110" s="2858">
        <v>0.15</v>
      </c>
      <c r="F110" s="2858">
        <v>20</v>
      </c>
    </row>
    <row r="111" spans="1:6" ht="13.5">
      <c r="A111" s="2858">
        <v>37</v>
      </c>
      <c r="B111" s="3511"/>
      <c r="C111" s="2858" t="s">
        <v>2726</v>
      </c>
      <c r="D111" s="2832" t="s">
        <v>2727</v>
      </c>
      <c r="E111" s="2858">
        <v>0.15</v>
      </c>
      <c r="F111" s="2858">
        <v>20</v>
      </c>
    </row>
    <row r="112" spans="1:6" ht="13.5">
      <c r="A112" s="2858">
        <v>38</v>
      </c>
      <c r="B112" s="3511"/>
      <c r="C112" s="2858" t="s">
        <v>2728</v>
      </c>
      <c r="D112" s="2832" t="s">
        <v>2729</v>
      </c>
      <c r="E112" s="2858">
        <v>0.1</v>
      </c>
      <c r="F112" s="2858">
        <v>15</v>
      </c>
    </row>
    <row r="113" spans="1:6" ht="24">
      <c r="A113" s="2858">
        <v>39</v>
      </c>
      <c r="B113" s="3511"/>
      <c r="C113" s="2858" t="s">
        <v>2730</v>
      </c>
      <c r="D113" s="2832" t="s">
        <v>2731</v>
      </c>
      <c r="E113" s="2858">
        <v>0.1</v>
      </c>
      <c r="F113" s="2858">
        <v>15</v>
      </c>
    </row>
    <row r="114" spans="1:6" ht="24">
      <c r="A114" s="2858">
        <v>40</v>
      </c>
      <c r="B114" s="3517"/>
      <c r="C114" s="2858" t="s">
        <v>2732</v>
      </c>
      <c r="D114" s="2832" t="s">
        <v>2733</v>
      </c>
      <c r="E114" s="2858">
        <v>0.1</v>
      </c>
      <c r="F114" s="2858">
        <v>15</v>
      </c>
    </row>
    <row r="115" spans="1:6" ht="13.5">
      <c r="A115" s="2858">
        <v>41</v>
      </c>
      <c r="B115" s="3505" t="s">
        <v>2734</v>
      </c>
      <c r="C115" s="2858" t="s">
        <v>2735</v>
      </c>
      <c r="D115" s="2832" t="s">
        <v>2736</v>
      </c>
      <c r="E115" s="2858">
        <v>0.1</v>
      </c>
      <c r="F115" s="2858">
        <v>15</v>
      </c>
    </row>
    <row r="116" spans="1:6" ht="13.5">
      <c r="A116" s="2858">
        <v>42</v>
      </c>
      <c r="B116" s="3505"/>
      <c r="C116" s="2858" t="s">
        <v>2737</v>
      </c>
      <c r="D116" s="2832" t="s">
        <v>2738</v>
      </c>
      <c r="E116" s="2858">
        <v>0.1</v>
      </c>
      <c r="F116" s="2858">
        <v>15</v>
      </c>
    </row>
    <row r="117" spans="1:6" ht="24">
      <c r="A117" s="2858">
        <v>43</v>
      </c>
      <c r="B117" s="3505"/>
      <c r="C117" s="2858" t="s">
        <v>2739</v>
      </c>
      <c r="D117" s="2832" t="s">
        <v>2740</v>
      </c>
      <c r="E117" s="2858">
        <v>0.1</v>
      </c>
      <c r="F117" s="2858">
        <v>15</v>
      </c>
    </row>
    <row r="118" spans="1:6" ht="13.5">
      <c r="A118" s="2858">
        <v>44</v>
      </c>
      <c r="B118" s="3512" t="s">
        <v>2741</v>
      </c>
      <c r="C118" s="2858" t="s">
        <v>2742</v>
      </c>
      <c r="D118" s="2832" t="s">
        <v>2743</v>
      </c>
      <c r="E118" s="2858">
        <v>0.1</v>
      </c>
      <c r="F118" s="2858">
        <v>15</v>
      </c>
    </row>
    <row r="119" spans="1:6" ht="24">
      <c r="A119" s="2858">
        <v>45</v>
      </c>
      <c r="B119" s="3517"/>
      <c r="C119" s="2832" t="s">
        <v>2744</v>
      </c>
      <c r="D119" s="2832" t="s">
        <v>2745</v>
      </c>
      <c r="E119" s="2858">
        <v>0.1</v>
      </c>
      <c r="F119" s="2858">
        <v>15</v>
      </c>
    </row>
    <row r="120" spans="1:6" ht="24">
      <c r="A120" s="2858">
        <v>46</v>
      </c>
      <c r="B120" s="3512" t="s">
        <v>2746</v>
      </c>
      <c r="C120" s="2858" t="s">
        <v>2747</v>
      </c>
      <c r="D120" s="2832" t="s">
        <v>2748</v>
      </c>
      <c r="E120" s="2858">
        <v>0.1</v>
      </c>
      <c r="F120" s="2858">
        <v>15</v>
      </c>
    </row>
    <row r="121" spans="1:6" ht="24">
      <c r="A121" s="2858">
        <v>47</v>
      </c>
      <c r="B121" s="3517"/>
      <c r="C121" s="2858" t="s">
        <v>2749</v>
      </c>
      <c r="D121" s="2832" t="s">
        <v>2750</v>
      </c>
      <c r="E121" s="2858">
        <v>0.1</v>
      </c>
      <c r="F121" s="2858">
        <v>15</v>
      </c>
    </row>
    <row r="122" spans="1:6" ht="13.5">
      <c r="A122" s="2858">
        <v>48</v>
      </c>
      <c r="B122" s="3512" t="s">
        <v>2751</v>
      </c>
      <c r="C122" s="2858" t="s">
        <v>2752</v>
      </c>
      <c r="D122" s="2832" t="s">
        <v>2753</v>
      </c>
      <c r="E122" s="2858">
        <v>0.1</v>
      </c>
      <c r="F122" s="2858">
        <v>15</v>
      </c>
    </row>
    <row r="123" spans="1:6" ht="13.5">
      <c r="A123" s="2858">
        <v>49</v>
      </c>
      <c r="B123" s="3517"/>
      <c r="C123" s="2858" t="s">
        <v>2754</v>
      </c>
      <c r="D123" s="2832" t="s">
        <v>2755</v>
      </c>
      <c r="E123" s="2858">
        <v>0.1</v>
      </c>
      <c r="F123" s="2858">
        <v>15</v>
      </c>
    </row>
    <row r="124" spans="1:6" ht="24">
      <c r="A124" s="2858">
        <v>50</v>
      </c>
      <c r="B124" s="3505" t="s">
        <v>2756</v>
      </c>
      <c r="C124" s="2858" t="s">
        <v>2757</v>
      </c>
      <c r="D124" s="2832" t="s">
        <v>2758</v>
      </c>
      <c r="E124" s="2858">
        <v>0.1</v>
      </c>
      <c r="F124" s="2858">
        <v>15</v>
      </c>
    </row>
    <row r="125" spans="1:6" ht="24">
      <c r="A125" s="2858">
        <v>51</v>
      </c>
      <c r="B125" s="3505"/>
      <c r="C125" s="2858" t="s">
        <v>2759</v>
      </c>
      <c r="D125" s="2832" t="s">
        <v>2760</v>
      </c>
      <c r="E125" s="2858">
        <v>0.1</v>
      </c>
      <c r="F125" s="2858">
        <v>15</v>
      </c>
    </row>
    <row r="126" spans="1:6" ht="24">
      <c r="A126" s="2858">
        <v>52</v>
      </c>
      <c r="B126" s="3505" t="s">
        <v>2761</v>
      </c>
      <c r="C126" s="2858" t="s">
        <v>2762</v>
      </c>
      <c r="D126" s="2832" t="s">
        <v>2763</v>
      </c>
      <c r="E126" s="2858">
        <v>0.1</v>
      </c>
      <c r="F126" s="2858">
        <v>15</v>
      </c>
    </row>
    <row r="127" spans="1:6" ht="24">
      <c r="A127" s="2858">
        <v>53</v>
      </c>
      <c r="B127" s="350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05" t="s">
        <v>2769</v>
      </c>
      <c r="C129" s="2858" t="s">
        <v>2770</v>
      </c>
      <c r="D129" s="2832" t="s">
        <v>2771</v>
      </c>
      <c r="E129" s="2858">
        <v>0.1</v>
      </c>
      <c r="F129" s="2858">
        <v>15</v>
      </c>
    </row>
    <row r="130" spans="1:6" ht="13.5">
      <c r="A130" s="2858">
        <v>56</v>
      </c>
      <c r="B130" s="3505"/>
      <c r="C130" s="2858" t="s">
        <v>2772</v>
      </c>
      <c r="D130" s="2832" t="s">
        <v>2773</v>
      </c>
      <c r="E130" s="2858">
        <v>0.1</v>
      </c>
      <c r="F130" s="2858">
        <v>15</v>
      </c>
    </row>
    <row r="131" spans="1:6" ht="24">
      <c r="A131" s="2858">
        <v>57</v>
      </c>
      <c r="B131" s="3505"/>
      <c r="C131" s="2858" t="s">
        <v>2774</v>
      </c>
      <c r="D131" s="2832" t="s">
        <v>2775</v>
      </c>
      <c r="E131" s="2858">
        <v>0.1</v>
      </c>
      <c r="F131" s="2858">
        <v>15</v>
      </c>
    </row>
    <row r="132" spans="1:6" ht="24">
      <c r="A132" s="2858">
        <v>58</v>
      </c>
      <c r="B132" s="3505" t="s">
        <v>2776</v>
      </c>
      <c r="C132" s="2858" t="s">
        <v>2777</v>
      </c>
      <c r="D132" s="2832" t="s">
        <v>2778</v>
      </c>
      <c r="E132" s="2858">
        <v>0.1</v>
      </c>
      <c r="F132" s="2858">
        <v>15</v>
      </c>
    </row>
    <row r="133" spans="1:6" ht="13.5">
      <c r="A133" s="2858">
        <v>59</v>
      </c>
      <c r="B133" s="3505"/>
      <c r="C133" s="2858" t="s">
        <v>2779</v>
      </c>
      <c r="D133" s="2832" t="s">
        <v>2780</v>
      </c>
      <c r="E133" s="2858">
        <v>0.1</v>
      </c>
      <c r="F133" s="2858">
        <v>15</v>
      </c>
    </row>
    <row r="134" spans="1:6" ht="13.5">
      <c r="A134" s="2858">
        <v>60</v>
      </c>
      <c r="B134" s="3512" t="s">
        <v>2781</v>
      </c>
      <c r="C134" s="2858" t="s">
        <v>2782</v>
      </c>
      <c r="D134" s="2832" t="s">
        <v>2783</v>
      </c>
      <c r="E134" s="2858">
        <v>0.1</v>
      </c>
      <c r="F134" s="2858">
        <v>15</v>
      </c>
    </row>
    <row r="135" spans="1:6" ht="13.5">
      <c r="A135" s="2858">
        <v>61</v>
      </c>
      <c r="B135" s="351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05" t="s">
        <v>2789</v>
      </c>
      <c r="C137" s="2858" t="s">
        <v>2790</v>
      </c>
      <c r="D137" s="2832" t="s">
        <v>2791</v>
      </c>
      <c r="E137" s="2858">
        <v>0.1</v>
      </c>
      <c r="F137" s="2858">
        <v>15</v>
      </c>
    </row>
    <row r="138" spans="1:6" ht="13.5">
      <c r="A138" s="2858">
        <v>64</v>
      </c>
      <c r="B138" s="350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91"/>
      <c r="B4" s="3203" t="s">
        <v>917</v>
      </c>
      <c r="C4" s="3203"/>
      <c r="D4" s="3203"/>
      <c r="E4" s="1391"/>
    </row>
    <row r="5" spans="1:5" ht="16.5" thickTop="1">
      <c r="B5" s="3201" t="s">
        <v>909</v>
      </c>
      <c r="C5" s="1392" t="s">
        <v>910</v>
      </c>
      <c r="D5" s="797" t="e">
        <f ca="1">结果表!H101</f>
        <v>#REF!</v>
      </c>
    </row>
    <row r="6" spans="1:5" ht="15.75">
      <c r="B6" s="3201"/>
      <c r="C6" s="1392" t="s">
        <v>911</v>
      </c>
      <c r="D6" s="797" t="e">
        <f ca="1">NUMBERSTRING(INT(D5*10000),2)&amp;"元整"</f>
        <v>#REF!</v>
      </c>
    </row>
    <row r="7" spans="1:5" ht="15.75">
      <c r="B7" s="3206"/>
      <c r="C7" s="1393" t="s">
        <v>912</v>
      </c>
      <c r="D7" s="798" t="e">
        <f ca="1">结果表!H102</f>
        <v>#REF!</v>
      </c>
    </row>
    <row r="8" spans="1:5" ht="15.75">
      <c r="B8" s="3207" t="str">
        <f>结果表!E103</f>
        <v>2.估价师知悉的法定优先受偿款</v>
      </c>
      <c r="C8" s="1394" t="s">
        <v>913</v>
      </c>
      <c r="D8" s="798">
        <f>结果表!H103</f>
        <v>0</v>
      </c>
    </row>
    <row r="9" spans="1:5" ht="15.75">
      <c r="B9" s="320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0" t="str">
        <f>结果表!E107</f>
        <v>3.房地产抵押价值</v>
      </c>
      <c r="C13" s="1397" t="s">
        <v>910</v>
      </c>
      <c r="D13" s="800" t="e">
        <f ca="1">结果表!H107</f>
        <v>#REF!</v>
      </c>
    </row>
    <row r="14" spans="1:5" ht="15.75">
      <c r="B14" s="3201"/>
      <c r="C14" s="1392" t="s">
        <v>911</v>
      </c>
      <c r="D14" s="797" t="e">
        <f ca="1">NUMBERSTRING(INT(D13*10000),2)&amp;"元整"</f>
        <v>#REF!</v>
      </c>
    </row>
    <row r="15" spans="1:5" ht="15">
      <c r="B15" s="3206"/>
      <c r="C15" s="1393" t="s">
        <v>921</v>
      </c>
      <c r="D15" s="806" t="e">
        <f ca="1">结果表!H108</f>
        <v>#REF!</v>
      </c>
    </row>
    <row r="16" spans="1:5" ht="15">
      <c r="B16" s="3207" t="str">
        <f>结果表!E109</f>
        <v>——</v>
      </c>
      <c r="C16" s="1397" t="s">
        <v>922</v>
      </c>
      <c r="D16" s="1398" t="str">
        <f>结果表!H109</f>
        <v>——</v>
      </c>
    </row>
    <row r="17" spans="1:5" ht="15.75">
      <c r="B17" s="3208"/>
      <c r="C17" s="1392" t="s">
        <v>923</v>
      </c>
      <c r="D17" s="797" t="e">
        <f>NUMBERSTRING(INT(D16*10000),2)&amp;"元整"</f>
        <v>#VALUE!</v>
      </c>
    </row>
    <row r="18" spans="1:5" ht="15">
      <c r="B18" s="3209"/>
      <c r="C18" s="1393" t="s">
        <v>912</v>
      </c>
      <c r="D18" s="806" t="str">
        <f>结果表!H110</f>
        <v>——</v>
      </c>
    </row>
    <row r="19" spans="1:5" ht="15.75">
      <c r="B19" s="3200" t="str">
        <f>结果表!E111</f>
        <v>——</v>
      </c>
      <c r="C19" s="1397" t="s">
        <v>910</v>
      </c>
      <c r="D19" s="798" t="str">
        <f>结果表!H111</f>
        <v>——</v>
      </c>
    </row>
    <row r="20" spans="1:5" ht="15.75">
      <c r="B20" s="3201"/>
      <c r="C20" s="1392" t="s">
        <v>923</v>
      </c>
      <c r="D20" s="797" t="e">
        <f>NUMBERSTRING(INT(D19*10000),2)&amp;"元整"</f>
        <v>#VALUE!</v>
      </c>
    </row>
    <row r="21" spans="1:5" ht="15.75" thickBot="1">
      <c r="B21" s="320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t="e">
        <f>SUMPRODUCT((A95:A184=ROUNDDOWN(基准地价修正!G3,1))*(B94:M94=基准地价修正!G2)*(B95:M184))</f>
        <v>#DIV/0!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t="e">
        <f>SUMPRODUCT((A371:A460=ROUNDDOWN(基准地价修正!G3,1))*(B370:M370=基准地价修正!G2)*(B371:M460))</f>
        <v>#DIV/0!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26635</v>
      </c>
      <c r="C2" s="2" t="s">
        <v>106</v>
      </c>
      <c r="D2" s="191"/>
      <c r="E2" s="191"/>
      <c r="F2" s="191"/>
      <c r="G2" s="191"/>
    </row>
    <row r="3" spans="1:7" s="192" customFormat="1" ht="18" customHeight="1" thickBot="1">
      <c r="A3" s="195" t="s">
        <v>58</v>
      </c>
      <c r="B3" s="196">
        <f ca="1">ROUND(B2*10000/'数据-汇总表'!E3,0)</f>
        <v>1335824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199.39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199.39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624</v>
      </c>
      <c r="D22" s="227">
        <f ca="1">C26</f>
        <v>2.0000000000000001E-4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4.75">
      <c r="A27" s="731" t="s">
        <v>342</v>
      </c>
      <c r="B27" s="236" t="s">
        <v>85</v>
      </c>
      <c r="C27" s="237">
        <f>C28</f>
        <v>3154</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26529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100</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199.39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2.0000000000000001E-4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81" t="s">
        <v>94</v>
      </c>
    </row>
    <row r="43" spans="1:7" ht="13.5" customHeight="1">
      <c r="A43" s="734" t="s">
        <v>347</v>
      </c>
      <c r="B43" s="207" t="s">
        <v>426</v>
      </c>
      <c r="C43" s="230">
        <f ca="1">ROUND(IF('数据-取费表'!B22&lt;=1,C39*F22*'数据-取费表'!B21/2,C39*(POWER((1+F22),'数据-取费表'!B21/2)-1)),0)</f>
        <v>0</v>
      </c>
      <c r="D43" s="230"/>
      <c r="E43" s="230"/>
      <c r="F43" s="231"/>
      <c r="G43" s="3382"/>
    </row>
    <row r="44" spans="1:7" ht="13.5" customHeight="1">
      <c r="A44" s="734" t="s">
        <v>348</v>
      </c>
      <c r="B44" s="207" t="s">
        <v>428</v>
      </c>
      <c r="C44" s="230">
        <f ca="1">ROUND(IF('数据-取费表'!B22&lt;=1,C40*F22*'数据-取费表'!B21/2,C40*(POWER((1+F22),'数据-取费表'!B21/2)-1)),4)</f>
        <v>2.0000000000000001E-4</v>
      </c>
      <c r="D44" s="230"/>
      <c r="E44" s="230"/>
      <c r="F44" s="231"/>
      <c r="G44" s="3383"/>
    </row>
    <row r="45" spans="1:7" s="206" customFormat="1" ht="13.5" customHeight="1">
      <c r="A45" s="731" t="s">
        <v>341</v>
      </c>
      <c r="B45" s="236" t="s">
        <v>85</v>
      </c>
      <c r="C45" s="237">
        <f>C46</f>
        <v>17</v>
      </c>
      <c r="D45" s="227">
        <f>C47</f>
        <v>1.5E-3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141</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106</v>
      </c>
      <c r="D51" s="224"/>
      <c r="E51" s="224"/>
      <c r="F51" s="256"/>
      <c r="G51" s="226" t="s">
        <v>37</v>
      </c>
    </row>
    <row r="52" spans="1:7" s="200" customFormat="1" ht="16.5" thickBot="1">
      <c r="A52" s="257" t="s">
        <v>38</v>
      </c>
      <c r="B52" s="258"/>
      <c r="C52" s="259">
        <f ca="1">C31+C51</f>
        <v>26635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topLeftCell="A40" workbookViewId="0">
      <selection activeCell="B55" sqref="B55:G8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8" t="s">
        <v>3181</v>
      </c>
      <c r="B1" s="3518"/>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19" t="s">
        <v>3232</v>
      </c>
      <c r="B1" s="3519"/>
      <c r="C1" s="3519"/>
      <c r="D1" s="3519"/>
      <c r="E1" s="3519"/>
      <c r="F1" s="3520"/>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5E655-C449-4C99-8ECE-5139598FD5F5}">
  <dimension ref="Y2:Y3"/>
  <sheetViews>
    <sheetView workbookViewId="0">
      <selection activeCell="X10" sqref="X10"/>
    </sheetView>
  </sheetViews>
  <sheetFormatPr defaultRowHeight="13.5"/>
  <sheetData>
    <row r="2" spans="25:25">
      <c r="Y2" s="3170" t="s">
        <v>3771</v>
      </c>
    </row>
    <row r="3" spans="25:25">
      <c r="Y3" s="3170" t="s">
        <v>3772</v>
      </c>
    </row>
  </sheetData>
  <phoneticPr fontId="134" type="noConversion"/>
  <hyperlinks>
    <hyperlink ref="Y2" r:id="rId1" display="http://bjjs.zjw.beijing.gov.cn/eportal/ui?pageId=320794&amp;projectID=534235&amp;systemID=2&amp;srcId=1" xr:uid="{C6AE4C39-2D15-4D74-B4F0-35C380353139}"/>
    <hyperlink ref="Y3" r:id="rId2" display="http://bjjs.zjw.beijing.gov.cn/eportal/ui?pageId=424476&amp;projectID=16830753&amp;systemID=3&amp;srcId=1" xr:uid="{ED4A3047-304B-45F7-928C-1B73A3F88811}"/>
  </hyperlinks>
  <pageMargins left="0.7" right="0.7" top="0.75" bottom="0.75" header="0.3" footer="0.3"/>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B711-7ADA-4071-B1D8-7C39FE18E756}">
  <dimension ref="D2:V34"/>
  <sheetViews>
    <sheetView workbookViewId="0">
      <selection activeCell="N34" sqref="N34"/>
    </sheetView>
  </sheetViews>
  <sheetFormatPr defaultRowHeight="13.5"/>
  <sheetData>
    <row r="2" spans="4:22">
      <c r="V2" s="3170" t="s">
        <v>3764</v>
      </c>
    </row>
    <row r="4" spans="4:22">
      <c r="D4" s="3191" t="s">
        <v>3757</v>
      </c>
      <c r="E4">
        <v>2130</v>
      </c>
      <c r="F4" s="3193">
        <v>0.105</v>
      </c>
      <c r="H4" s="3193">
        <f>(E9-E4)/E4</f>
        <v>5.1643192488262914E-2</v>
      </c>
      <c r="J4" s="3191" t="s">
        <v>3757</v>
      </c>
      <c r="K4">
        <v>758.5</v>
      </c>
      <c r="L4" s="3193">
        <v>7.0000000000000007E-2</v>
      </c>
      <c r="M4">
        <v>25653</v>
      </c>
      <c r="N4" s="3193">
        <f>(K9-K4)/K4</f>
        <v>6.9874752801582077E-2</v>
      </c>
    </row>
    <row r="5" spans="4:22">
      <c r="D5" s="3191" t="s">
        <v>3758</v>
      </c>
      <c r="E5">
        <v>2130</v>
      </c>
      <c r="F5" s="3193">
        <v>0.106</v>
      </c>
      <c r="H5" s="3192"/>
      <c r="J5" s="3191" t="s">
        <v>3758</v>
      </c>
      <c r="K5">
        <v>767.8</v>
      </c>
      <c r="L5" s="3193">
        <v>0.06</v>
      </c>
      <c r="M5">
        <v>21694</v>
      </c>
    </row>
    <row r="6" spans="4:22">
      <c r="D6" s="3191" t="s">
        <v>3759</v>
      </c>
      <c r="E6">
        <v>2250</v>
      </c>
      <c r="F6" s="3193">
        <v>0.10299999999999999</v>
      </c>
      <c r="H6" s="3192"/>
      <c r="J6" s="3191" t="s">
        <v>3759</v>
      </c>
      <c r="K6">
        <v>780</v>
      </c>
      <c r="L6" s="3193">
        <v>4.8000000000000001E-2</v>
      </c>
      <c r="M6">
        <v>16300</v>
      </c>
    </row>
    <row r="7" spans="4:22">
      <c r="D7" s="3191" t="s">
        <v>3760</v>
      </c>
      <c r="E7">
        <v>2180</v>
      </c>
      <c r="F7" s="3193">
        <v>0.108</v>
      </c>
      <c r="G7" s="3193"/>
      <c r="H7" s="3192"/>
      <c r="J7" s="3191" t="s">
        <v>3760</v>
      </c>
      <c r="K7">
        <v>785</v>
      </c>
      <c r="L7" s="3193">
        <v>4.7E-2</v>
      </c>
      <c r="M7">
        <v>18663</v>
      </c>
    </row>
    <row r="8" spans="4:22">
      <c r="D8" s="3191" t="s">
        <v>3761</v>
      </c>
      <c r="E8">
        <v>2200</v>
      </c>
      <c r="F8" s="3193">
        <v>0.106</v>
      </c>
      <c r="G8" s="3193">
        <v>5.6000000000000001E-2</v>
      </c>
      <c r="H8" s="3192"/>
      <c r="J8" s="3191" t="s">
        <v>3761</v>
      </c>
      <c r="K8">
        <v>801.3</v>
      </c>
      <c r="L8" s="3193">
        <v>4.5999999999999999E-2</v>
      </c>
      <c r="M8">
        <v>26290</v>
      </c>
    </row>
    <row r="9" spans="4:22">
      <c r="D9" s="3191" t="s">
        <v>3762</v>
      </c>
      <c r="E9">
        <v>2240</v>
      </c>
      <c r="F9" s="3193">
        <v>0.104</v>
      </c>
      <c r="G9" s="3193">
        <v>5.6000000000000001E-2</v>
      </c>
      <c r="H9" s="3192"/>
      <c r="J9" s="3191" t="s">
        <v>3762</v>
      </c>
      <c r="K9">
        <v>811.5</v>
      </c>
      <c r="L9" s="3193">
        <v>4.5999999999999999E-2</v>
      </c>
      <c r="M9">
        <v>18646</v>
      </c>
    </row>
    <row r="10" spans="4:22">
      <c r="D10" s="3191"/>
      <c r="F10" s="3193"/>
      <c r="J10" s="3191" t="s">
        <v>3763</v>
      </c>
      <c r="K10">
        <v>804.3</v>
      </c>
      <c r="L10" s="3193">
        <v>6.9000000000000006E-2</v>
      </c>
      <c r="M10">
        <v>23743</v>
      </c>
    </row>
    <row r="11" spans="4:22">
      <c r="D11" s="3190"/>
      <c r="F11" s="3193"/>
    </row>
    <row r="12" spans="4:22">
      <c r="D12" s="3190"/>
    </row>
    <row r="13" spans="4:22">
      <c r="D13" s="3190"/>
    </row>
    <row r="14" spans="4:22">
      <c r="D14" s="3190"/>
    </row>
    <row r="15" spans="4:22">
      <c r="D15" s="3190"/>
    </row>
    <row r="16" spans="4:22">
      <c r="D16" s="3190"/>
    </row>
    <row r="17" spans="4:19">
      <c r="D17" s="3190"/>
      <c r="R17">
        <v>10</v>
      </c>
    </row>
    <row r="18" spans="4:19">
      <c r="D18" s="3190"/>
      <c r="R18">
        <v>7.2</v>
      </c>
    </row>
    <row r="19" spans="4:19">
      <c r="D19" s="3190"/>
      <c r="S19">
        <f>(R17-R18)/R18</f>
        <v>0.38888888888888884</v>
      </c>
    </row>
    <row r="20" spans="4:19">
      <c r="D20" s="3190"/>
    </row>
    <row r="21" spans="4:19">
      <c r="D21" s="3190"/>
    </row>
    <row r="22" spans="4:19">
      <c r="D22" s="3190"/>
    </row>
    <row r="23" spans="4:19">
      <c r="D23" s="3190"/>
    </row>
    <row r="24" spans="4:19">
      <c r="D24" s="3190"/>
    </row>
    <row r="25" spans="4:19">
      <c r="D25" s="3190"/>
    </row>
    <row r="26" spans="4:19">
      <c r="D26" s="3190"/>
    </row>
    <row r="27" spans="4:19">
      <c r="D27" s="3190"/>
    </row>
    <row r="28" spans="4:19">
      <c r="D28" s="3190"/>
    </row>
    <row r="29" spans="4:19">
      <c r="D29" s="3190"/>
    </row>
    <row r="30" spans="4:19">
      <c r="D30" s="3190"/>
    </row>
    <row r="31" spans="4:19">
      <c r="D31" s="3190"/>
    </row>
    <row r="32" spans="4:19">
      <c r="D32" s="3190"/>
    </row>
    <row r="33" spans="4:4">
      <c r="D33" s="3190"/>
    </row>
    <row r="34" spans="4:4">
      <c r="D34" s="3190"/>
    </row>
  </sheetData>
  <phoneticPr fontId="134" type="noConversion"/>
  <hyperlinks>
    <hyperlink ref="V2" r:id="rId1" display="https://baijiahao.baidu.com/s?id=1840345362904117494&amp;wfr=spider&amp;for=pc" xr:uid="{6CF3BC98-E55C-448C-A5C4-9A10FA463260}"/>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 sqref="E1:E1048576"/>
    </sheetView>
  </sheetViews>
  <sheetFormatPr defaultRowHeight="13.5"/>
  <cols>
    <col min="1" max="1" width="13.875" customWidth="1"/>
    <col min="11" max="17" width="0" hidden="1" customWidth="1"/>
    <col min="25" max="30" width="0" hidden="1" customWidth="1"/>
  </cols>
  <sheetData>
    <row r="1" spans="1:44">
      <c r="A1" s="2938">
        <f>基准地价修正!G23</f>
        <v>45860</v>
      </c>
      <c r="B1" s="2930" t="s">
        <v>3377</v>
      </c>
      <c r="C1" s="2931"/>
      <c r="D1" s="2931"/>
      <c r="E1" s="2931"/>
      <c r="F1" s="2931"/>
      <c r="G1" s="2931"/>
      <c r="H1" s="2931"/>
      <c r="I1" s="2931"/>
      <c r="J1" s="2897"/>
      <c r="K1" s="2931" t="s">
        <v>454</v>
      </c>
      <c r="L1" s="2931"/>
      <c r="M1" s="2931"/>
      <c r="N1" s="2931"/>
      <c r="O1" s="2931"/>
      <c r="P1" s="2931"/>
      <c r="Q1" s="2897"/>
      <c r="R1" s="3521" t="s">
        <v>456</v>
      </c>
      <c r="S1" s="3522"/>
      <c r="T1" s="3522"/>
      <c r="U1" s="3522"/>
      <c r="V1" s="3522"/>
      <c r="W1" s="3522"/>
      <c r="X1" s="2897"/>
      <c r="Y1" s="3521" t="s">
        <v>457</v>
      </c>
      <c r="Z1" s="3522"/>
      <c r="AA1" s="3522"/>
      <c r="AB1" s="3522"/>
      <c r="AC1" s="3522"/>
      <c r="AD1" s="3522"/>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21" t="s">
        <v>2827</v>
      </c>
      <c r="S29" s="3522"/>
      <c r="T29" s="3522"/>
      <c r="U29" s="3522"/>
      <c r="V29" s="3522"/>
      <c r="W29" s="3522"/>
      <c r="X29" s="2897"/>
      <c r="Y29" s="3521" t="s">
        <v>2828</v>
      </c>
      <c r="Z29" s="3522"/>
      <c r="AA29" s="3522"/>
      <c r="AB29" s="3522"/>
      <c r="AC29" s="3522"/>
      <c r="AD29" s="3522"/>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topLeftCell="A16" zoomScale="80" zoomScaleNormal="80" workbookViewId="0">
      <selection activeCell="A79" sqref="A79:G8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4" t="s">
        <v>2839</v>
      </c>
      <c r="B1" s="3534"/>
      <c r="C1" s="3534"/>
      <c r="D1" s="3534"/>
      <c r="E1" s="3534"/>
      <c r="F1" s="3534"/>
      <c r="G1" s="353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3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N56" sqref="N5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45860</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928</v>
      </c>
      <c r="B2" s="3211" t="s">
        <v>929</v>
      </c>
      <c r="C2" s="3211" t="s">
        <v>930</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12"/>
      <c r="B3" s="3212"/>
      <c r="C3" s="3212"/>
      <c r="D3" s="801" t="s">
        <v>925</v>
      </c>
      <c r="E3" s="801" t="s">
        <v>931</v>
      </c>
      <c r="F3" s="801" t="s">
        <v>925</v>
      </c>
      <c r="G3" s="801" t="s">
        <v>926</v>
      </c>
      <c r="H3" s="801" t="s">
        <v>925</v>
      </c>
      <c r="I3" s="801" t="s">
        <v>926</v>
      </c>
    </row>
    <row r="4" spans="1:9" ht="15">
      <c r="A4" s="1403" t="str">
        <f>项目基本情况!S2</f>
        <v>北京市房地产</v>
      </c>
      <c r="B4" s="801">
        <f>项目基本情况!C17</f>
        <v>199.39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75">
      <c r="A6" s="3213" t="str">
        <f>结果表!A120</f>
        <v>估价师知悉的法定优先受偿款</v>
      </c>
      <c r="B6" s="3213"/>
      <c r="C6" s="3213"/>
      <c r="D6" s="3213">
        <f>结果表!D120</f>
        <v>0</v>
      </c>
      <c r="E6" s="3213"/>
      <c r="F6" s="3213"/>
      <c r="G6" s="3213"/>
      <c r="H6" s="3213"/>
      <c r="I6" s="3213"/>
    </row>
    <row r="7" spans="1:9" ht="15">
      <c r="A7" s="3212" t="s">
        <v>927</v>
      </c>
      <c r="B7" s="3212"/>
      <c r="C7" s="3212"/>
      <c r="D7" s="3214" t="str">
        <f>结果表!D121</f>
        <v>零元整</v>
      </c>
      <c r="E7" s="3215"/>
      <c r="F7" s="3215"/>
      <c r="G7" s="3215"/>
      <c r="H7" s="3215"/>
      <c r="I7" s="3216"/>
    </row>
    <row r="8" spans="1:9" ht="15.75">
      <c r="A8" s="3213" t="str">
        <f>结果表!A122</f>
        <v>房地产抵押价值</v>
      </c>
      <c r="B8" s="3213"/>
      <c r="C8" s="3213"/>
      <c r="D8" s="3213" t="e">
        <f ca="1">结果表!D122</f>
        <v>#REF!</v>
      </c>
      <c r="E8" s="3213"/>
      <c r="F8" s="3213"/>
      <c r="G8" s="3213"/>
      <c r="H8" s="3213"/>
      <c r="I8" s="3213"/>
    </row>
    <row r="9" spans="1:9" ht="15">
      <c r="A9" s="3212" t="s">
        <v>927</v>
      </c>
      <c r="B9" s="3212"/>
      <c r="C9" s="3212"/>
      <c r="D9" s="3212" t="e">
        <f ca="1">结果表!D123</f>
        <v>#REF!</v>
      </c>
      <c r="E9" s="3212"/>
      <c r="F9" s="3212"/>
      <c r="G9" s="3212"/>
      <c r="H9" s="3212"/>
      <c r="I9" s="3212"/>
    </row>
    <row r="10" spans="1:9" ht="15.75">
      <c r="A10" s="3213" t="str">
        <f>结果表!A124</f>
        <v/>
      </c>
      <c r="B10" s="3213"/>
      <c r="C10" s="3213"/>
      <c r="D10" s="3213" t="str">
        <f>结果表!D124</f>
        <v>——</v>
      </c>
      <c r="E10" s="3213"/>
      <c r="F10" s="3213"/>
      <c r="G10" s="3213"/>
      <c r="H10" s="3213"/>
      <c r="I10" s="3213"/>
    </row>
    <row r="11" spans="1:9" ht="15">
      <c r="A11" s="3212" t="s">
        <v>927</v>
      </c>
      <c r="B11" s="3212"/>
      <c r="C11" s="3212"/>
      <c r="D11" s="3212" t="e">
        <f>结果表!D125</f>
        <v>#VALUE!</v>
      </c>
      <c r="E11" s="3212"/>
      <c r="F11" s="3212"/>
      <c r="G11" s="3212"/>
      <c r="H11" s="3212"/>
      <c r="I11" s="3212"/>
    </row>
    <row r="12" spans="1:9" ht="15.75">
      <c r="A12" s="3213" t="str">
        <f>结果表!A126</f>
        <v/>
      </c>
      <c r="B12" s="3213"/>
      <c r="C12" s="3213"/>
      <c r="D12" s="3213" t="str">
        <f>结果表!D126</f>
        <v>——</v>
      </c>
      <c r="E12" s="3213"/>
      <c r="F12" s="3213"/>
      <c r="G12" s="3213"/>
      <c r="H12" s="3213"/>
      <c r="I12" s="3213"/>
    </row>
    <row r="13" spans="1:9" ht="15.75" thickBot="1">
      <c r="A13" s="3217" t="s">
        <v>927</v>
      </c>
      <c r="B13" s="3217"/>
      <c r="C13" s="3217"/>
      <c r="D13" s="3217" t="e">
        <f>结果表!D127</f>
        <v>#VALUE!</v>
      </c>
      <c r="E13" s="3217"/>
      <c r="F13" s="3217"/>
      <c r="G13" s="3217"/>
      <c r="H13" s="3217"/>
      <c r="I13" s="3217"/>
    </row>
    <row r="14" spans="1:9" ht="15" thickTop="1">
      <c r="A14" s="3218" t="s">
        <v>932</v>
      </c>
      <c r="B14" s="3218"/>
      <c r="C14" s="3218"/>
      <c r="D14" s="3218"/>
      <c r="E14" s="3218"/>
      <c r="F14" s="3218"/>
      <c r="G14" s="3218"/>
      <c r="H14" s="3218"/>
      <c r="I14" s="321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6A24-3FBD-4644-A70F-825DDD752798}">
  <dimension ref="A1:Z81"/>
  <sheetViews>
    <sheetView topLeftCell="G1" workbookViewId="0">
      <pane ySplit="1" topLeftCell="A4" activePane="bottomLeft" state="frozen"/>
      <selection pane="bottomLeft" activeCell="Z29" sqref="Z29"/>
    </sheetView>
  </sheetViews>
  <sheetFormatPr defaultRowHeight="14.25"/>
  <cols>
    <col min="1" max="1" width="46.75" style="3180" customWidth="1"/>
    <col min="2" max="2" width="20" style="3181" customWidth="1"/>
    <col min="3" max="5" width="20" style="3181" hidden="1" customWidth="1"/>
    <col min="6" max="6" width="6.25" style="3181" hidden="1" customWidth="1"/>
    <col min="7" max="8" width="11.375" style="3181" customWidth="1"/>
    <col min="9" max="10" width="13.875" style="3181" bestFit="1" customWidth="1"/>
    <col min="11" max="11" width="9.5" style="3181" bestFit="1" customWidth="1"/>
    <col min="12" max="12" width="10.5" style="3181" customWidth="1"/>
    <col min="13" max="13" width="7" style="3181" customWidth="1"/>
    <col min="14" max="16" width="14.375" style="3181" customWidth="1"/>
    <col min="17" max="17" width="18.375" style="3181" bestFit="1" customWidth="1"/>
    <col min="18" max="18" width="13.875" style="3181" bestFit="1" customWidth="1"/>
    <col min="19" max="20" width="15" style="3181" bestFit="1" customWidth="1"/>
    <col min="21" max="21" width="20" style="3181" customWidth="1"/>
    <col min="22" max="23" width="17.25" style="3181" bestFit="1" customWidth="1"/>
    <col min="24" max="24" width="14.375" style="3181" customWidth="1"/>
    <col min="25" max="25" width="19.625" style="3181" customWidth="1"/>
    <col min="26" max="26" width="23.25" style="3181" customWidth="1"/>
    <col min="27" max="16384" width="9" style="3181"/>
  </cols>
  <sheetData>
    <row r="1" spans="1:26">
      <c r="A1" s="3180" t="s">
        <v>3503</v>
      </c>
      <c r="B1" s="3181" t="s">
        <v>3504</v>
      </c>
      <c r="C1" s="3181" t="s">
        <v>3505</v>
      </c>
      <c r="D1" s="3181" t="s">
        <v>3506</v>
      </c>
      <c r="E1" s="3181" t="s">
        <v>3507</v>
      </c>
      <c r="F1" s="3181" t="s">
        <v>3508</v>
      </c>
      <c r="G1" s="3181" t="s">
        <v>3509</v>
      </c>
      <c r="H1" s="3181" t="s">
        <v>3510</v>
      </c>
      <c r="I1" s="3181" t="s">
        <v>3511</v>
      </c>
      <c r="J1" s="3181" t="s">
        <v>3512</v>
      </c>
      <c r="K1" s="3181" t="s">
        <v>3513</v>
      </c>
      <c r="L1" s="3181" t="s">
        <v>3514</v>
      </c>
      <c r="M1" s="3181" t="s">
        <v>3515</v>
      </c>
      <c r="N1" s="3181" t="s">
        <v>3516</v>
      </c>
      <c r="O1" s="3181" t="s">
        <v>3517</v>
      </c>
      <c r="P1" s="3181" t="s">
        <v>3518</v>
      </c>
      <c r="Q1" s="3181" t="s">
        <v>3519</v>
      </c>
      <c r="R1" s="3181" t="s">
        <v>3520</v>
      </c>
      <c r="S1" s="3181" t="s">
        <v>3521</v>
      </c>
      <c r="T1" s="3181" t="s">
        <v>3522</v>
      </c>
      <c r="U1" s="3181" t="s">
        <v>3523</v>
      </c>
      <c r="V1" s="3181" t="s">
        <v>3524</v>
      </c>
      <c r="W1" s="3181" t="s">
        <v>3525</v>
      </c>
      <c r="X1" s="3181" t="s">
        <v>3526</v>
      </c>
      <c r="Y1" s="3181" t="s">
        <v>3527</v>
      </c>
      <c r="Z1" s="3181" t="s">
        <v>3528</v>
      </c>
    </row>
    <row r="2" spans="1:26" ht="28.5" hidden="1">
      <c r="A2" s="3180" t="s">
        <v>3529</v>
      </c>
      <c r="B2" s="3181" t="s">
        <v>3530</v>
      </c>
      <c r="C2" s="3181" t="s">
        <v>3531</v>
      </c>
      <c r="D2" s="3181" t="s">
        <v>3531</v>
      </c>
      <c r="E2" s="3181" t="s">
        <v>3532</v>
      </c>
      <c r="F2" s="3181" t="s">
        <v>673</v>
      </c>
      <c r="G2" s="3181">
        <v>4063.37</v>
      </c>
      <c r="H2" s="3181" t="s">
        <v>3530</v>
      </c>
      <c r="I2" s="3182">
        <v>45876.333831018521</v>
      </c>
      <c r="J2" s="3182">
        <v>45894.333831018521</v>
      </c>
      <c r="K2" s="3181">
        <v>18</v>
      </c>
      <c r="L2" s="3181" t="s">
        <v>3533</v>
      </c>
      <c r="M2" s="3181" t="s">
        <v>3534</v>
      </c>
      <c r="N2" s="3181">
        <v>9856</v>
      </c>
      <c r="O2" s="3181">
        <v>14079.900799999999</v>
      </c>
      <c r="P2" s="3181">
        <v>7885</v>
      </c>
      <c r="Q2" s="3181">
        <v>14079.900799999999</v>
      </c>
      <c r="R2" s="3181" t="s">
        <v>3530</v>
      </c>
      <c r="S2" s="3181">
        <v>56</v>
      </c>
      <c r="T2" s="3181" t="s">
        <v>3530</v>
      </c>
      <c r="U2" s="3181">
        <v>19405.080000000002</v>
      </c>
      <c r="V2" s="3181">
        <v>34650.800000000003</v>
      </c>
      <c r="W2" s="3181" t="s">
        <v>3530</v>
      </c>
      <c r="X2" s="3181" t="s">
        <v>3535</v>
      </c>
      <c r="Y2" s="3181" t="s">
        <v>3536</v>
      </c>
      <c r="Z2" s="3181" t="s">
        <v>3537</v>
      </c>
    </row>
    <row r="3" spans="1:26" s="3184" customFormat="1" hidden="1">
      <c r="A3" s="3183" t="s">
        <v>3538</v>
      </c>
      <c r="B3" s="3184" t="s">
        <v>3539</v>
      </c>
      <c r="C3" s="3184" t="s">
        <v>3531</v>
      </c>
      <c r="D3" s="3184" t="s">
        <v>3531</v>
      </c>
      <c r="E3" s="3184" t="s">
        <v>3532</v>
      </c>
      <c r="F3" s="3184" t="s">
        <v>673</v>
      </c>
      <c r="G3" s="3184" t="s">
        <v>3530</v>
      </c>
      <c r="H3" s="3184" t="s">
        <v>3530</v>
      </c>
      <c r="I3" s="3185">
        <v>45870.333831018521</v>
      </c>
      <c r="J3" s="3185">
        <v>45871.333831018521</v>
      </c>
      <c r="K3" s="3184">
        <v>1</v>
      </c>
      <c r="L3" s="3184" t="s">
        <v>3540</v>
      </c>
      <c r="M3" s="3184" t="s">
        <v>3541</v>
      </c>
      <c r="N3" s="3184">
        <v>1868.93</v>
      </c>
      <c r="O3" s="3184">
        <v>2669.9</v>
      </c>
      <c r="P3" s="3184">
        <v>1868.93</v>
      </c>
      <c r="Q3" s="3184">
        <v>2669.9</v>
      </c>
      <c r="R3" s="3184" t="s">
        <v>3530</v>
      </c>
      <c r="S3" s="3184">
        <v>70</v>
      </c>
      <c r="T3" s="3184" t="s">
        <v>3530</v>
      </c>
      <c r="U3" s="3184" t="s">
        <v>3530</v>
      </c>
      <c r="V3" s="3184" t="s">
        <v>3530</v>
      </c>
      <c r="W3" s="3184" t="s">
        <v>3530</v>
      </c>
      <c r="X3" s="3184" t="s">
        <v>3542</v>
      </c>
      <c r="Y3" s="3184" t="s">
        <v>3543</v>
      </c>
      <c r="Z3" s="3184" t="s">
        <v>3544</v>
      </c>
    </row>
    <row r="4" spans="1:26" s="3184" customFormat="1">
      <c r="A4" s="3183" t="s">
        <v>3545</v>
      </c>
      <c r="B4" s="3184" t="s">
        <v>3539</v>
      </c>
      <c r="C4" s="3184" t="s">
        <v>3531</v>
      </c>
      <c r="D4" s="3184" t="s">
        <v>3531</v>
      </c>
      <c r="E4" s="3184" t="s">
        <v>3532</v>
      </c>
      <c r="F4" s="3184" t="s">
        <v>673</v>
      </c>
      <c r="G4" s="3184">
        <v>815.04</v>
      </c>
      <c r="H4" s="3184" t="s">
        <v>3530</v>
      </c>
      <c r="I4" s="3185">
        <v>45870.333831018521</v>
      </c>
      <c r="J4" s="3185">
        <v>45871.333831018521</v>
      </c>
      <c r="K4" s="3184">
        <v>1</v>
      </c>
      <c r="L4" s="3184" t="s">
        <v>3540</v>
      </c>
      <c r="M4" s="3184" t="s">
        <v>3541</v>
      </c>
      <c r="N4" s="3184">
        <v>2101.8829999999998</v>
      </c>
      <c r="O4" s="3184">
        <v>3002.69</v>
      </c>
      <c r="P4" s="3184">
        <v>2101.8829999999998</v>
      </c>
      <c r="Q4" s="3184">
        <v>3002.69</v>
      </c>
      <c r="R4" s="3184" t="s">
        <v>3530</v>
      </c>
      <c r="S4" s="3184">
        <v>70</v>
      </c>
      <c r="T4" s="3184" t="s">
        <v>3530</v>
      </c>
      <c r="U4" s="3184">
        <v>25788.71</v>
      </c>
      <c r="V4" s="3184">
        <v>36841.01</v>
      </c>
      <c r="W4" s="3184" t="s">
        <v>3530</v>
      </c>
      <c r="X4" s="3184" t="s">
        <v>3542</v>
      </c>
      <c r="Y4" s="3184" t="s">
        <v>3543</v>
      </c>
      <c r="Z4" s="3184" t="s">
        <v>3546</v>
      </c>
    </row>
    <row r="5" spans="1:26" ht="28.5" hidden="1">
      <c r="A5" s="3180" t="s">
        <v>3547</v>
      </c>
      <c r="B5" s="3181" t="s">
        <v>3530</v>
      </c>
      <c r="C5" s="3181" t="s">
        <v>3531</v>
      </c>
      <c r="D5" s="3181" t="s">
        <v>3531</v>
      </c>
      <c r="E5" s="3181" t="s">
        <v>3532</v>
      </c>
      <c r="F5" s="3181" t="s">
        <v>673</v>
      </c>
      <c r="G5" s="3181">
        <v>489.6</v>
      </c>
      <c r="H5" s="3181" t="s">
        <v>3530</v>
      </c>
      <c r="I5" s="3182">
        <v>45870.333831018521</v>
      </c>
      <c r="J5" s="3182">
        <v>45871.333831018521</v>
      </c>
      <c r="K5" s="3181">
        <v>1</v>
      </c>
      <c r="L5" s="3181" t="s">
        <v>3540</v>
      </c>
      <c r="M5" s="3181" t="s">
        <v>3541</v>
      </c>
      <c r="N5" s="3181">
        <v>1134.53</v>
      </c>
      <c r="O5" s="3181">
        <v>1134.53</v>
      </c>
      <c r="P5" s="3181">
        <v>1134.53</v>
      </c>
      <c r="Q5" s="3181">
        <v>1134.53</v>
      </c>
      <c r="R5" s="3181" t="s">
        <v>3530</v>
      </c>
      <c r="S5" s="3181">
        <v>100</v>
      </c>
      <c r="T5" s="3181" t="s">
        <v>3530</v>
      </c>
      <c r="U5" s="3181">
        <v>23172.59</v>
      </c>
      <c r="V5" s="3181">
        <v>23172.59</v>
      </c>
      <c r="W5" s="3181" t="s">
        <v>3530</v>
      </c>
      <c r="X5" s="3181" t="s">
        <v>3548</v>
      </c>
      <c r="Y5" s="3181" t="s">
        <v>3549</v>
      </c>
      <c r="Z5" s="3181" t="s">
        <v>3550</v>
      </c>
    </row>
    <row r="6" spans="1:26" hidden="1">
      <c r="A6" s="3180" t="s">
        <v>3551</v>
      </c>
      <c r="B6" s="3181" t="s">
        <v>3530</v>
      </c>
      <c r="C6" s="3181" t="s">
        <v>3531</v>
      </c>
      <c r="D6" s="3181" t="s">
        <v>3531</v>
      </c>
      <c r="E6" s="3181" t="s">
        <v>3532</v>
      </c>
      <c r="F6" s="3181" t="s">
        <v>673</v>
      </c>
      <c r="G6" s="3181">
        <v>153.74</v>
      </c>
      <c r="H6" s="3181" t="s">
        <v>3530</v>
      </c>
      <c r="I6" s="3182">
        <v>45870.333831018521</v>
      </c>
      <c r="J6" s="3182">
        <v>45871.333831018521</v>
      </c>
      <c r="K6" s="3181">
        <v>1</v>
      </c>
      <c r="L6" s="3181" t="s">
        <v>3540</v>
      </c>
      <c r="M6" s="3181" t="s">
        <v>3541</v>
      </c>
      <c r="N6" s="3181">
        <v>360.07</v>
      </c>
      <c r="O6" s="3181">
        <v>360.07</v>
      </c>
      <c r="P6" s="3181">
        <v>360.07</v>
      </c>
      <c r="Q6" s="3181">
        <v>360.07</v>
      </c>
      <c r="R6" s="3181" t="s">
        <v>3530</v>
      </c>
      <c r="S6" s="3181">
        <v>100</v>
      </c>
      <c r="T6" s="3181" t="s">
        <v>3530</v>
      </c>
      <c r="U6" s="3181">
        <v>23420.71</v>
      </c>
      <c r="V6" s="3181">
        <v>23420.71</v>
      </c>
      <c r="W6" s="3181" t="s">
        <v>3530</v>
      </c>
      <c r="X6" s="3181" t="s">
        <v>3548</v>
      </c>
      <c r="Y6" s="3181" t="s">
        <v>3549</v>
      </c>
      <c r="Z6" s="3181" t="s">
        <v>3552</v>
      </c>
    </row>
    <row r="7" spans="1:26" hidden="1">
      <c r="A7" s="3180" t="s">
        <v>3553</v>
      </c>
      <c r="B7" s="3181" t="s">
        <v>3530</v>
      </c>
      <c r="C7" s="3181" t="s">
        <v>3531</v>
      </c>
      <c r="D7" s="3181" t="s">
        <v>3531</v>
      </c>
      <c r="E7" s="3181" t="s">
        <v>3532</v>
      </c>
      <c r="F7" s="3181" t="s">
        <v>673</v>
      </c>
      <c r="G7" s="3181">
        <v>125.51</v>
      </c>
      <c r="H7" s="3181" t="s">
        <v>3530</v>
      </c>
      <c r="I7" s="3182">
        <v>45870.333831018521</v>
      </c>
      <c r="J7" s="3182">
        <v>45871.333831018521</v>
      </c>
      <c r="K7" s="3181">
        <v>1</v>
      </c>
      <c r="L7" s="3181" t="s">
        <v>3540</v>
      </c>
      <c r="M7" s="3181" t="s">
        <v>3541</v>
      </c>
      <c r="N7" s="3181">
        <v>297.25</v>
      </c>
      <c r="O7" s="3181">
        <v>297.25</v>
      </c>
      <c r="P7" s="3181">
        <v>297.25</v>
      </c>
      <c r="Q7" s="3181">
        <v>297.25</v>
      </c>
      <c r="R7" s="3181" t="s">
        <v>3530</v>
      </c>
      <c r="S7" s="3181">
        <v>100</v>
      </c>
      <c r="T7" s="3181" t="s">
        <v>3530</v>
      </c>
      <c r="U7" s="3181">
        <v>23683.37</v>
      </c>
      <c r="V7" s="3181">
        <v>23683.37</v>
      </c>
      <c r="W7" s="3181" t="s">
        <v>3530</v>
      </c>
      <c r="X7" s="3181" t="s">
        <v>3548</v>
      </c>
      <c r="Y7" s="3181" t="s">
        <v>3549</v>
      </c>
      <c r="Z7" s="3181" t="s">
        <v>3554</v>
      </c>
    </row>
    <row r="8" spans="1:26" hidden="1">
      <c r="A8" s="3180" t="s">
        <v>3555</v>
      </c>
      <c r="B8" s="3181" t="s">
        <v>3530</v>
      </c>
      <c r="C8" s="3181" t="s">
        <v>3531</v>
      </c>
      <c r="D8" s="3181" t="s">
        <v>3531</v>
      </c>
      <c r="E8" s="3181" t="s">
        <v>3532</v>
      </c>
      <c r="F8" s="3181" t="s">
        <v>673</v>
      </c>
      <c r="G8" s="3181">
        <v>114.18</v>
      </c>
      <c r="H8" s="3181" t="s">
        <v>3530</v>
      </c>
      <c r="I8" s="3182">
        <v>45870.333831018521</v>
      </c>
      <c r="J8" s="3182">
        <v>45871.333831018521</v>
      </c>
      <c r="K8" s="3181">
        <v>1</v>
      </c>
      <c r="L8" s="3181" t="s">
        <v>3540</v>
      </c>
      <c r="M8" s="3181" t="s">
        <v>3541</v>
      </c>
      <c r="N8" s="3181">
        <v>275.11</v>
      </c>
      <c r="O8" s="3181">
        <v>275.11</v>
      </c>
      <c r="P8" s="3181">
        <v>275.11</v>
      </c>
      <c r="Q8" s="3181">
        <v>275.11</v>
      </c>
      <c r="R8" s="3181" t="s">
        <v>3530</v>
      </c>
      <c r="S8" s="3181">
        <v>100</v>
      </c>
      <c r="T8" s="3181" t="s">
        <v>3530</v>
      </c>
      <c r="U8" s="3181">
        <v>24094.41</v>
      </c>
      <c r="V8" s="3181">
        <v>24094.41</v>
      </c>
      <c r="W8" s="3181" t="s">
        <v>3530</v>
      </c>
      <c r="X8" s="3181" t="s">
        <v>3548</v>
      </c>
      <c r="Y8" s="3181" t="s">
        <v>3549</v>
      </c>
      <c r="Z8" s="3181" t="s">
        <v>3556</v>
      </c>
    </row>
    <row r="9" spans="1:26" hidden="1">
      <c r="A9" s="3180" t="s">
        <v>3557</v>
      </c>
      <c r="B9" s="3181" t="s">
        <v>3558</v>
      </c>
      <c r="C9" s="3181" t="s">
        <v>3531</v>
      </c>
      <c r="D9" s="3181" t="s">
        <v>3531</v>
      </c>
      <c r="E9" s="3181" t="s">
        <v>3532</v>
      </c>
      <c r="F9" s="3181" t="s">
        <v>673</v>
      </c>
      <c r="G9" s="3181">
        <v>84.51</v>
      </c>
      <c r="H9" s="3181" t="s">
        <v>3530</v>
      </c>
      <c r="I9" s="3182">
        <v>45692.333831018521</v>
      </c>
      <c r="J9" s="3182">
        <v>45693.333831018521</v>
      </c>
      <c r="K9" s="3181">
        <v>1</v>
      </c>
      <c r="L9" s="3181" t="s">
        <v>3559</v>
      </c>
      <c r="M9" s="3181" t="s">
        <v>3541</v>
      </c>
      <c r="N9" s="3181">
        <v>227.61924999999999</v>
      </c>
      <c r="O9" s="3181">
        <v>227.619</v>
      </c>
      <c r="P9" s="3181">
        <v>227.61924999999999</v>
      </c>
      <c r="Q9" s="3181">
        <v>227.619</v>
      </c>
      <c r="R9" s="3181">
        <v>227.61924999999999</v>
      </c>
      <c r="S9" s="3181">
        <v>100</v>
      </c>
      <c r="T9" s="3181">
        <v>100</v>
      </c>
      <c r="U9" s="3181">
        <v>26934</v>
      </c>
      <c r="V9" s="3181">
        <v>26933.97</v>
      </c>
      <c r="W9" s="3181">
        <v>26934</v>
      </c>
      <c r="X9" s="3181" t="s">
        <v>3548</v>
      </c>
      <c r="Y9" s="3181" t="s">
        <v>3560</v>
      </c>
      <c r="Z9" s="3181" t="s">
        <v>3561</v>
      </c>
    </row>
    <row r="10" spans="1:26" ht="28.5" hidden="1">
      <c r="A10" s="3180" t="s">
        <v>3562</v>
      </c>
      <c r="B10" s="3181" t="s">
        <v>3563</v>
      </c>
      <c r="C10" s="3181" t="s">
        <v>3531</v>
      </c>
      <c r="D10" s="3181" t="s">
        <v>3531</v>
      </c>
      <c r="E10" s="3181" t="s">
        <v>3532</v>
      </c>
      <c r="F10" s="3181" t="s">
        <v>673</v>
      </c>
      <c r="G10" s="3181">
        <v>173.51</v>
      </c>
      <c r="H10" s="3181" t="s">
        <v>3530</v>
      </c>
      <c r="I10" s="3182">
        <v>45649.333831018521</v>
      </c>
      <c r="J10" s="3182">
        <v>45684.333831018521</v>
      </c>
      <c r="K10" s="3181">
        <v>34</v>
      </c>
      <c r="L10" s="3181" t="s">
        <v>3559</v>
      </c>
      <c r="M10" s="3181" t="s">
        <v>3534</v>
      </c>
      <c r="N10" s="3181">
        <v>318.75</v>
      </c>
      <c r="O10" s="3181">
        <v>425</v>
      </c>
      <c r="P10" s="3181">
        <v>286.875</v>
      </c>
      <c r="Q10" s="3181">
        <v>425</v>
      </c>
      <c r="R10" s="3181">
        <v>286.875</v>
      </c>
      <c r="S10" s="3181">
        <v>68</v>
      </c>
      <c r="T10" s="3181">
        <v>68</v>
      </c>
      <c r="U10" s="3181">
        <v>16533.63</v>
      </c>
      <c r="V10" s="3181">
        <v>24494.27</v>
      </c>
      <c r="W10" s="3181">
        <v>16533.63</v>
      </c>
      <c r="X10" s="3181" t="s">
        <v>3564</v>
      </c>
      <c r="Y10" s="3181" t="s">
        <v>3565</v>
      </c>
      <c r="Z10" s="3181" t="s">
        <v>3566</v>
      </c>
    </row>
    <row r="11" spans="1:26" ht="28.5" hidden="1">
      <c r="A11" s="3180" t="s">
        <v>3567</v>
      </c>
      <c r="B11" s="3181" t="s">
        <v>3563</v>
      </c>
      <c r="C11" s="3181" t="s">
        <v>3531</v>
      </c>
      <c r="D11" s="3181" t="s">
        <v>3531</v>
      </c>
      <c r="E11" s="3181" t="s">
        <v>3532</v>
      </c>
      <c r="F11" s="3181" t="s">
        <v>673</v>
      </c>
      <c r="G11" s="3181" t="s">
        <v>3530</v>
      </c>
      <c r="H11" s="3181" t="s">
        <v>3530</v>
      </c>
      <c r="I11" s="3182">
        <v>45649.333831018521</v>
      </c>
      <c r="J11" s="3182">
        <v>45684.333831018521</v>
      </c>
      <c r="K11" s="3181">
        <v>34</v>
      </c>
      <c r="L11" s="3181" t="s">
        <v>3559</v>
      </c>
      <c r="M11" s="3181" t="s">
        <v>3534</v>
      </c>
      <c r="N11" s="3181">
        <v>318.75</v>
      </c>
      <c r="O11" s="3181">
        <v>425</v>
      </c>
      <c r="P11" s="3181">
        <v>286.875</v>
      </c>
      <c r="Q11" s="3181">
        <v>425</v>
      </c>
      <c r="R11" s="3181">
        <v>286.875</v>
      </c>
      <c r="S11" s="3181">
        <v>68</v>
      </c>
      <c r="T11" s="3181">
        <v>68</v>
      </c>
      <c r="U11" s="3181" t="s">
        <v>3530</v>
      </c>
      <c r="V11" s="3181" t="s">
        <v>3530</v>
      </c>
      <c r="W11" s="3181" t="s">
        <v>3530</v>
      </c>
      <c r="X11" s="3181" t="s">
        <v>3564</v>
      </c>
      <c r="Y11" s="3181" t="s">
        <v>3565</v>
      </c>
      <c r="Z11" s="3181" t="s">
        <v>3568</v>
      </c>
    </row>
    <row r="12" spans="1:26" ht="42.75" hidden="1">
      <c r="A12" s="3180" t="s">
        <v>3569</v>
      </c>
      <c r="B12" s="3181" t="s">
        <v>3570</v>
      </c>
      <c r="C12" s="3181" t="s">
        <v>3531</v>
      </c>
      <c r="D12" s="3181" t="s">
        <v>3531</v>
      </c>
      <c r="E12" s="3181" t="s">
        <v>3532</v>
      </c>
      <c r="F12" s="3181" t="s">
        <v>673</v>
      </c>
      <c r="G12" s="3181">
        <v>239.69</v>
      </c>
      <c r="H12" s="3181" t="s">
        <v>3530</v>
      </c>
      <c r="I12" s="3182">
        <v>45683.333831018521</v>
      </c>
      <c r="J12" s="3182">
        <v>45684.333831018521</v>
      </c>
      <c r="K12" s="3181">
        <v>1</v>
      </c>
      <c r="L12" s="3181" t="s">
        <v>3559</v>
      </c>
      <c r="M12" s="3181" t="s">
        <v>3541</v>
      </c>
      <c r="N12" s="3181">
        <v>411.04</v>
      </c>
      <c r="O12" s="3181">
        <v>587.20000000000005</v>
      </c>
      <c r="P12" s="3181">
        <v>411.04</v>
      </c>
      <c r="Q12" s="3181">
        <v>587.20000000000005</v>
      </c>
      <c r="R12" s="3181">
        <v>411.04</v>
      </c>
      <c r="S12" s="3181">
        <v>70</v>
      </c>
      <c r="T12" s="3181">
        <v>70</v>
      </c>
      <c r="U12" s="3181">
        <v>17148.82</v>
      </c>
      <c r="V12" s="3181">
        <v>24498.31</v>
      </c>
      <c r="W12" s="3181">
        <v>17148.82</v>
      </c>
      <c r="X12" s="3181" t="s">
        <v>3542</v>
      </c>
      <c r="Y12" s="3181" t="s">
        <v>3565</v>
      </c>
      <c r="Z12" s="3181" t="s">
        <v>3571</v>
      </c>
    </row>
    <row r="13" spans="1:26" ht="42.75" hidden="1">
      <c r="A13" s="3180" t="s">
        <v>3572</v>
      </c>
      <c r="B13" s="3181" t="s">
        <v>3570</v>
      </c>
      <c r="C13" s="3181" t="s">
        <v>3531</v>
      </c>
      <c r="D13" s="3181" t="s">
        <v>3531</v>
      </c>
      <c r="E13" s="3181" t="s">
        <v>3532</v>
      </c>
      <c r="F13" s="3181" t="s">
        <v>673</v>
      </c>
      <c r="G13" s="3181">
        <v>327.25</v>
      </c>
      <c r="H13" s="3181" t="s">
        <v>3530</v>
      </c>
      <c r="I13" s="3182">
        <v>45683.333831018521</v>
      </c>
      <c r="J13" s="3182">
        <v>45684.333831018521</v>
      </c>
      <c r="K13" s="3181">
        <v>1</v>
      </c>
      <c r="L13" s="3181" t="s">
        <v>3559</v>
      </c>
      <c r="M13" s="3181" t="s">
        <v>3541</v>
      </c>
      <c r="N13" s="3181">
        <v>561.19000000000005</v>
      </c>
      <c r="O13" s="3181">
        <v>801.7</v>
      </c>
      <c r="P13" s="3181">
        <v>561.19000000000005</v>
      </c>
      <c r="Q13" s="3181">
        <v>801.7</v>
      </c>
      <c r="R13" s="3181">
        <v>561.19000000000005</v>
      </c>
      <c r="S13" s="3181">
        <v>70</v>
      </c>
      <c r="T13" s="3181">
        <v>70</v>
      </c>
      <c r="U13" s="3181">
        <v>17148.66</v>
      </c>
      <c r="V13" s="3181">
        <v>24498.09</v>
      </c>
      <c r="W13" s="3181">
        <v>17148.66</v>
      </c>
      <c r="X13" s="3181" t="s">
        <v>3542</v>
      </c>
      <c r="Y13" s="3181" t="s">
        <v>3565</v>
      </c>
      <c r="Z13" s="3181" t="s">
        <v>3573</v>
      </c>
    </row>
    <row r="14" spans="1:26" ht="57" hidden="1">
      <c r="A14" s="3180" t="s">
        <v>3574</v>
      </c>
      <c r="B14" s="3181" t="s">
        <v>3570</v>
      </c>
      <c r="C14" s="3181" t="s">
        <v>3531</v>
      </c>
      <c r="D14" s="3181" t="s">
        <v>3531</v>
      </c>
      <c r="E14" s="3181" t="s">
        <v>3532</v>
      </c>
      <c r="F14" s="3181" t="s">
        <v>673</v>
      </c>
      <c r="G14" s="3181">
        <v>386.47</v>
      </c>
      <c r="H14" s="3181" t="s">
        <v>3530</v>
      </c>
      <c r="I14" s="3182">
        <v>45683.333831018521</v>
      </c>
      <c r="J14" s="3182">
        <v>45684.333831018521</v>
      </c>
      <c r="K14" s="3181">
        <v>1</v>
      </c>
      <c r="L14" s="3181" t="s">
        <v>3559</v>
      </c>
      <c r="M14" s="3181" t="s">
        <v>3541</v>
      </c>
      <c r="N14" s="3181">
        <v>662.62</v>
      </c>
      <c r="O14" s="3181">
        <v>946.6</v>
      </c>
      <c r="P14" s="3181">
        <v>662.62</v>
      </c>
      <c r="Q14" s="3181">
        <v>946.6</v>
      </c>
      <c r="R14" s="3181">
        <v>662.62</v>
      </c>
      <c r="S14" s="3181">
        <v>70</v>
      </c>
      <c r="T14" s="3181">
        <v>70</v>
      </c>
      <c r="U14" s="3181">
        <v>17145.439999999999</v>
      </c>
      <c r="V14" s="3181">
        <v>24493.49</v>
      </c>
      <c r="W14" s="3181">
        <v>17145.439999999999</v>
      </c>
      <c r="X14" s="3181" t="s">
        <v>3542</v>
      </c>
      <c r="Y14" s="3181" t="s">
        <v>3565</v>
      </c>
      <c r="Z14" s="3181" t="s">
        <v>3575</v>
      </c>
    </row>
    <row r="15" spans="1:26" ht="28.5" hidden="1">
      <c r="A15" s="3180" t="s">
        <v>3576</v>
      </c>
      <c r="B15" s="3181" t="s">
        <v>3563</v>
      </c>
      <c r="C15" s="3181" t="s">
        <v>3531</v>
      </c>
      <c r="D15" s="3181" t="s">
        <v>3531</v>
      </c>
      <c r="E15" s="3181" t="s">
        <v>3532</v>
      </c>
      <c r="F15" s="3181" t="s">
        <v>673</v>
      </c>
      <c r="G15" s="3181">
        <v>125.51</v>
      </c>
      <c r="H15" s="3181" t="s">
        <v>3530</v>
      </c>
      <c r="I15" s="3182">
        <v>45649.333831018521</v>
      </c>
      <c r="J15" s="3182">
        <v>45650.333831018521</v>
      </c>
      <c r="K15" s="3181" t="s">
        <v>3530</v>
      </c>
      <c r="L15" s="3181" t="s">
        <v>3559</v>
      </c>
      <c r="M15" s="3181" t="s">
        <v>3541</v>
      </c>
      <c r="N15" s="3181">
        <v>230.93600000000001</v>
      </c>
      <c r="O15" s="3181">
        <v>288.67</v>
      </c>
      <c r="P15" s="3181">
        <v>230.93600000000001</v>
      </c>
      <c r="Q15" s="3181">
        <v>288.67</v>
      </c>
      <c r="R15" s="3181">
        <v>249.93600000000001</v>
      </c>
      <c r="S15" s="3181">
        <v>80</v>
      </c>
      <c r="T15" s="3181">
        <v>87</v>
      </c>
      <c r="U15" s="3181">
        <v>18399.810000000001</v>
      </c>
      <c r="V15" s="3181">
        <v>22999.759999999998</v>
      </c>
      <c r="W15" s="3181">
        <v>19913.63</v>
      </c>
      <c r="X15" s="3181" t="s">
        <v>3577</v>
      </c>
      <c r="Y15" s="3181" t="s">
        <v>3565</v>
      </c>
      <c r="Z15" s="3181" t="s">
        <v>3578</v>
      </c>
    </row>
    <row r="16" spans="1:26" ht="28.5" hidden="1">
      <c r="A16" s="3180" t="s">
        <v>3579</v>
      </c>
      <c r="B16" s="3181" t="s">
        <v>3563</v>
      </c>
      <c r="C16" s="3181" t="s">
        <v>3531</v>
      </c>
      <c r="D16" s="3181" t="s">
        <v>3531</v>
      </c>
      <c r="E16" s="3181" t="s">
        <v>3532</v>
      </c>
      <c r="F16" s="3181" t="s">
        <v>673</v>
      </c>
      <c r="G16" s="3181">
        <v>153.74</v>
      </c>
      <c r="H16" s="3181" t="s">
        <v>3530</v>
      </c>
      <c r="I16" s="3182">
        <v>45649.333831018521</v>
      </c>
      <c r="J16" s="3182">
        <v>45650.333831018521</v>
      </c>
      <c r="K16" s="3181" t="s">
        <v>3530</v>
      </c>
      <c r="L16" s="3181" t="s">
        <v>3559</v>
      </c>
      <c r="M16" s="3181" t="s">
        <v>3541</v>
      </c>
      <c r="N16" s="3181">
        <v>282.88</v>
      </c>
      <c r="O16" s="3181">
        <v>353.6</v>
      </c>
      <c r="P16" s="3181">
        <v>282.88</v>
      </c>
      <c r="Q16" s="3181">
        <v>353.6</v>
      </c>
      <c r="R16" s="3181">
        <v>324.88</v>
      </c>
      <c r="S16" s="3181">
        <v>80</v>
      </c>
      <c r="T16" s="3181">
        <v>92</v>
      </c>
      <c r="U16" s="3181">
        <v>18399.900000000001</v>
      </c>
      <c r="V16" s="3181">
        <v>22999.87</v>
      </c>
      <c r="W16" s="3181">
        <v>21131.78</v>
      </c>
      <c r="X16" s="3181" t="s">
        <v>3577</v>
      </c>
      <c r="Y16" s="3181" t="s">
        <v>3565</v>
      </c>
      <c r="Z16" s="3181" t="s">
        <v>3580</v>
      </c>
    </row>
    <row r="17" spans="1:26" ht="28.5" hidden="1">
      <c r="A17" s="3180" t="s">
        <v>3581</v>
      </c>
      <c r="B17" s="3181" t="s">
        <v>3563</v>
      </c>
      <c r="C17" s="3181" t="s">
        <v>3531</v>
      </c>
      <c r="D17" s="3181" t="s">
        <v>3531</v>
      </c>
      <c r="E17" s="3181" t="s">
        <v>3532</v>
      </c>
      <c r="F17" s="3181" t="s">
        <v>673</v>
      </c>
      <c r="G17" s="3181">
        <v>114.18</v>
      </c>
      <c r="H17" s="3181" t="s">
        <v>3530</v>
      </c>
      <c r="I17" s="3182">
        <v>45649.333831018521</v>
      </c>
      <c r="J17" s="3182">
        <v>45650.333831018521</v>
      </c>
      <c r="K17" s="3181" t="s">
        <v>3530</v>
      </c>
      <c r="L17" s="3181" t="s">
        <v>3559</v>
      </c>
      <c r="M17" s="3181" t="s">
        <v>3541</v>
      </c>
      <c r="N17" s="3181">
        <v>210.08799999999999</v>
      </c>
      <c r="O17" s="3181">
        <v>262.61</v>
      </c>
      <c r="P17" s="3181">
        <v>210.08799999999999</v>
      </c>
      <c r="Q17" s="3181">
        <v>262.61</v>
      </c>
      <c r="R17" s="3181">
        <v>242.08799999999999</v>
      </c>
      <c r="S17" s="3181">
        <v>80</v>
      </c>
      <c r="T17" s="3181">
        <v>92</v>
      </c>
      <c r="U17" s="3181">
        <v>18399.72</v>
      </c>
      <c r="V17" s="3181">
        <v>22999.65</v>
      </c>
      <c r="W17" s="3181">
        <v>21202.31</v>
      </c>
      <c r="X17" s="3181" t="s">
        <v>3577</v>
      </c>
      <c r="Y17" s="3181" t="s">
        <v>3565</v>
      </c>
      <c r="Z17" s="3181" t="s">
        <v>3582</v>
      </c>
    </row>
    <row r="18" spans="1:26" ht="28.5" hidden="1">
      <c r="A18" s="3180" t="s">
        <v>3583</v>
      </c>
      <c r="B18" s="3181" t="s">
        <v>3563</v>
      </c>
      <c r="C18" s="3181" t="s">
        <v>3531</v>
      </c>
      <c r="D18" s="3181" t="s">
        <v>3531</v>
      </c>
      <c r="E18" s="3181" t="s">
        <v>3532</v>
      </c>
      <c r="F18" s="3181" t="s">
        <v>673</v>
      </c>
      <c r="G18" s="3181">
        <v>106.48</v>
      </c>
      <c r="H18" s="3181" t="s">
        <v>3530</v>
      </c>
      <c r="I18" s="3182">
        <v>45649.333831018521</v>
      </c>
      <c r="J18" s="3182">
        <v>45650.333831018521</v>
      </c>
      <c r="K18" s="3181" t="s">
        <v>3530</v>
      </c>
      <c r="L18" s="3181" t="s">
        <v>3559</v>
      </c>
      <c r="M18" s="3181" t="s">
        <v>3541</v>
      </c>
      <c r="N18" s="3181">
        <v>195.92</v>
      </c>
      <c r="O18" s="3181">
        <v>244.9</v>
      </c>
      <c r="P18" s="3181">
        <v>195.92</v>
      </c>
      <c r="Q18" s="3181">
        <v>244.9</v>
      </c>
      <c r="R18" s="3181">
        <v>195.92</v>
      </c>
      <c r="S18" s="3181">
        <v>80</v>
      </c>
      <c r="T18" s="3181">
        <v>80</v>
      </c>
      <c r="U18" s="3181">
        <v>18399.7</v>
      </c>
      <c r="V18" s="3181">
        <v>22999.62</v>
      </c>
      <c r="W18" s="3181">
        <v>18399.7</v>
      </c>
      <c r="X18" s="3181" t="s">
        <v>3577</v>
      </c>
      <c r="Y18" s="3181" t="s">
        <v>3565</v>
      </c>
      <c r="Z18" s="3181" t="s">
        <v>3584</v>
      </c>
    </row>
    <row r="19" spans="1:26" s="3184" customFormat="1">
      <c r="A19" s="3183" t="s">
        <v>3769</v>
      </c>
      <c r="B19" s="3184" t="s">
        <v>3558</v>
      </c>
      <c r="C19" s="3184" t="s">
        <v>3531</v>
      </c>
      <c r="D19" s="3184" t="s">
        <v>3531</v>
      </c>
      <c r="E19" s="3184" t="s">
        <v>3532</v>
      </c>
      <c r="F19" s="3184" t="s">
        <v>673</v>
      </c>
      <c r="G19" s="3184">
        <v>87.37</v>
      </c>
      <c r="H19" s="3184" t="s">
        <v>3530</v>
      </c>
      <c r="I19" s="3185">
        <v>45648.333831018521</v>
      </c>
      <c r="J19" s="3185">
        <v>45649.333831018521</v>
      </c>
      <c r="K19" s="3184" t="s">
        <v>3530</v>
      </c>
      <c r="L19" s="3184" t="s">
        <v>3559</v>
      </c>
      <c r="M19" s="3184" t="s">
        <v>3541</v>
      </c>
      <c r="N19" s="3184">
        <v>221.59412499999999</v>
      </c>
      <c r="O19" s="3184">
        <v>260.69897500000002</v>
      </c>
      <c r="P19" s="3184">
        <v>221.59412499999999</v>
      </c>
      <c r="Q19" s="3184">
        <v>260.69897500000002</v>
      </c>
      <c r="R19" s="3184">
        <v>221.59412499999999</v>
      </c>
      <c r="S19" s="3184">
        <v>85</v>
      </c>
      <c r="T19" s="3184">
        <v>85</v>
      </c>
      <c r="U19" s="3184">
        <v>25362.720000000001</v>
      </c>
      <c r="V19" s="3184">
        <v>29838.5</v>
      </c>
      <c r="W19" s="3184">
        <v>25362.720000000001</v>
      </c>
      <c r="X19" s="3184" t="s">
        <v>3585</v>
      </c>
      <c r="Y19" s="3184" t="s">
        <v>3586</v>
      </c>
      <c r="Z19" s="3195" t="s">
        <v>3766</v>
      </c>
    </row>
    <row r="20" spans="1:26" s="3187" customFormat="1" ht="42.75">
      <c r="A20" s="3186" t="s">
        <v>3587</v>
      </c>
      <c r="B20" s="3187" t="s">
        <v>3558</v>
      </c>
      <c r="C20" s="3187" t="s">
        <v>3531</v>
      </c>
      <c r="D20" s="3187" t="s">
        <v>3531</v>
      </c>
      <c r="E20" s="3187" t="s">
        <v>3532</v>
      </c>
      <c r="F20" s="3187" t="s">
        <v>673</v>
      </c>
      <c r="G20" s="3187">
        <v>199.41</v>
      </c>
      <c r="H20" s="3187" t="s">
        <v>3530</v>
      </c>
      <c r="I20" s="3188">
        <v>45643.333831018521</v>
      </c>
      <c r="J20" s="3188">
        <v>45644.333831018521</v>
      </c>
      <c r="K20" s="3187" t="s">
        <v>3530</v>
      </c>
      <c r="L20" s="3187" t="s">
        <v>3588</v>
      </c>
      <c r="M20" s="3187" t="s">
        <v>3541</v>
      </c>
      <c r="N20" s="3187">
        <v>804.976</v>
      </c>
      <c r="O20" s="3187">
        <v>1006.22</v>
      </c>
      <c r="P20" s="3187">
        <v>804.976</v>
      </c>
      <c r="Q20" s="3187">
        <v>1006.22</v>
      </c>
      <c r="R20" s="3187" t="s">
        <v>3530</v>
      </c>
      <c r="S20" s="3187">
        <v>80</v>
      </c>
      <c r="T20" s="3187" t="s">
        <v>3530</v>
      </c>
      <c r="U20" s="3187">
        <v>40367.89</v>
      </c>
      <c r="V20" s="3187">
        <v>50459.86</v>
      </c>
      <c r="W20" s="3187" t="s">
        <v>3530</v>
      </c>
      <c r="X20" s="3187" t="s">
        <v>3577</v>
      </c>
      <c r="Y20" s="3187" t="s">
        <v>3589</v>
      </c>
      <c r="Z20" s="3187" t="s">
        <v>3590</v>
      </c>
    </row>
    <row r="21" spans="1:26" hidden="1">
      <c r="A21" s="3180" t="s">
        <v>3591</v>
      </c>
      <c r="B21" s="3181" t="s">
        <v>3592</v>
      </c>
      <c r="C21" s="3181" t="s">
        <v>3531</v>
      </c>
      <c r="D21" s="3181" t="s">
        <v>3531</v>
      </c>
      <c r="E21" s="3181" t="s">
        <v>3532</v>
      </c>
      <c r="F21" s="3181" t="s">
        <v>673</v>
      </c>
      <c r="G21" s="3181" t="s">
        <v>3530</v>
      </c>
      <c r="H21" s="3181" t="s">
        <v>3530</v>
      </c>
      <c r="I21" s="3182">
        <v>45522.333831018521</v>
      </c>
      <c r="J21" s="3182">
        <v>45523.333831018521</v>
      </c>
      <c r="K21" s="3181">
        <v>1</v>
      </c>
      <c r="L21" s="3181" t="s">
        <v>3559</v>
      </c>
      <c r="M21" s="3181" t="s">
        <v>3541</v>
      </c>
      <c r="N21" s="3181">
        <v>235</v>
      </c>
      <c r="O21" s="3181">
        <v>334.71899999999999</v>
      </c>
      <c r="P21" s="3181">
        <v>235</v>
      </c>
      <c r="Q21" s="3181">
        <v>334.71899999999999</v>
      </c>
      <c r="R21" s="3181">
        <v>391</v>
      </c>
      <c r="S21" s="3181">
        <v>70</v>
      </c>
      <c r="T21" s="3181">
        <v>117</v>
      </c>
      <c r="U21" s="3181" t="s">
        <v>3530</v>
      </c>
      <c r="V21" s="3181" t="s">
        <v>3530</v>
      </c>
      <c r="W21" s="3181" t="s">
        <v>3530</v>
      </c>
      <c r="X21" s="3181" t="s">
        <v>3542</v>
      </c>
      <c r="Y21" s="3181" t="s">
        <v>3593</v>
      </c>
      <c r="Z21" s="3181" t="s">
        <v>3594</v>
      </c>
    </row>
    <row r="22" spans="1:26" hidden="1">
      <c r="A22" s="3180" t="s">
        <v>3595</v>
      </c>
      <c r="B22" s="3181" t="s">
        <v>3592</v>
      </c>
      <c r="C22" s="3181" t="s">
        <v>3531</v>
      </c>
      <c r="D22" s="3181" t="s">
        <v>3531</v>
      </c>
      <c r="E22" s="3181" t="s">
        <v>3532</v>
      </c>
      <c r="F22" s="3181" t="s">
        <v>673</v>
      </c>
      <c r="G22" s="3181" t="s">
        <v>3530</v>
      </c>
      <c r="H22" s="3181" t="s">
        <v>3530</v>
      </c>
      <c r="I22" s="3182">
        <v>45522.333831018521</v>
      </c>
      <c r="J22" s="3182">
        <v>45523.333831018521</v>
      </c>
      <c r="K22" s="3181">
        <v>1</v>
      </c>
      <c r="L22" s="3181" t="s">
        <v>3559</v>
      </c>
      <c r="M22" s="3181" t="s">
        <v>3541</v>
      </c>
      <c r="N22" s="3181">
        <v>274</v>
      </c>
      <c r="O22" s="3181">
        <v>391.10199999999998</v>
      </c>
      <c r="P22" s="3181">
        <v>274</v>
      </c>
      <c r="Q22" s="3181">
        <v>391.10199999999998</v>
      </c>
      <c r="R22" s="3181">
        <v>450</v>
      </c>
      <c r="S22" s="3181">
        <v>70</v>
      </c>
      <c r="T22" s="3181">
        <v>115</v>
      </c>
      <c r="U22" s="3181" t="s">
        <v>3530</v>
      </c>
      <c r="V22" s="3181" t="s">
        <v>3530</v>
      </c>
      <c r="W22" s="3181" t="s">
        <v>3530</v>
      </c>
      <c r="X22" s="3181" t="s">
        <v>3542</v>
      </c>
      <c r="Y22" s="3181" t="s">
        <v>3593</v>
      </c>
      <c r="Z22" s="3181" t="s">
        <v>3596</v>
      </c>
    </row>
    <row r="23" spans="1:26" s="3184" customFormat="1" ht="28.5">
      <c r="A23" s="3183" t="s">
        <v>3767</v>
      </c>
      <c r="B23" s="3184" t="s">
        <v>3768</v>
      </c>
      <c r="C23" s="3184" t="s">
        <v>3531</v>
      </c>
      <c r="D23" s="3184" t="s">
        <v>3531</v>
      </c>
      <c r="E23" s="3184" t="s">
        <v>3532</v>
      </c>
      <c r="F23" s="3184" t="s">
        <v>673</v>
      </c>
      <c r="G23" s="3184">
        <v>1511.54</v>
      </c>
      <c r="H23" s="3184" t="s">
        <v>3530</v>
      </c>
      <c r="I23" s="3185">
        <v>45470.333831018521</v>
      </c>
      <c r="J23" s="3185">
        <v>45471.333831018521</v>
      </c>
      <c r="K23" s="3184">
        <v>1</v>
      </c>
      <c r="L23" s="3184" t="s">
        <v>3540</v>
      </c>
      <c r="M23" s="3184" t="s">
        <v>3541</v>
      </c>
      <c r="N23" s="3184">
        <v>6424.05</v>
      </c>
      <c r="O23" s="3184">
        <v>6424.05</v>
      </c>
      <c r="P23" s="3184">
        <v>6424.05</v>
      </c>
      <c r="Q23" s="3184">
        <v>6424.05</v>
      </c>
      <c r="R23" s="3184" t="s">
        <v>3530</v>
      </c>
      <c r="S23" s="3184">
        <v>100</v>
      </c>
      <c r="T23" s="3184" t="s">
        <v>3530</v>
      </c>
      <c r="U23" s="3184">
        <v>42500.03</v>
      </c>
      <c r="V23" s="3184">
        <v>42500.03</v>
      </c>
      <c r="W23" s="3184" t="s">
        <v>3530</v>
      </c>
      <c r="X23" s="3184" t="s">
        <v>3548</v>
      </c>
      <c r="Y23" s="3184" t="s">
        <v>3597</v>
      </c>
      <c r="Z23" s="3184" t="s">
        <v>3598</v>
      </c>
    </row>
    <row r="24" spans="1:26" hidden="1">
      <c r="A24" s="3180" t="s">
        <v>3599</v>
      </c>
      <c r="B24" s="3181" t="s">
        <v>3600</v>
      </c>
      <c r="C24" s="3181" t="s">
        <v>3531</v>
      </c>
      <c r="D24" s="3181" t="s">
        <v>3531</v>
      </c>
      <c r="E24" s="3181" t="s">
        <v>3532</v>
      </c>
      <c r="F24" s="3181" t="s">
        <v>673</v>
      </c>
      <c r="G24" s="3181">
        <v>55.89</v>
      </c>
      <c r="H24" s="3181" t="s">
        <v>3530</v>
      </c>
      <c r="I24" s="3182">
        <v>45315.333831018521</v>
      </c>
      <c r="J24" s="3182">
        <v>45351.333831018521</v>
      </c>
      <c r="K24" s="3181">
        <v>35</v>
      </c>
      <c r="L24" s="3181" t="s">
        <v>3559</v>
      </c>
      <c r="M24" s="3181" t="s">
        <v>3534</v>
      </c>
      <c r="N24" s="3181">
        <v>144</v>
      </c>
      <c r="O24" s="3181">
        <v>205.6454</v>
      </c>
      <c r="P24" s="3181">
        <v>116</v>
      </c>
      <c r="Q24" s="3181">
        <v>205.6454</v>
      </c>
      <c r="R24" s="3181">
        <v>154.5</v>
      </c>
      <c r="S24" s="3181">
        <v>56</v>
      </c>
      <c r="T24" s="3181">
        <v>75</v>
      </c>
      <c r="U24" s="3181">
        <v>20755.05</v>
      </c>
      <c r="V24" s="3181">
        <v>36794.67</v>
      </c>
      <c r="W24" s="3181">
        <v>27643.59</v>
      </c>
      <c r="X24" s="3181" t="s">
        <v>3535</v>
      </c>
      <c r="Y24" s="3181" t="s">
        <v>3601</v>
      </c>
      <c r="Z24" s="3181" t="s">
        <v>3602</v>
      </c>
    </row>
    <row r="25" spans="1:26" s="3197" customFormat="1">
      <c r="A25" s="3196" t="s">
        <v>3603</v>
      </c>
      <c r="B25" s="3197" t="s">
        <v>3530</v>
      </c>
      <c r="C25" s="3197" t="s">
        <v>3531</v>
      </c>
      <c r="D25" s="3197" t="s">
        <v>3531</v>
      </c>
      <c r="E25" s="3197" t="s">
        <v>3532</v>
      </c>
      <c r="F25" s="3197" t="s">
        <v>673</v>
      </c>
      <c r="G25" s="3197">
        <v>732.39</v>
      </c>
      <c r="H25" s="3197" t="s">
        <v>3530</v>
      </c>
      <c r="I25" s="3198">
        <v>45177.333831018521</v>
      </c>
      <c r="J25" s="3198">
        <v>45178.333831018521</v>
      </c>
      <c r="K25" s="3197" t="s">
        <v>3530</v>
      </c>
      <c r="L25" s="3197" t="s">
        <v>3588</v>
      </c>
      <c r="M25" s="3197" t="s">
        <v>3541</v>
      </c>
      <c r="N25" s="3197">
        <v>1750.6916000000001</v>
      </c>
      <c r="O25" s="3197">
        <v>2188.3645999999999</v>
      </c>
      <c r="P25" s="3197">
        <v>1750.6916000000001</v>
      </c>
      <c r="Q25" s="3197">
        <v>2188.3645999999999</v>
      </c>
      <c r="R25" s="3197" t="s">
        <v>3530</v>
      </c>
      <c r="S25" s="3197">
        <v>80</v>
      </c>
      <c r="T25" s="3197" t="s">
        <v>3530</v>
      </c>
      <c r="U25" s="3197">
        <v>23903.82</v>
      </c>
      <c r="V25" s="3197">
        <v>29879.77</v>
      </c>
      <c r="W25" s="3197" t="s">
        <v>3530</v>
      </c>
      <c r="X25" s="3197" t="s">
        <v>3577</v>
      </c>
      <c r="Y25" s="3197" t="s">
        <v>3604</v>
      </c>
      <c r="Z25" s="3197" t="s">
        <v>3605</v>
      </c>
    </row>
    <row r="26" spans="1:26" s="3184" customFormat="1">
      <c r="A26" s="3183" t="s">
        <v>3606</v>
      </c>
      <c r="B26" s="3184" t="s">
        <v>3530</v>
      </c>
      <c r="C26" s="3184" t="s">
        <v>3531</v>
      </c>
      <c r="D26" s="3184" t="s">
        <v>3531</v>
      </c>
      <c r="E26" s="3184" t="s">
        <v>3532</v>
      </c>
      <c r="F26" s="3184" t="s">
        <v>673</v>
      </c>
      <c r="G26" s="3184">
        <v>2031.17</v>
      </c>
      <c r="H26" s="3184" t="s">
        <v>3530</v>
      </c>
      <c r="I26" s="3185">
        <v>45177.333831018521</v>
      </c>
      <c r="J26" s="3185">
        <v>45178.333831018521</v>
      </c>
      <c r="K26" s="3184" t="s">
        <v>3530</v>
      </c>
      <c r="L26" s="3184" t="s">
        <v>3588</v>
      </c>
      <c r="M26" s="3184" t="s">
        <v>3541</v>
      </c>
      <c r="N26" s="3184">
        <v>4482.4395999999997</v>
      </c>
      <c r="O26" s="3184">
        <v>5603.0496000000003</v>
      </c>
      <c r="P26" s="3184">
        <v>4482.4395999999997</v>
      </c>
      <c r="Q26" s="3184">
        <v>5603.0496000000003</v>
      </c>
      <c r="R26" s="3184" t="s">
        <v>3530</v>
      </c>
      <c r="S26" s="3184">
        <v>80</v>
      </c>
      <c r="T26" s="3184" t="s">
        <v>3530</v>
      </c>
      <c r="U26" s="3184">
        <v>22068.26</v>
      </c>
      <c r="V26" s="3184">
        <v>27585.33</v>
      </c>
      <c r="W26" s="3184" t="s">
        <v>3530</v>
      </c>
      <c r="X26" s="3184" t="s">
        <v>3577</v>
      </c>
      <c r="Y26" s="3184" t="s">
        <v>3604</v>
      </c>
      <c r="Z26" s="3184" t="s">
        <v>3607</v>
      </c>
    </row>
    <row r="27" spans="1:26" hidden="1">
      <c r="A27" s="3180" t="s">
        <v>3608</v>
      </c>
      <c r="B27" s="3181" t="s">
        <v>3563</v>
      </c>
      <c r="C27" s="3181" t="s">
        <v>3531</v>
      </c>
      <c r="D27" s="3181" t="s">
        <v>3531</v>
      </c>
      <c r="E27" s="3181" t="s">
        <v>3532</v>
      </c>
      <c r="F27" s="3181" t="s">
        <v>673</v>
      </c>
      <c r="G27" s="3181">
        <v>90.85</v>
      </c>
      <c r="H27" s="3181" t="s">
        <v>3530</v>
      </c>
      <c r="I27" s="3182">
        <v>45089.333831018521</v>
      </c>
      <c r="J27" s="3182">
        <v>45150.333831018521</v>
      </c>
      <c r="K27" s="3181">
        <v>61</v>
      </c>
      <c r="L27" s="3181" t="s">
        <v>3559</v>
      </c>
      <c r="M27" s="3181" t="s">
        <v>3534</v>
      </c>
      <c r="N27" s="3181">
        <v>231.5</v>
      </c>
      <c r="O27" s="3181">
        <v>289.32</v>
      </c>
      <c r="P27" s="3181">
        <v>185.2</v>
      </c>
      <c r="Q27" s="3181">
        <v>289.32</v>
      </c>
      <c r="R27" s="3181">
        <v>201.4</v>
      </c>
      <c r="S27" s="3181">
        <v>64</v>
      </c>
      <c r="T27" s="3181">
        <v>70</v>
      </c>
      <c r="U27" s="3181">
        <v>20385.25</v>
      </c>
      <c r="V27" s="3181">
        <v>31845.9</v>
      </c>
      <c r="W27" s="3181">
        <v>22168.41</v>
      </c>
      <c r="X27" s="3181" t="s">
        <v>3609</v>
      </c>
      <c r="Y27" s="3181" t="s">
        <v>3610</v>
      </c>
      <c r="Z27" s="3181" t="s">
        <v>3611</v>
      </c>
    </row>
    <row r="28" spans="1:26" ht="42.75" hidden="1">
      <c r="A28" s="3180" t="s">
        <v>3612</v>
      </c>
      <c r="B28" s="3181" t="s">
        <v>3530</v>
      </c>
      <c r="C28" s="3181" t="s">
        <v>3531</v>
      </c>
      <c r="D28" s="3181" t="s">
        <v>3531</v>
      </c>
      <c r="E28" s="3181" t="s">
        <v>3532</v>
      </c>
      <c r="F28" s="3181" t="s">
        <v>673</v>
      </c>
      <c r="G28" s="3181">
        <v>1113.5</v>
      </c>
      <c r="H28" s="3181" t="s">
        <v>3530</v>
      </c>
      <c r="I28" s="3182">
        <v>45110.333831018521</v>
      </c>
      <c r="J28" s="3182">
        <v>45145.333831018521</v>
      </c>
      <c r="K28" s="3181">
        <v>34</v>
      </c>
      <c r="L28" s="3181" t="s">
        <v>3540</v>
      </c>
      <c r="M28" s="3181" t="s">
        <v>3534</v>
      </c>
      <c r="N28" s="3181">
        <v>5099.6408000000001</v>
      </c>
      <c r="O28" s="3181">
        <v>5666.2672000000002</v>
      </c>
      <c r="P28" s="3181">
        <v>4844.6588000000002</v>
      </c>
      <c r="Q28" s="3181">
        <v>5666.2672000000002</v>
      </c>
      <c r="R28" s="3181" t="s">
        <v>3530</v>
      </c>
      <c r="S28" s="3181">
        <v>86</v>
      </c>
      <c r="T28" s="3181" t="s">
        <v>3530</v>
      </c>
      <c r="U28" s="3181">
        <v>43508.39</v>
      </c>
      <c r="V28" s="3181">
        <v>50887</v>
      </c>
      <c r="W28" s="3181" t="s">
        <v>3530</v>
      </c>
      <c r="X28" s="3181" t="s">
        <v>3613</v>
      </c>
      <c r="Y28" s="3181" t="s">
        <v>3614</v>
      </c>
      <c r="Z28" s="3181" t="s">
        <v>3615</v>
      </c>
    </row>
    <row r="29" spans="1:26" s="3184" customFormat="1" ht="28.5">
      <c r="A29" s="3183" t="s">
        <v>3616</v>
      </c>
      <c r="B29" s="3184" t="s">
        <v>3558</v>
      </c>
      <c r="C29" s="3184" t="s">
        <v>3531</v>
      </c>
      <c r="D29" s="3184" t="s">
        <v>3531</v>
      </c>
      <c r="E29" s="3184" t="s">
        <v>3532</v>
      </c>
      <c r="F29" s="3184" t="s">
        <v>673</v>
      </c>
      <c r="G29" s="3184">
        <v>67.31</v>
      </c>
      <c r="H29" s="3184" t="s">
        <v>3530</v>
      </c>
      <c r="I29" s="3185">
        <v>45110.333831018521</v>
      </c>
      <c r="J29" s="3185">
        <v>45142.333831018521</v>
      </c>
      <c r="K29" s="3184">
        <v>31</v>
      </c>
      <c r="L29" s="3184" t="s">
        <v>3559</v>
      </c>
      <c r="M29" s="3184" t="s">
        <v>3534</v>
      </c>
      <c r="N29" s="3184">
        <v>128.46</v>
      </c>
      <c r="O29" s="3184">
        <v>160.5814</v>
      </c>
      <c r="P29" s="3184">
        <v>115.614</v>
      </c>
      <c r="Q29" s="3184">
        <v>160.5814</v>
      </c>
      <c r="R29" s="3184">
        <v>152.01400000000001</v>
      </c>
      <c r="S29" s="3184">
        <v>72</v>
      </c>
      <c r="T29" s="3184">
        <v>95</v>
      </c>
      <c r="U29" s="3184">
        <v>17176.349999999999</v>
      </c>
      <c r="V29" s="3184">
        <v>23856.99</v>
      </c>
      <c r="W29" s="3184">
        <v>22584.16</v>
      </c>
      <c r="X29" s="3184" t="s">
        <v>3617</v>
      </c>
      <c r="Y29" s="3184" t="s">
        <v>3618</v>
      </c>
      <c r="Z29" s="3195" t="s">
        <v>3770</v>
      </c>
    </row>
    <row r="30" spans="1:26" ht="28.5" hidden="1">
      <c r="A30" s="3180" t="s">
        <v>3619</v>
      </c>
      <c r="B30" s="3181" t="s">
        <v>3530</v>
      </c>
      <c r="C30" s="3181" t="s">
        <v>3531</v>
      </c>
      <c r="D30" s="3181" t="s">
        <v>3531</v>
      </c>
      <c r="E30" s="3181" t="s">
        <v>3532</v>
      </c>
      <c r="F30" s="3181" t="s">
        <v>673</v>
      </c>
      <c r="G30" s="3181">
        <v>1943.6</v>
      </c>
      <c r="H30" s="3181" t="s">
        <v>3530</v>
      </c>
      <c r="I30" s="3182">
        <v>44931.333831018521</v>
      </c>
      <c r="J30" s="3182">
        <v>44958.333831018521</v>
      </c>
      <c r="K30" s="3181">
        <v>27</v>
      </c>
      <c r="L30" s="3181" t="s">
        <v>3559</v>
      </c>
      <c r="M30" s="3181" t="s">
        <v>3620</v>
      </c>
      <c r="N30" s="3181">
        <v>6073.4183999999996</v>
      </c>
      <c r="O30" s="3181">
        <v>7991.34</v>
      </c>
      <c r="P30" s="3181">
        <v>5769.7475999999997</v>
      </c>
      <c r="Q30" s="3181">
        <v>7991.34</v>
      </c>
      <c r="R30" s="3181">
        <v>5769.7475999999997</v>
      </c>
      <c r="S30" s="3181">
        <v>72</v>
      </c>
      <c r="T30" s="3181">
        <v>72</v>
      </c>
      <c r="U30" s="3181">
        <v>29685.88</v>
      </c>
      <c r="V30" s="3181">
        <v>41116.18</v>
      </c>
      <c r="W30" s="3181">
        <v>29685.88</v>
      </c>
      <c r="X30" s="3181" t="s">
        <v>3621</v>
      </c>
      <c r="Y30" s="3181" t="s">
        <v>3530</v>
      </c>
      <c r="Z30" s="3181" t="s">
        <v>3622</v>
      </c>
    </row>
    <row r="31" spans="1:26" hidden="1">
      <c r="A31" s="3180" t="s">
        <v>3623</v>
      </c>
      <c r="B31" s="3181" t="s">
        <v>3624</v>
      </c>
      <c r="C31" s="3181" t="s">
        <v>3531</v>
      </c>
      <c r="D31" s="3181" t="s">
        <v>3531</v>
      </c>
      <c r="E31" s="3181" t="s">
        <v>3532</v>
      </c>
      <c r="F31" s="3181" t="s">
        <v>673</v>
      </c>
      <c r="G31" s="3181">
        <v>624.99</v>
      </c>
      <c r="H31" s="3181" t="s">
        <v>3530</v>
      </c>
      <c r="I31" s="3182">
        <v>44902.333831018521</v>
      </c>
      <c r="J31" s="3182">
        <v>44903.333831018521</v>
      </c>
      <c r="K31" s="3181">
        <v>1</v>
      </c>
      <c r="L31" s="3181" t="s">
        <v>3540</v>
      </c>
      <c r="M31" s="3181" t="s">
        <v>3541</v>
      </c>
      <c r="N31" s="3181">
        <v>1915.2</v>
      </c>
      <c r="O31" s="3181">
        <v>2736</v>
      </c>
      <c r="P31" s="3181">
        <v>1915.2</v>
      </c>
      <c r="Q31" s="3181">
        <v>2736</v>
      </c>
      <c r="R31" s="3181" t="s">
        <v>3530</v>
      </c>
      <c r="S31" s="3181">
        <v>70</v>
      </c>
      <c r="T31" s="3181" t="s">
        <v>3530</v>
      </c>
      <c r="U31" s="3181">
        <v>30643.69</v>
      </c>
      <c r="V31" s="3181">
        <v>43776.7</v>
      </c>
      <c r="W31" s="3181" t="s">
        <v>3530</v>
      </c>
      <c r="X31" s="3181" t="s">
        <v>3542</v>
      </c>
      <c r="Y31" s="3181" t="s">
        <v>3610</v>
      </c>
      <c r="Z31" s="3181" t="s">
        <v>3625</v>
      </c>
    </row>
    <row r="32" spans="1:26" hidden="1">
      <c r="A32" s="3180" t="s">
        <v>3626</v>
      </c>
      <c r="B32" s="3181" t="s">
        <v>3627</v>
      </c>
      <c r="C32" s="3181" t="s">
        <v>3531</v>
      </c>
      <c r="D32" s="3181" t="s">
        <v>3531</v>
      </c>
      <c r="E32" s="3181" t="s">
        <v>3532</v>
      </c>
      <c r="F32" s="3181" t="s">
        <v>673</v>
      </c>
      <c r="G32" s="3181">
        <v>629</v>
      </c>
      <c r="H32" s="3181" t="s">
        <v>3530</v>
      </c>
      <c r="I32" s="3182">
        <v>44858.333831018521</v>
      </c>
      <c r="J32" s="3182">
        <v>44859.333831018521</v>
      </c>
      <c r="K32" s="3181">
        <v>1</v>
      </c>
      <c r="L32" s="3181" t="s">
        <v>3559</v>
      </c>
      <c r="M32" s="3181" t="s">
        <v>3541</v>
      </c>
      <c r="N32" s="3181">
        <v>3149.8</v>
      </c>
      <c r="O32" s="3181">
        <v>3149.8</v>
      </c>
      <c r="P32" s="3181">
        <v>3149.8</v>
      </c>
      <c r="Q32" s="3181">
        <v>3149.8</v>
      </c>
      <c r="R32" s="3181">
        <v>3149.8</v>
      </c>
      <c r="S32" s="3181">
        <v>100</v>
      </c>
      <c r="T32" s="3181">
        <v>100</v>
      </c>
      <c r="U32" s="3181">
        <v>50076.31</v>
      </c>
      <c r="V32" s="3181">
        <v>50076.31</v>
      </c>
      <c r="W32" s="3181">
        <v>50076.31</v>
      </c>
      <c r="X32" s="3181" t="s">
        <v>3548</v>
      </c>
      <c r="Y32" s="3181" t="s">
        <v>3628</v>
      </c>
      <c r="Z32" s="3181" t="s">
        <v>3629</v>
      </c>
    </row>
    <row r="33" spans="1:26" s="3184" customFormat="1">
      <c r="A33" s="3183" t="s">
        <v>3630</v>
      </c>
      <c r="B33" s="3184" t="s">
        <v>3631</v>
      </c>
      <c r="C33" s="3184" t="s">
        <v>3531</v>
      </c>
      <c r="D33" s="3184" t="s">
        <v>3531</v>
      </c>
      <c r="E33" s="3184" t="s">
        <v>3532</v>
      </c>
      <c r="F33" s="3184" t="s">
        <v>673</v>
      </c>
      <c r="G33" s="3184">
        <v>446.04</v>
      </c>
      <c r="H33" s="3184" t="s">
        <v>3530</v>
      </c>
      <c r="I33" s="3185">
        <v>44852.333831018521</v>
      </c>
      <c r="J33" s="3185">
        <v>44853.333831018521</v>
      </c>
      <c r="K33" s="3184">
        <v>1</v>
      </c>
      <c r="L33" s="3184" t="s">
        <v>3559</v>
      </c>
      <c r="M33" s="3184" t="s">
        <v>3541</v>
      </c>
      <c r="N33" s="3184">
        <v>1069.5999999999999</v>
      </c>
      <c r="O33" s="3184">
        <v>1528</v>
      </c>
      <c r="P33" s="3184">
        <v>1069.5999999999999</v>
      </c>
      <c r="Q33" s="3184">
        <v>1528</v>
      </c>
      <c r="R33" s="3184">
        <v>1139.5999999999999</v>
      </c>
      <c r="S33" s="3184">
        <v>70</v>
      </c>
      <c r="T33" s="3184">
        <v>75</v>
      </c>
      <c r="U33" s="3184">
        <v>23979.91</v>
      </c>
      <c r="V33" s="3184">
        <v>34257.019999999997</v>
      </c>
      <c r="W33" s="3184">
        <v>25549.279999999999</v>
      </c>
      <c r="X33" s="3184" t="s">
        <v>3542</v>
      </c>
      <c r="Y33" s="3184" t="s">
        <v>3632</v>
      </c>
      <c r="Z33" s="3184" t="s">
        <v>3633</v>
      </c>
    </row>
    <row r="34" spans="1:26" s="3184" customFormat="1">
      <c r="A34" s="3183" t="s">
        <v>3634</v>
      </c>
      <c r="B34" s="3184" t="s">
        <v>3635</v>
      </c>
      <c r="C34" s="3184" t="s">
        <v>3531</v>
      </c>
      <c r="D34" s="3184" t="s">
        <v>3531</v>
      </c>
      <c r="E34" s="3184" t="s">
        <v>3532</v>
      </c>
      <c r="F34" s="3184" t="s">
        <v>673</v>
      </c>
      <c r="G34" s="3184">
        <v>355.48</v>
      </c>
      <c r="H34" s="3184" t="s">
        <v>3530</v>
      </c>
      <c r="I34" s="3185">
        <v>43843.333831018521</v>
      </c>
      <c r="J34" s="3185">
        <v>44846.333831018521</v>
      </c>
      <c r="K34" s="3184">
        <v>1003</v>
      </c>
      <c r="L34" s="3184" t="s">
        <v>3636</v>
      </c>
      <c r="M34" s="3184" t="s">
        <v>3637</v>
      </c>
      <c r="N34" s="3184">
        <v>1420.6</v>
      </c>
      <c r="O34" s="3184">
        <v>2029.3732</v>
      </c>
      <c r="P34" s="3184">
        <v>1445.9961000000001</v>
      </c>
      <c r="Q34" s="3184">
        <v>2065.7085999999999</v>
      </c>
      <c r="R34" s="3184" t="s">
        <v>3530</v>
      </c>
      <c r="S34" s="3184">
        <v>70</v>
      </c>
      <c r="T34" s="3184" t="s">
        <v>3530</v>
      </c>
      <c r="U34" s="3184">
        <v>40677.279999999999</v>
      </c>
      <c r="V34" s="3184">
        <v>58110.400000000001</v>
      </c>
      <c r="W34" s="3184" t="s">
        <v>3530</v>
      </c>
      <c r="X34" s="3184" t="s">
        <v>3638</v>
      </c>
      <c r="Y34" s="3184" t="s">
        <v>3639</v>
      </c>
      <c r="Z34" s="3184" t="s">
        <v>3640</v>
      </c>
    </row>
    <row r="35" spans="1:26" hidden="1">
      <c r="A35" s="3180" t="s">
        <v>3641</v>
      </c>
      <c r="B35" s="3181" t="s">
        <v>3627</v>
      </c>
      <c r="C35" s="3181" t="s">
        <v>3531</v>
      </c>
      <c r="D35" s="3181" t="s">
        <v>3531</v>
      </c>
      <c r="E35" s="3181" t="s">
        <v>3532</v>
      </c>
      <c r="F35" s="3181" t="s">
        <v>673</v>
      </c>
      <c r="G35" s="3181">
        <v>264.41000000000003</v>
      </c>
      <c r="H35" s="3181" t="s">
        <v>3530</v>
      </c>
      <c r="I35" s="3182">
        <v>44843.333831018521</v>
      </c>
      <c r="J35" s="3182">
        <v>44844.333831018521</v>
      </c>
      <c r="K35" s="3181">
        <v>1</v>
      </c>
      <c r="L35" s="3181" t="s">
        <v>3559</v>
      </c>
      <c r="M35" s="3181" t="s">
        <v>3541</v>
      </c>
      <c r="N35" s="3181">
        <v>1242.7270000000001</v>
      </c>
      <c r="O35" s="3181">
        <v>1242.7270000000001</v>
      </c>
      <c r="P35" s="3181">
        <v>1242.7270000000001</v>
      </c>
      <c r="Q35" s="3181">
        <v>1242.7270000000001</v>
      </c>
      <c r="R35" s="3181">
        <v>1354.327</v>
      </c>
      <c r="S35" s="3181">
        <v>100</v>
      </c>
      <c r="T35" s="3181">
        <v>109</v>
      </c>
      <c r="U35" s="3181">
        <v>47000</v>
      </c>
      <c r="V35" s="3181">
        <v>47000</v>
      </c>
      <c r="W35" s="3181">
        <v>51220.72</v>
      </c>
      <c r="X35" s="3181" t="s">
        <v>3548</v>
      </c>
      <c r="Y35" s="3181" t="s">
        <v>3610</v>
      </c>
      <c r="Z35" s="3181" t="s">
        <v>3642</v>
      </c>
    </row>
    <row r="36" spans="1:26" hidden="1">
      <c r="A36" s="3180" t="s">
        <v>3643</v>
      </c>
      <c r="B36" s="3181" t="s">
        <v>3600</v>
      </c>
      <c r="C36" s="3181" t="s">
        <v>3531</v>
      </c>
      <c r="D36" s="3181" t="s">
        <v>3531</v>
      </c>
      <c r="E36" s="3181" t="s">
        <v>3532</v>
      </c>
      <c r="F36" s="3181" t="s">
        <v>673</v>
      </c>
      <c r="G36" s="3181" t="s">
        <v>3530</v>
      </c>
      <c r="H36" s="3181" t="s">
        <v>3530</v>
      </c>
      <c r="I36" s="3182">
        <v>44817.333831018521</v>
      </c>
      <c r="J36" s="3182">
        <v>44843.333831018521</v>
      </c>
      <c r="K36" s="3181">
        <v>26</v>
      </c>
      <c r="L36" s="3181" t="s">
        <v>3559</v>
      </c>
      <c r="M36" s="3181" t="s">
        <v>3534</v>
      </c>
      <c r="N36" s="3181">
        <v>161</v>
      </c>
      <c r="O36" s="3181">
        <v>230</v>
      </c>
      <c r="P36" s="3181">
        <v>129</v>
      </c>
      <c r="Q36" s="3181">
        <v>230</v>
      </c>
      <c r="R36" s="3181">
        <v>175</v>
      </c>
      <c r="S36" s="3181">
        <v>56</v>
      </c>
      <c r="T36" s="3181">
        <v>76</v>
      </c>
      <c r="U36" s="3181" t="s">
        <v>3530</v>
      </c>
      <c r="V36" s="3181" t="s">
        <v>3530</v>
      </c>
      <c r="W36" s="3181" t="s">
        <v>3530</v>
      </c>
      <c r="X36" s="3181" t="s">
        <v>3535</v>
      </c>
      <c r="Y36" s="3181" t="s">
        <v>3593</v>
      </c>
      <c r="Z36" s="3181" t="s">
        <v>3644</v>
      </c>
    </row>
    <row r="37" spans="1:26" hidden="1">
      <c r="A37" s="3180" t="s">
        <v>3645</v>
      </c>
      <c r="B37" s="3181" t="s">
        <v>3600</v>
      </c>
      <c r="C37" s="3181" t="s">
        <v>3531</v>
      </c>
      <c r="D37" s="3181" t="s">
        <v>3531</v>
      </c>
      <c r="E37" s="3181" t="s">
        <v>3532</v>
      </c>
      <c r="F37" s="3181" t="s">
        <v>673</v>
      </c>
      <c r="G37" s="3181" t="s">
        <v>3530</v>
      </c>
      <c r="H37" s="3181" t="s">
        <v>3530</v>
      </c>
      <c r="I37" s="3182">
        <v>44817.333831018521</v>
      </c>
      <c r="J37" s="3182">
        <v>44843.333831018521</v>
      </c>
      <c r="K37" s="3181">
        <v>26</v>
      </c>
      <c r="L37" s="3181" t="s">
        <v>3559</v>
      </c>
      <c r="M37" s="3181" t="s">
        <v>3534</v>
      </c>
      <c r="N37" s="3181">
        <v>161</v>
      </c>
      <c r="O37" s="3181">
        <v>230</v>
      </c>
      <c r="P37" s="3181">
        <v>129</v>
      </c>
      <c r="Q37" s="3181">
        <v>230</v>
      </c>
      <c r="R37" s="3181">
        <v>166.5</v>
      </c>
      <c r="S37" s="3181">
        <v>56</v>
      </c>
      <c r="T37" s="3181">
        <v>72</v>
      </c>
      <c r="U37" s="3181" t="s">
        <v>3530</v>
      </c>
      <c r="V37" s="3181" t="s">
        <v>3530</v>
      </c>
      <c r="W37" s="3181" t="s">
        <v>3530</v>
      </c>
      <c r="X37" s="3181" t="s">
        <v>3535</v>
      </c>
      <c r="Y37" s="3181" t="s">
        <v>3593</v>
      </c>
      <c r="Z37" s="3181" t="s">
        <v>3646</v>
      </c>
    </row>
    <row r="38" spans="1:26" s="3184" customFormat="1">
      <c r="A38" s="3183" t="s">
        <v>3647</v>
      </c>
      <c r="B38" s="3184" t="s">
        <v>3624</v>
      </c>
      <c r="C38" s="3184" t="s">
        <v>3531</v>
      </c>
      <c r="D38" s="3184" t="s">
        <v>3531</v>
      </c>
      <c r="E38" s="3184" t="s">
        <v>3532</v>
      </c>
      <c r="F38" s="3184" t="s">
        <v>673</v>
      </c>
      <c r="G38" s="3184">
        <v>537.21</v>
      </c>
      <c r="H38" s="3184" t="s">
        <v>3530</v>
      </c>
      <c r="I38" s="3185">
        <v>44657.333831018521</v>
      </c>
      <c r="J38" s="3185">
        <v>44823.333831018521</v>
      </c>
      <c r="K38" s="3184">
        <v>166</v>
      </c>
      <c r="L38" s="3184" t="s">
        <v>3540</v>
      </c>
      <c r="M38" s="3184" t="s">
        <v>3648</v>
      </c>
      <c r="N38" s="3184">
        <v>1876.8</v>
      </c>
      <c r="O38" s="3184">
        <v>2681.06</v>
      </c>
      <c r="P38" s="3184">
        <v>1502</v>
      </c>
      <c r="Q38" s="3184">
        <v>2681.06</v>
      </c>
      <c r="R38" s="3184" t="s">
        <v>3530</v>
      </c>
      <c r="S38" s="3184">
        <v>56</v>
      </c>
      <c r="T38" s="3184" t="s">
        <v>3530</v>
      </c>
      <c r="U38" s="3184">
        <v>27959.27</v>
      </c>
      <c r="V38" s="3184">
        <v>49907.11</v>
      </c>
      <c r="W38" s="3184" t="s">
        <v>3530</v>
      </c>
      <c r="X38" s="3184" t="s">
        <v>3649</v>
      </c>
      <c r="Y38" s="3184" t="s">
        <v>3610</v>
      </c>
      <c r="Z38" s="3184" t="s">
        <v>3650</v>
      </c>
    </row>
    <row r="39" spans="1:26" s="3184" customFormat="1">
      <c r="A39" s="3183" t="s">
        <v>3651</v>
      </c>
      <c r="B39" s="3184" t="s">
        <v>3624</v>
      </c>
      <c r="C39" s="3184" t="s">
        <v>3531</v>
      </c>
      <c r="D39" s="3184" t="s">
        <v>3531</v>
      </c>
      <c r="E39" s="3184" t="s">
        <v>3532</v>
      </c>
      <c r="F39" s="3184" t="s">
        <v>673</v>
      </c>
      <c r="G39" s="3184">
        <v>537.21</v>
      </c>
      <c r="H39" s="3184" t="s">
        <v>3530</v>
      </c>
      <c r="I39" s="3185">
        <v>44657.333831018521</v>
      </c>
      <c r="J39" s="3185">
        <v>44823.333831018521</v>
      </c>
      <c r="K39" s="3184">
        <v>166</v>
      </c>
      <c r="L39" s="3184" t="s">
        <v>3540</v>
      </c>
      <c r="M39" s="3184" t="s">
        <v>3648</v>
      </c>
      <c r="N39" s="3184">
        <v>1877</v>
      </c>
      <c r="O39" s="3184">
        <v>2681.06</v>
      </c>
      <c r="P39" s="3184">
        <v>1503</v>
      </c>
      <c r="Q39" s="3184">
        <v>2681.06</v>
      </c>
      <c r="R39" s="3184" t="s">
        <v>3530</v>
      </c>
      <c r="S39" s="3184">
        <v>56</v>
      </c>
      <c r="T39" s="3184" t="s">
        <v>3530</v>
      </c>
      <c r="U39" s="3184">
        <v>27977.89</v>
      </c>
      <c r="V39" s="3184">
        <v>49907.11</v>
      </c>
      <c r="W39" s="3184" t="s">
        <v>3530</v>
      </c>
      <c r="X39" s="3184" t="s">
        <v>3649</v>
      </c>
      <c r="Y39" s="3184" t="s">
        <v>3610</v>
      </c>
      <c r="Z39" s="3184" t="s">
        <v>3652</v>
      </c>
    </row>
    <row r="40" spans="1:26" s="3184" customFormat="1" ht="28.5">
      <c r="A40" s="3189" t="s">
        <v>3653</v>
      </c>
      <c r="B40" s="3184" t="s">
        <v>3654</v>
      </c>
      <c r="C40" s="3184" t="s">
        <v>3531</v>
      </c>
      <c r="D40" s="3184" t="s">
        <v>3531</v>
      </c>
      <c r="E40" s="3184" t="s">
        <v>3532</v>
      </c>
      <c r="F40" s="3184" t="s">
        <v>673</v>
      </c>
      <c r="G40" s="3184">
        <v>839</v>
      </c>
      <c r="H40" s="3184" t="s">
        <v>3530</v>
      </c>
      <c r="I40" s="3185">
        <v>44662.333831018521</v>
      </c>
      <c r="J40" s="3185">
        <v>44663.333831018521</v>
      </c>
      <c r="K40" s="3184">
        <v>1</v>
      </c>
      <c r="L40" s="3184" t="s">
        <v>3559</v>
      </c>
      <c r="M40" s="3184" t="s">
        <v>3541</v>
      </c>
      <c r="N40" s="3184">
        <v>2569</v>
      </c>
      <c r="O40" s="3184">
        <v>3669.1507999999999</v>
      </c>
      <c r="P40" s="3184">
        <v>2569</v>
      </c>
      <c r="Q40" s="3184">
        <v>3669.1507999999999</v>
      </c>
      <c r="R40" s="3184">
        <v>6411</v>
      </c>
      <c r="S40" s="3184">
        <v>70</v>
      </c>
      <c r="T40" s="3184">
        <v>175</v>
      </c>
      <c r="U40" s="3184">
        <v>30619.79</v>
      </c>
      <c r="V40" s="3184">
        <v>43732.43</v>
      </c>
      <c r="W40" s="3184">
        <v>76412.399999999994</v>
      </c>
      <c r="X40" s="3184" t="s">
        <v>3542</v>
      </c>
      <c r="Y40" s="3184" t="s">
        <v>3655</v>
      </c>
      <c r="Z40" s="3184" t="s">
        <v>3656</v>
      </c>
    </row>
    <row r="41" spans="1:26" s="3184" customFormat="1">
      <c r="A41" s="3189" t="s">
        <v>3657</v>
      </c>
      <c r="B41" s="3184" t="s">
        <v>3654</v>
      </c>
      <c r="C41" s="3184" t="s">
        <v>3531</v>
      </c>
      <c r="D41" s="3184" t="s">
        <v>3531</v>
      </c>
      <c r="E41" s="3184" t="s">
        <v>3532</v>
      </c>
      <c r="F41" s="3184" t="s">
        <v>673</v>
      </c>
      <c r="G41" s="3184">
        <v>830.8</v>
      </c>
      <c r="H41" s="3184" t="s">
        <v>3530</v>
      </c>
      <c r="I41" s="3185">
        <v>44606.333831018521</v>
      </c>
      <c r="J41" s="3185">
        <v>44633.333831018521</v>
      </c>
      <c r="K41" s="3184">
        <v>27</v>
      </c>
      <c r="L41" s="3184" t="s">
        <v>3559</v>
      </c>
      <c r="M41" s="3184" t="s">
        <v>3541</v>
      </c>
      <c r="N41" s="3184">
        <v>2634.4</v>
      </c>
      <c r="O41" s="3184">
        <v>3763.38</v>
      </c>
      <c r="P41" s="3184">
        <v>2634.4</v>
      </c>
      <c r="Q41" s="3184">
        <v>3763.38</v>
      </c>
      <c r="R41" s="3184">
        <v>3614.6</v>
      </c>
      <c r="S41" s="3184">
        <v>70</v>
      </c>
      <c r="T41" s="3184">
        <v>96</v>
      </c>
      <c r="U41" s="3184">
        <v>31709.200000000001</v>
      </c>
      <c r="V41" s="3184">
        <v>45298.27</v>
      </c>
      <c r="W41" s="3184">
        <v>43507.46</v>
      </c>
      <c r="X41" s="3184" t="s">
        <v>3638</v>
      </c>
      <c r="Y41" s="3184" t="s">
        <v>3610</v>
      </c>
      <c r="Z41" s="3184" t="s">
        <v>3658</v>
      </c>
    </row>
    <row r="42" spans="1:26" s="3184" customFormat="1">
      <c r="A42" s="3189" t="s">
        <v>3659</v>
      </c>
      <c r="B42" s="3184" t="s">
        <v>3654</v>
      </c>
      <c r="C42" s="3184" t="s">
        <v>3531</v>
      </c>
      <c r="D42" s="3184" t="s">
        <v>3531</v>
      </c>
      <c r="E42" s="3184" t="s">
        <v>3532</v>
      </c>
      <c r="F42" s="3184" t="s">
        <v>673</v>
      </c>
      <c r="G42" s="3184">
        <v>858</v>
      </c>
      <c r="H42" s="3184" t="s">
        <v>3530</v>
      </c>
      <c r="I42" s="3185">
        <v>44632.333831018521</v>
      </c>
      <c r="J42" s="3185">
        <v>44633.333831018521</v>
      </c>
      <c r="K42" s="3184">
        <v>1</v>
      </c>
      <c r="L42" s="3184" t="s">
        <v>3559</v>
      </c>
      <c r="M42" s="3184" t="s">
        <v>3541</v>
      </c>
      <c r="N42" s="3184">
        <v>2745.8</v>
      </c>
      <c r="O42" s="3184">
        <v>3922.53</v>
      </c>
      <c r="P42" s="3184">
        <v>2745.8</v>
      </c>
      <c r="Q42" s="3184">
        <v>3922.53</v>
      </c>
      <c r="R42" s="3184">
        <v>3792.8</v>
      </c>
      <c r="S42" s="3184">
        <v>70</v>
      </c>
      <c r="T42" s="3184">
        <v>97</v>
      </c>
      <c r="U42" s="3184">
        <v>32002.33</v>
      </c>
      <c r="V42" s="3184">
        <v>45717.13</v>
      </c>
      <c r="W42" s="3184">
        <v>44205.13</v>
      </c>
      <c r="X42" s="3184" t="s">
        <v>3542</v>
      </c>
      <c r="Y42" s="3184" t="s">
        <v>3655</v>
      </c>
      <c r="Z42" s="3184" t="s">
        <v>3660</v>
      </c>
    </row>
    <row r="43" spans="1:26" hidden="1">
      <c r="A43" s="3180" t="s">
        <v>3661</v>
      </c>
      <c r="B43" s="3181" t="s">
        <v>3662</v>
      </c>
      <c r="C43" s="3181" t="s">
        <v>3531</v>
      </c>
      <c r="D43" s="3181" t="s">
        <v>3531</v>
      </c>
      <c r="E43" s="3181" t="s">
        <v>3532</v>
      </c>
      <c r="F43" s="3181" t="s">
        <v>673</v>
      </c>
      <c r="G43" s="3181">
        <v>46.26</v>
      </c>
      <c r="H43" s="3181" t="s">
        <v>3530</v>
      </c>
      <c r="I43" s="3182">
        <v>44609.333831018521</v>
      </c>
      <c r="J43" s="3182">
        <v>44610.333831018521</v>
      </c>
      <c r="K43" s="3181">
        <v>1</v>
      </c>
      <c r="L43" s="3181" t="s">
        <v>3559</v>
      </c>
      <c r="M43" s="3181" t="s">
        <v>3541</v>
      </c>
      <c r="N43" s="3181">
        <v>124</v>
      </c>
      <c r="O43" s="3181">
        <v>176.74</v>
      </c>
      <c r="P43" s="3181">
        <v>124</v>
      </c>
      <c r="Q43" s="3181">
        <v>176.74</v>
      </c>
      <c r="R43" s="3181">
        <v>166</v>
      </c>
      <c r="S43" s="3181">
        <v>70</v>
      </c>
      <c r="T43" s="3181">
        <v>94</v>
      </c>
      <c r="U43" s="3181">
        <v>26805.02</v>
      </c>
      <c r="V43" s="3181">
        <v>38205.79</v>
      </c>
      <c r="W43" s="3181">
        <v>35884.129999999997</v>
      </c>
      <c r="X43" s="3181" t="s">
        <v>3542</v>
      </c>
      <c r="Y43" s="3181" t="s">
        <v>3610</v>
      </c>
      <c r="Z43" s="3181" t="s">
        <v>3663</v>
      </c>
    </row>
    <row r="44" spans="1:26" s="3184" customFormat="1">
      <c r="A44" s="3183" t="s">
        <v>3664</v>
      </c>
      <c r="B44" s="3184" t="s">
        <v>3530</v>
      </c>
      <c r="C44" s="3184" t="s">
        <v>3531</v>
      </c>
      <c r="D44" s="3184" t="s">
        <v>3531</v>
      </c>
      <c r="E44" s="3184" t="s">
        <v>3532</v>
      </c>
      <c r="F44" s="3184" t="s">
        <v>673</v>
      </c>
      <c r="G44" s="3184">
        <v>87.85</v>
      </c>
      <c r="H44" s="3184" t="s">
        <v>3530</v>
      </c>
      <c r="I44" s="3185">
        <v>44388.333831018521</v>
      </c>
      <c r="J44" s="3185">
        <v>44551.333831018521</v>
      </c>
      <c r="K44" s="3184">
        <v>163</v>
      </c>
      <c r="L44" s="3184" t="s">
        <v>3559</v>
      </c>
      <c r="M44" s="3184" t="s">
        <v>3541</v>
      </c>
      <c r="N44" s="3184">
        <v>311.96730000000002</v>
      </c>
      <c r="O44" s="3184">
        <v>445.66739999999999</v>
      </c>
      <c r="P44" s="3184">
        <v>311.96730000000002</v>
      </c>
      <c r="Q44" s="3184">
        <v>445.66750000000002</v>
      </c>
      <c r="R44" s="3184">
        <v>722.96730000000002</v>
      </c>
      <c r="S44" s="3184">
        <v>70</v>
      </c>
      <c r="T44" s="3184">
        <v>162</v>
      </c>
      <c r="U44" s="3184">
        <v>35511.360000000001</v>
      </c>
      <c r="V44" s="3184">
        <v>50730.51</v>
      </c>
      <c r="W44" s="3184">
        <v>82295.649999999994</v>
      </c>
      <c r="X44" s="3184" t="s">
        <v>3638</v>
      </c>
      <c r="Y44" s="3184" t="s">
        <v>3597</v>
      </c>
      <c r="Z44" s="3184" t="s">
        <v>3665</v>
      </c>
    </row>
    <row r="45" spans="1:26">
      <c r="A45" s="3180" t="s">
        <v>3666</v>
      </c>
      <c r="B45" s="3181" t="s">
        <v>3530</v>
      </c>
      <c r="C45" s="3181" t="s">
        <v>3531</v>
      </c>
      <c r="D45" s="3181" t="s">
        <v>3531</v>
      </c>
      <c r="E45" s="3181" t="s">
        <v>3532</v>
      </c>
      <c r="F45" s="3181" t="s">
        <v>673</v>
      </c>
      <c r="G45" s="3181">
        <v>197.32</v>
      </c>
      <c r="H45" s="3181" t="s">
        <v>3530</v>
      </c>
      <c r="I45" s="3182">
        <v>44550.333831018521</v>
      </c>
      <c r="J45" s="3182">
        <v>44551.333831018521</v>
      </c>
      <c r="K45" s="3181">
        <v>1</v>
      </c>
      <c r="L45" s="3181" t="s">
        <v>3559</v>
      </c>
      <c r="M45" s="3181" t="s">
        <v>3541</v>
      </c>
      <c r="N45" s="3181">
        <v>350</v>
      </c>
      <c r="O45" s="3181">
        <v>500</v>
      </c>
      <c r="P45" s="3181">
        <v>350</v>
      </c>
      <c r="Q45" s="3181">
        <v>500</v>
      </c>
      <c r="R45" s="3181">
        <v>366</v>
      </c>
      <c r="S45" s="3181">
        <v>70</v>
      </c>
      <c r="T45" s="3181">
        <v>73</v>
      </c>
      <c r="U45" s="3181">
        <v>17737.68</v>
      </c>
      <c r="V45" s="3181">
        <v>25339.55</v>
      </c>
      <c r="W45" s="3181">
        <v>18548.55</v>
      </c>
      <c r="X45" s="3181" t="s">
        <v>3542</v>
      </c>
      <c r="Y45" s="3181" t="s">
        <v>3565</v>
      </c>
      <c r="Z45" s="3181" t="s">
        <v>3667</v>
      </c>
    </row>
    <row r="46" spans="1:26">
      <c r="A46" s="3180" t="s">
        <v>3668</v>
      </c>
      <c r="B46" s="3181" t="s">
        <v>3631</v>
      </c>
      <c r="C46" s="3181" t="s">
        <v>3531</v>
      </c>
      <c r="D46" s="3181" t="s">
        <v>3531</v>
      </c>
      <c r="E46" s="3181" t="s">
        <v>3532</v>
      </c>
      <c r="F46" s="3181" t="s">
        <v>673</v>
      </c>
      <c r="G46" s="3181">
        <v>292.74</v>
      </c>
      <c r="H46" s="3181" t="s">
        <v>3530</v>
      </c>
      <c r="I46" s="3182">
        <v>44247.333831018521</v>
      </c>
      <c r="J46" s="3182">
        <v>44548.333831018521</v>
      </c>
      <c r="K46" s="3181">
        <v>301</v>
      </c>
      <c r="L46" s="3181" t="s">
        <v>3540</v>
      </c>
      <c r="M46" s="3181" t="s">
        <v>3648</v>
      </c>
      <c r="N46" s="3181">
        <v>225</v>
      </c>
      <c r="O46" s="3181">
        <v>318.63285000000002</v>
      </c>
      <c r="P46" s="3181">
        <v>180</v>
      </c>
      <c r="Q46" s="3181">
        <v>318.63299999999998</v>
      </c>
      <c r="R46" s="3181" t="s">
        <v>3530</v>
      </c>
      <c r="S46" s="3181">
        <v>56</v>
      </c>
      <c r="T46" s="3181" t="s">
        <v>3530</v>
      </c>
      <c r="U46" s="3181">
        <v>6148.8</v>
      </c>
      <c r="V46" s="3181">
        <v>10884.51</v>
      </c>
      <c r="W46" s="3181" t="s">
        <v>3530</v>
      </c>
      <c r="X46" s="3181" t="s">
        <v>3669</v>
      </c>
      <c r="Y46" s="3181" t="s">
        <v>3670</v>
      </c>
      <c r="Z46" s="3181" t="s">
        <v>3671</v>
      </c>
    </row>
    <row r="47" spans="1:26">
      <c r="A47" s="3180" t="s">
        <v>3672</v>
      </c>
      <c r="B47" s="3181" t="s">
        <v>3673</v>
      </c>
      <c r="C47" s="3181" t="s">
        <v>3531</v>
      </c>
      <c r="D47" s="3181" t="s">
        <v>3531</v>
      </c>
      <c r="E47" s="3181" t="s">
        <v>3532</v>
      </c>
      <c r="F47" s="3181" t="s">
        <v>673</v>
      </c>
      <c r="G47" s="3181">
        <v>63.91</v>
      </c>
      <c r="H47" s="3181" t="s">
        <v>3530</v>
      </c>
      <c r="I47" s="3182">
        <v>44515.333831018521</v>
      </c>
      <c r="J47" s="3182">
        <v>44516.333831018521</v>
      </c>
      <c r="K47" s="3181">
        <v>1</v>
      </c>
      <c r="L47" s="3181" t="s">
        <v>3559</v>
      </c>
      <c r="M47" s="3181" t="s">
        <v>3541</v>
      </c>
      <c r="N47" s="3181">
        <v>156.608</v>
      </c>
      <c r="O47" s="3181">
        <v>223.726</v>
      </c>
      <c r="P47" s="3181">
        <v>156.608</v>
      </c>
      <c r="Q47" s="3181">
        <v>223.726</v>
      </c>
      <c r="R47" s="3181">
        <v>199.608</v>
      </c>
      <c r="S47" s="3181">
        <v>70</v>
      </c>
      <c r="T47" s="3181">
        <v>89</v>
      </c>
      <c r="U47" s="3181">
        <v>24504.46</v>
      </c>
      <c r="V47" s="3181">
        <v>35006.42</v>
      </c>
      <c r="W47" s="3181">
        <v>31232.67</v>
      </c>
      <c r="X47" s="3181" t="s">
        <v>3542</v>
      </c>
      <c r="Y47" s="3181" t="s">
        <v>3610</v>
      </c>
      <c r="Z47" s="3181" t="s">
        <v>3674</v>
      </c>
    </row>
    <row r="48" spans="1:26" ht="28.5">
      <c r="A48" s="3180" t="s">
        <v>3675</v>
      </c>
      <c r="B48" s="3181" t="s">
        <v>3530</v>
      </c>
      <c r="C48" s="3181" t="s">
        <v>3531</v>
      </c>
      <c r="D48" s="3181" t="s">
        <v>3531</v>
      </c>
      <c r="E48" s="3181" t="s">
        <v>3532</v>
      </c>
      <c r="F48" s="3181" t="s">
        <v>673</v>
      </c>
      <c r="G48" s="3181" t="s">
        <v>3530</v>
      </c>
      <c r="H48" s="3181" t="s">
        <v>3530</v>
      </c>
      <c r="I48" s="3182">
        <v>44454.333831018521</v>
      </c>
      <c r="J48" s="3182">
        <v>44467.333831018521</v>
      </c>
      <c r="K48" s="3181">
        <v>13</v>
      </c>
      <c r="L48" s="3181" t="s">
        <v>3540</v>
      </c>
      <c r="M48" s="3181" t="s">
        <v>3534</v>
      </c>
      <c r="N48" s="3181">
        <v>7991.34</v>
      </c>
      <c r="O48" s="3181">
        <v>7991.34</v>
      </c>
      <c r="P48" s="3181">
        <v>6393.0720000000001</v>
      </c>
      <c r="Q48" s="3181">
        <v>7991.34</v>
      </c>
      <c r="R48" s="3181" t="s">
        <v>3530</v>
      </c>
      <c r="S48" s="3181">
        <v>80</v>
      </c>
      <c r="T48" s="3181" t="s">
        <v>3530</v>
      </c>
      <c r="U48" s="3181" t="s">
        <v>3530</v>
      </c>
      <c r="V48" s="3181" t="s">
        <v>3530</v>
      </c>
      <c r="W48" s="3181" t="s">
        <v>3530</v>
      </c>
      <c r="X48" s="3181" t="s">
        <v>3676</v>
      </c>
      <c r="Y48" s="3181" t="s">
        <v>3530</v>
      </c>
      <c r="Z48" s="3181" t="s">
        <v>3677</v>
      </c>
    </row>
    <row r="49" spans="1:26">
      <c r="A49" s="3180" t="s">
        <v>3678</v>
      </c>
      <c r="B49" s="3181" t="s">
        <v>3679</v>
      </c>
      <c r="C49" s="3181" t="s">
        <v>3531</v>
      </c>
      <c r="D49" s="3181" t="s">
        <v>3531</v>
      </c>
      <c r="E49" s="3181" t="s">
        <v>3532</v>
      </c>
      <c r="F49" s="3181" t="s">
        <v>673</v>
      </c>
      <c r="G49" s="3181">
        <v>325.86</v>
      </c>
      <c r="H49" s="3181" t="s">
        <v>3530</v>
      </c>
      <c r="I49" s="3182">
        <v>44417.333831018521</v>
      </c>
      <c r="J49" s="3182">
        <v>44418.333831018521</v>
      </c>
      <c r="K49" s="3181">
        <v>1</v>
      </c>
      <c r="L49" s="3181" t="s">
        <v>3559</v>
      </c>
      <c r="M49" s="3181" t="s">
        <v>3541</v>
      </c>
      <c r="N49" s="3181">
        <v>592.97699999999998</v>
      </c>
      <c r="O49" s="3181">
        <v>847.11</v>
      </c>
      <c r="P49" s="3181">
        <v>592.97699999999998</v>
      </c>
      <c r="Q49" s="3181">
        <v>847.11</v>
      </c>
      <c r="R49" s="3181">
        <v>592.97699999999998</v>
      </c>
      <c r="S49" s="3181">
        <v>70</v>
      </c>
      <c r="T49" s="3181">
        <v>70</v>
      </c>
      <c r="U49" s="3181">
        <v>18197.29</v>
      </c>
      <c r="V49" s="3181">
        <v>25996.13</v>
      </c>
      <c r="W49" s="3181">
        <v>18197.29</v>
      </c>
      <c r="X49" s="3181" t="s">
        <v>3542</v>
      </c>
      <c r="Y49" s="3181" t="s">
        <v>3610</v>
      </c>
      <c r="Z49" s="3181" t="s">
        <v>3680</v>
      </c>
    </row>
    <row r="50" spans="1:26" ht="28.5">
      <c r="A50" s="3180" t="s">
        <v>3681</v>
      </c>
      <c r="B50" s="3181" t="s">
        <v>3627</v>
      </c>
      <c r="C50" s="3181" t="s">
        <v>3531</v>
      </c>
      <c r="D50" s="3181" t="s">
        <v>3531</v>
      </c>
      <c r="E50" s="3181" t="s">
        <v>3532</v>
      </c>
      <c r="F50" s="3181" t="s">
        <v>673</v>
      </c>
      <c r="G50" s="3181">
        <v>196.37</v>
      </c>
      <c r="H50" s="3181" t="s">
        <v>3530</v>
      </c>
      <c r="I50" s="3182">
        <v>44313.333831018521</v>
      </c>
      <c r="J50" s="3182">
        <v>44314.333831018521</v>
      </c>
      <c r="K50" s="3181">
        <v>1</v>
      </c>
      <c r="L50" s="3181" t="s">
        <v>3636</v>
      </c>
      <c r="M50" s="3181" t="s">
        <v>3541</v>
      </c>
      <c r="N50" s="3181">
        <v>960</v>
      </c>
      <c r="O50" s="3181">
        <v>1370.33</v>
      </c>
      <c r="P50" s="3181">
        <v>960</v>
      </c>
      <c r="Q50" s="3181">
        <v>1370.33</v>
      </c>
      <c r="R50" s="3181" t="s">
        <v>3530</v>
      </c>
      <c r="S50" s="3181">
        <v>70</v>
      </c>
      <c r="T50" s="3181" t="s">
        <v>3530</v>
      </c>
      <c r="U50" s="3181">
        <v>48887.3</v>
      </c>
      <c r="V50" s="3181">
        <v>69783.06</v>
      </c>
      <c r="W50" s="3181" t="s">
        <v>3530</v>
      </c>
      <c r="X50" s="3181" t="s">
        <v>3542</v>
      </c>
      <c r="Y50" s="3181" t="s">
        <v>3682</v>
      </c>
      <c r="Z50" s="3181" t="s">
        <v>3683</v>
      </c>
    </row>
    <row r="51" spans="1:26" ht="28.5">
      <c r="A51" s="3180" t="s">
        <v>3684</v>
      </c>
      <c r="B51" s="3181" t="s">
        <v>3570</v>
      </c>
      <c r="C51" s="3181" t="s">
        <v>3531</v>
      </c>
      <c r="D51" s="3181" t="s">
        <v>3531</v>
      </c>
      <c r="E51" s="3181" t="s">
        <v>3532</v>
      </c>
      <c r="F51" s="3181" t="s">
        <v>673</v>
      </c>
      <c r="G51" s="3181">
        <v>10326.299999999999</v>
      </c>
      <c r="H51" s="3181" t="s">
        <v>3530</v>
      </c>
      <c r="I51" s="3182">
        <v>44133.333831018521</v>
      </c>
      <c r="J51" s="3182">
        <v>44309.333831018521</v>
      </c>
      <c r="K51" s="3181">
        <v>176</v>
      </c>
      <c r="L51" s="3181" t="s">
        <v>3559</v>
      </c>
      <c r="M51" s="3181" t="s">
        <v>3534</v>
      </c>
      <c r="N51" s="3181">
        <v>23069.671999999999</v>
      </c>
      <c r="O51" s="3181">
        <v>32956.675199999998</v>
      </c>
      <c r="P51" s="3181">
        <v>18455.7376</v>
      </c>
      <c r="Q51" s="3181">
        <v>32956.675199999998</v>
      </c>
      <c r="R51" s="3181">
        <v>26015.7376</v>
      </c>
      <c r="S51" s="3181">
        <v>56</v>
      </c>
      <c r="T51" s="3181">
        <v>79</v>
      </c>
      <c r="U51" s="3181">
        <v>17872.560000000001</v>
      </c>
      <c r="V51" s="3181">
        <v>31915.279999999999</v>
      </c>
      <c r="W51" s="3181">
        <v>25193.67</v>
      </c>
      <c r="X51" s="3181" t="s">
        <v>3535</v>
      </c>
      <c r="Y51" s="3181" t="s">
        <v>3685</v>
      </c>
      <c r="Z51" s="3181" t="s">
        <v>3686</v>
      </c>
    </row>
    <row r="52" spans="1:26" ht="28.5">
      <c r="A52" s="3180" t="s">
        <v>3687</v>
      </c>
      <c r="B52" s="3181" t="s">
        <v>3673</v>
      </c>
      <c r="C52" s="3181" t="s">
        <v>3531</v>
      </c>
      <c r="D52" s="3181" t="s">
        <v>3531</v>
      </c>
      <c r="E52" s="3181" t="s">
        <v>3532</v>
      </c>
      <c r="F52" s="3181" t="s">
        <v>673</v>
      </c>
      <c r="G52" s="3181">
        <v>196</v>
      </c>
      <c r="H52" s="3181" t="s">
        <v>3530</v>
      </c>
      <c r="I52" s="3182">
        <v>44242.333831018521</v>
      </c>
      <c r="J52" s="3182">
        <v>44243.333831018521</v>
      </c>
      <c r="K52" s="3181">
        <v>1</v>
      </c>
      <c r="L52" s="3181" t="s">
        <v>3559</v>
      </c>
      <c r="M52" s="3181" t="s">
        <v>3541</v>
      </c>
      <c r="N52" s="3181">
        <v>771.37860000000001</v>
      </c>
      <c r="O52" s="3181">
        <v>771.37860000000001</v>
      </c>
      <c r="P52" s="3181">
        <v>771.37860000000001</v>
      </c>
      <c r="Q52" s="3181">
        <v>771.37860000000001</v>
      </c>
      <c r="R52" s="3181">
        <v>999.37860000000001</v>
      </c>
      <c r="S52" s="3181">
        <v>100</v>
      </c>
      <c r="T52" s="3181">
        <v>130</v>
      </c>
      <c r="U52" s="3181">
        <v>39356.050000000003</v>
      </c>
      <c r="V52" s="3181">
        <v>39356.050000000003</v>
      </c>
      <c r="W52" s="3181">
        <v>50988.7</v>
      </c>
      <c r="X52" s="3181" t="s">
        <v>3548</v>
      </c>
      <c r="Y52" s="3181" t="s">
        <v>3688</v>
      </c>
      <c r="Z52" s="3181" t="s">
        <v>3689</v>
      </c>
    </row>
    <row r="53" spans="1:26">
      <c r="A53" s="3180" t="s">
        <v>3690</v>
      </c>
      <c r="B53" s="3181" t="s">
        <v>3662</v>
      </c>
      <c r="C53" s="3181" t="s">
        <v>3531</v>
      </c>
      <c r="D53" s="3181" t="s">
        <v>3531</v>
      </c>
      <c r="E53" s="3181" t="s">
        <v>3532</v>
      </c>
      <c r="F53" s="3181" t="s">
        <v>673</v>
      </c>
      <c r="G53" s="3181">
        <v>85.4</v>
      </c>
      <c r="H53" s="3181" t="s">
        <v>3530</v>
      </c>
      <c r="I53" s="3182">
        <v>44198.333831018521</v>
      </c>
      <c r="J53" s="3182">
        <v>44199.333831018521</v>
      </c>
      <c r="K53" s="3181">
        <v>1</v>
      </c>
      <c r="L53" s="3181" t="s">
        <v>3559</v>
      </c>
      <c r="M53" s="3181" t="s">
        <v>3541</v>
      </c>
      <c r="N53" s="3181">
        <v>235.9</v>
      </c>
      <c r="O53" s="3181">
        <v>337</v>
      </c>
      <c r="P53" s="3181">
        <v>235.9</v>
      </c>
      <c r="Q53" s="3181">
        <v>337</v>
      </c>
      <c r="R53" s="3181">
        <v>273.64400000000001</v>
      </c>
      <c r="S53" s="3181">
        <v>70</v>
      </c>
      <c r="T53" s="3181">
        <v>81</v>
      </c>
      <c r="U53" s="3181">
        <v>27622.95</v>
      </c>
      <c r="V53" s="3181">
        <v>39461.360000000001</v>
      </c>
      <c r="W53" s="3181">
        <v>32042.62</v>
      </c>
      <c r="X53" s="3181" t="s">
        <v>3542</v>
      </c>
      <c r="Y53" s="3181" t="s">
        <v>3632</v>
      </c>
      <c r="Z53" s="3181" t="s">
        <v>3691</v>
      </c>
    </row>
    <row r="54" spans="1:26">
      <c r="A54" s="3180" t="s">
        <v>3692</v>
      </c>
      <c r="B54" s="3181" t="s">
        <v>3600</v>
      </c>
      <c r="C54" s="3181" t="s">
        <v>3531</v>
      </c>
      <c r="D54" s="3181" t="s">
        <v>3531</v>
      </c>
      <c r="E54" s="3181" t="s">
        <v>3532</v>
      </c>
      <c r="F54" s="3181" t="s">
        <v>673</v>
      </c>
      <c r="G54" s="3181">
        <v>112</v>
      </c>
      <c r="H54" s="3181" t="s">
        <v>3530</v>
      </c>
      <c r="I54" s="3182">
        <v>44053.333831018521</v>
      </c>
      <c r="J54" s="3182">
        <v>44081.333831018521</v>
      </c>
      <c r="K54" s="3181">
        <v>28</v>
      </c>
      <c r="L54" s="3181" t="s">
        <v>3559</v>
      </c>
      <c r="M54" s="3181" t="s">
        <v>3534</v>
      </c>
      <c r="N54" s="3181">
        <v>315</v>
      </c>
      <c r="O54" s="3181">
        <v>449</v>
      </c>
      <c r="P54" s="3181">
        <v>252</v>
      </c>
      <c r="Q54" s="3181">
        <v>449</v>
      </c>
      <c r="R54" s="3181">
        <v>288</v>
      </c>
      <c r="S54" s="3181">
        <v>56</v>
      </c>
      <c r="T54" s="3181">
        <v>64</v>
      </c>
      <c r="U54" s="3181">
        <v>22500</v>
      </c>
      <c r="V54" s="3181">
        <v>40089.29</v>
      </c>
      <c r="W54" s="3181">
        <v>25714.29</v>
      </c>
      <c r="X54" s="3181" t="s">
        <v>3535</v>
      </c>
      <c r="Y54" s="3181" t="s">
        <v>3593</v>
      </c>
      <c r="Z54" s="3181" t="s">
        <v>3693</v>
      </c>
    </row>
    <row r="55" spans="1:26">
      <c r="A55" s="3180" t="s">
        <v>3694</v>
      </c>
      <c r="B55" s="3181" t="s">
        <v>3600</v>
      </c>
      <c r="C55" s="3181" t="s">
        <v>3531</v>
      </c>
      <c r="D55" s="3181" t="s">
        <v>3531</v>
      </c>
      <c r="E55" s="3181" t="s">
        <v>3532</v>
      </c>
      <c r="F55" s="3181" t="s">
        <v>673</v>
      </c>
      <c r="G55" s="3181">
        <v>121</v>
      </c>
      <c r="H55" s="3181" t="s">
        <v>3530</v>
      </c>
      <c r="I55" s="3182">
        <v>44053.333831018521</v>
      </c>
      <c r="J55" s="3182">
        <v>44081.333831018521</v>
      </c>
      <c r="K55" s="3181">
        <v>28</v>
      </c>
      <c r="L55" s="3181" t="s">
        <v>3559</v>
      </c>
      <c r="M55" s="3181" t="s">
        <v>3534</v>
      </c>
      <c r="N55" s="3181">
        <v>340</v>
      </c>
      <c r="O55" s="3181">
        <v>485</v>
      </c>
      <c r="P55" s="3181">
        <v>272</v>
      </c>
      <c r="Q55" s="3181">
        <v>485</v>
      </c>
      <c r="R55" s="3181">
        <v>312</v>
      </c>
      <c r="S55" s="3181">
        <v>56</v>
      </c>
      <c r="T55" s="3181">
        <v>64</v>
      </c>
      <c r="U55" s="3181">
        <v>22479.34</v>
      </c>
      <c r="V55" s="3181">
        <v>40082.639999999999</v>
      </c>
      <c r="W55" s="3181">
        <v>25785.119999999999</v>
      </c>
      <c r="X55" s="3181" t="s">
        <v>3535</v>
      </c>
      <c r="Y55" s="3181" t="s">
        <v>3593</v>
      </c>
      <c r="Z55" s="3181" t="s">
        <v>3695</v>
      </c>
    </row>
    <row r="56" spans="1:26">
      <c r="A56" s="3180" t="s">
        <v>3696</v>
      </c>
      <c r="B56" s="3181" t="s">
        <v>3673</v>
      </c>
      <c r="C56" s="3181" t="s">
        <v>3531</v>
      </c>
      <c r="D56" s="3181" t="s">
        <v>3531</v>
      </c>
      <c r="E56" s="3181" t="s">
        <v>3532</v>
      </c>
      <c r="F56" s="3181" t="s">
        <v>673</v>
      </c>
      <c r="G56" s="3181">
        <v>70.349999999999994</v>
      </c>
      <c r="H56" s="3181" t="s">
        <v>3530</v>
      </c>
      <c r="I56" s="3182">
        <v>44074.333831018521</v>
      </c>
      <c r="J56" s="3182">
        <v>44075.333831018521</v>
      </c>
      <c r="K56" s="3181">
        <v>1</v>
      </c>
      <c r="L56" s="3181" t="s">
        <v>3559</v>
      </c>
      <c r="M56" s="3181" t="s">
        <v>3541</v>
      </c>
      <c r="N56" s="3181">
        <v>220.5</v>
      </c>
      <c r="O56" s="3181">
        <v>315</v>
      </c>
      <c r="P56" s="3181">
        <v>220.5</v>
      </c>
      <c r="Q56" s="3181">
        <v>315</v>
      </c>
      <c r="R56" s="3181">
        <v>258.5</v>
      </c>
      <c r="S56" s="3181">
        <v>70</v>
      </c>
      <c r="T56" s="3181">
        <v>82</v>
      </c>
      <c r="U56" s="3181">
        <v>31343.279999999999</v>
      </c>
      <c r="V56" s="3181">
        <v>44776.12</v>
      </c>
      <c r="W56" s="3181">
        <v>36744.85</v>
      </c>
      <c r="X56" s="3181" t="s">
        <v>3542</v>
      </c>
      <c r="Y56" s="3181" t="s">
        <v>3610</v>
      </c>
      <c r="Z56" s="3181" t="s">
        <v>3697</v>
      </c>
    </row>
    <row r="57" spans="1:26" ht="28.5">
      <c r="A57" s="3180" t="s">
        <v>3698</v>
      </c>
      <c r="B57" s="3181" t="s">
        <v>3600</v>
      </c>
      <c r="C57" s="3181" t="s">
        <v>3531</v>
      </c>
      <c r="D57" s="3181" t="s">
        <v>3531</v>
      </c>
      <c r="E57" s="3181" t="s">
        <v>3532</v>
      </c>
      <c r="F57" s="3181" t="s">
        <v>673</v>
      </c>
      <c r="G57" s="3181" t="s">
        <v>3530</v>
      </c>
      <c r="H57" s="3181" t="s">
        <v>3530</v>
      </c>
      <c r="I57" s="3182">
        <v>43922.333831018521</v>
      </c>
      <c r="J57" s="3182">
        <v>43923.333831018521</v>
      </c>
      <c r="K57" s="3181">
        <v>1</v>
      </c>
      <c r="L57" s="3181" t="s">
        <v>3559</v>
      </c>
      <c r="M57" s="3181" t="s">
        <v>3541</v>
      </c>
      <c r="N57" s="3181">
        <v>280.7244</v>
      </c>
      <c r="O57" s="3181">
        <v>350.90550000000002</v>
      </c>
      <c r="P57" s="3181">
        <v>280.7244</v>
      </c>
      <c r="Q57" s="3181">
        <v>350.90550000000002</v>
      </c>
      <c r="R57" s="3181">
        <v>314.32440000000003</v>
      </c>
      <c r="S57" s="3181">
        <v>80</v>
      </c>
      <c r="T57" s="3181">
        <v>90</v>
      </c>
      <c r="U57" s="3181" t="s">
        <v>3530</v>
      </c>
      <c r="V57" s="3181" t="s">
        <v>3530</v>
      </c>
      <c r="W57" s="3181" t="s">
        <v>3530</v>
      </c>
      <c r="X57" s="3181" t="s">
        <v>3577</v>
      </c>
      <c r="Y57" s="3181" t="s">
        <v>3699</v>
      </c>
      <c r="Z57" s="3181" t="s">
        <v>3700</v>
      </c>
    </row>
    <row r="58" spans="1:26" ht="28.5">
      <c r="A58" s="3180" t="s">
        <v>3701</v>
      </c>
      <c r="B58" s="3181" t="s">
        <v>3600</v>
      </c>
      <c r="C58" s="3181" t="s">
        <v>3531</v>
      </c>
      <c r="D58" s="3181" t="s">
        <v>3531</v>
      </c>
      <c r="E58" s="3181" t="s">
        <v>3532</v>
      </c>
      <c r="F58" s="3181" t="s">
        <v>673</v>
      </c>
      <c r="G58" s="3181">
        <v>135.44</v>
      </c>
      <c r="H58" s="3181" t="s">
        <v>3530</v>
      </c>
      <c r="I58" s="3182">
        <v>43922.333831018521</v>
      </c>
      <c r="J58" s="3182">
        <v>43923.333831018521</v>
      </c>
      <c r="K58" s="3181">
        <v>1</v>
      </c>
      <c r="L58" s="3181" t="s">
        <v>3559</v>
      </c>
      <c r="M58" s="3181" t="s">
        <v>3541</v>
      </c>
      <c r="N58" s="3181">
        <v>133.72200000000001</v>
      </c>
      <c r="O58" s="3181">
        <v>167.1525</v>
      </c>
      <c r="P58" s="3181">
        <v>133.72200000000001</v>
      </c>
      <c r="Q58" s="3181">
        <v>167.1525</v>
      </c>
      <c r="R58" s="3181">
        <v>169.36199999999999</v>
      </c>
      <c r="S58" s="3181">
        <v>80</v>
      </c>
      <c r="T58" s="3181">
        <v>101</v>
      </c>
      <c r="U58" s="3181">
        <v>9873.15</v>
      </c>
      <c r="V58" s="3181">
        <v>12341.44</v>
      </c>
      <c r="W58" s="3181">
        <v>12504.58</v>
      </c>
      <c r="X58" s="3181" t="s">
        <v>3577</v>
      </c>
      <c r="Y58" s="3181" t="s">
        <v>3699</v>
      </c>
      <c r="Z58" s="3181" t="s">
        <v>3702</v>
      </c>
    </row>
    <row r="59" spans="1:26" ht="28.5">
      <c r="A59" s="3180" t="s">
        <v>3703</v>
      </c>
      <c r="B59" s="3181" t="s">
        <v>3631</v>
      </c>
      <c r="C59" s="3181" t="s">
        <v>3531</v>
      </c>
      <c r="D59" s="3181" t="s">
        <v>3531</v>
      </c>
      <c r="E59" s="3181" t="s">
        <v>3532</v>
      </c>
      <c r="F59" s="3181" t="s">
        <v>673</v>
      </c>
      <c r="G59" s="3181">
        <v>101</v>
      </c>
      <c r="H59" s="3181" t="s">
        <v>3530</v>
      </c>
      <c r="I59" s="3182">
        <v>43685.333831018521</v>
      </c>
      <c r="J59" s="3182">
        <v>43686.333831018521</v>
      </c>
      <c r="K59" s="3181">
        <v>1</v>
      </c>
      <c r="L59" s="3181" t="s">
        <v>3559</v>
      </c>
      <c r="M59" s="3181" t="s">
        <v>3541</v>
      </c>
      <c r="N59" s="3181">
        <v>7500</v>
      </c>
      <c r="O59" s="3181">
        <v>9524.1695999999993</v>
      </c>
      <c r="P59" s="3181">
        <v>7500</v>
      </c>
      <c r="Q59" s="3181">
        <v>9524.1695999999993</v>
      </c>
      <c r="R59" s="3181">
        <v>8235</v>
      </c>
      <c r="S59" s="3181">
        <v>79</v>
      </c>
      <c r="T59" s="3181">
        <v>86</v>
      </c>
      <c r="U59" s="3181" t="s">
        <v>3530</v>
      </c>
      <c r="V59" s="3181">
        <v>942987.09</v>
      </c>
      <c r="W59" s="3181" t="s">
        <v>3530</v>
      </c>
      <c r="X59" s="3181" t="s">
        <v>3704</v>
      </c>
      <c r="Y59" s="3181" t="s">
        <v>3682</v>
      </c>
      <c r="Z59" s="3181" t="s">
        <v>3705</v>
      </c>
    </row>
    <row r="60" spans="1:26">
      <c r="A60" s="3180" t="s">
        <v>3706</v>
      </c>
      <c r="B60" s="3181" t="s">
        <v>3707</v>
      </c>
      <c r="C60" s="3181" t="s">
        <v>3531</v>
      </c>
      <c r="D60" s="3181" t="s">
        <v>3531</v>
      </c>
      <c r="E60" s="3181" t="s">
        <v>3532</v>
      </c>
      <c r="F60" s="3181" t="s">
        <v>673</v>
      </c>
      <c r="G60" s="3181">
        <v>56.82</v>
      </c>
      <c r="H60" s="3181" t="s">
        <v>3530</v>
      </c>
      <c r="I60" s="3182">
        <v>43584.333831018521</v>
      </c>
      <c r="J60" s="3182">
        <v>43585.333831018521</v>
      </c>
      <c r="K60" s="3181">
        <v>1</v>
      </c>
      <c r="L60" s="3181" t="s">
        <v>3559</v>
      </c>
      <c r="M60" s="3181" t="s">
        <v>3541</v>
      </c>
      <c r="N60" s="3181">
        <v>145</v>
      </c>
      <c r="O60" s="3181">
        <v>206.8</v>
      </c>
      <c r="P60" s="3181">
        <v>145</v>
      </c>
      <c r="Q60" s="3181">
        <v>206.8</v>
      </c>
      <c r="R60" s="3181">
        <v>162</v>
      </c>
      <c r="S60" s="3181">
        <v>70</v>
      </c>
      <c r="T60" s="3181">
        <v>78</v>
      </c>
      <c r="U60" s="3181">
        <v>25519.18</v>
      </c>
      <c r="V60" s="3181">
        <v>36395.64</v>
      </c>
      <c r="W60" s="3181">
        <v>28511.09</v>
      </c>
      <c r="X60" s="3181" t="s">
        <v>3542</v>
      </c>
      <c r="Y60" s="3181" t="s">
        <v>3610</v>
      </c>
      <c r="Z60" s="3181" t="s">
        <v>3708</v>
      </c>
    </row>
    <row r="61" spans="1:26">
      <c r="A61" s="3180" t="s">
        <v>3709</v>
      </c>
      <c r="B61" s="3181" t="s">
        <v>3635</v>
      </c>
      <c r="C61" s="3181" t="s">
        <v>3531</v>
      </c>
      <c r="D61" s="3181" t="s">
        <v>3531</v>
      </c>
      <c r="E61" s="3181" t="s">
        <v>3532</v>
      </c>
      <c r="F61" s="3181" t="s">
        <v>673</v>
      </c>
      <c r="G61" s="3181" t="s">
        <v>3530</v>
      </c>
      <c r="H61" s="3181" t="s">
        <v>3530</v>
      </c>
      <c r="I61" s="3182">
        <v>43464.333831018521</v>
      </c>
      <c r="J61" s="3182">
        <v>43465.333831018521</v>
      </c>
      <c r="K61" s="3181">
        <v>1</v>
      </c>
      <c r="L61" s="3181" t="s">
        <v>3540</v>
      </c>
      <c r="M61" s="3181" t="s">
        <v>3541</v>
      </c>
      <c r="N61" s="3181">
        <v>1897.85</v>
      </c>
      <c r="O61" s="3181">
        <v>1897.85</v>
      </c>
      <c r="P61" s="3181">
        <v>1897.85</v>
      </c>
      <c r="Q61" s="3181">
        <v>1897.85</v>
      </c>
      <c r="R61" s="3181" t="s">
        <v>3530</v>
      </c>
      <c r="S61" s="3181">
        <v>100</v>
      </c>
      <c r="T61" s="3181" t="s">
        <v>3530</v>
      </c>
      <c r="U61" s="3181" t="s">
        <v>3530</v>
      </c>
      <c r="V61" s="3181" t="s">
        <v>3530</v>
      </c>
      <c r="W61" s="3181" t="s">
        <v>3530</v>
      </c>
      <c r="X61" s="3181" t="s">
        <v>3548</v>
      </c>
      <c r="Y61" s="3181" t="s">
        <v>3710</v>
      </c>
      <c r="Z61" s="3181" t="s">
        <v>3711</v>
      </c>
    </row>
    <row r="62" spans="1:26">
      <c r="A62" s="3180" t="s">
        <v>3712</v>
      </c>
      <c r="B62" s="3181" t="s">
        <v>3635</v>
      </c>
      <c r="C62" s="3181" t="s">
        <v>3531</v>
      </c>
      <c r="D62" s="3181" t="s">
        <v>3531</v>
      </c>
      <c r="E62" s="3181" t="s">
        <v>3532</v>
      </c>
      <c r="F62" s="3181" t="s">
        <v>673</v>
      </c>
      <c r="G62" s="3181">
        <v>41</v>
      </c>
      <c r="H62" s="3181" t="s">
        <v>3530</v>
      </c>
      <c r="I62" s="3182">
        <v>43399.333831018521</v>
      </c>
      <c r="J62" s="3182">
        <v>43400.333831018521</v>
      </c>
      <c r="K62" s="3181">
        <v>1</v>
      </c>
      <c r="L62" s="3181" t="s">
        <v>3540</v>
      </c>
      <c r="M62" s="3181" t="s">
        <v>3541</v>
      </c>
      <c r="N62" s="3181">
        <v>209.8</v>
      </c>
      <c r="O62" s="3181">
        <v>209.8</v>
      </c>
      <c r="P62" s="3181">
        <v>209.8</v>
      </c>
      <c r="Q62" s="3181">
        <v>209.8</v>
      </c>
      <c r="R62" s="3181" t="s">
        <v>3530</v>
      </c>
      <c r="S62" s="3181">
        <v>100</v>
      </c>
      <c r="T62" s="3181" t="s">
        <v>3530</v>
      </c>
      <c r="U62" s="3181">
        <v>51170.73</v>
      </c>
      <c r="V62" s="3181">
        <v>51170.73</v>
      </c>
      <c r="W62" s="3181" t="s">
        <v>3530</v>
      </c>
      <c r="X62" s="3181" t="s">
        <v>3548</v>
      </c>
      <c r="Y62" s="3181" t="s">
        <v>3710</v>
      </c>
      <c r="Z62" s="3181" t="s">
        <v>3713</v>
      </c>
    </row>
    <row r="63" spans="1:26">
      <c r="A63" s="3180" t="s">
        <v>3714</v>
      </c>
      <c r="B63" s="3181" t="s">
        <v>3635</v>
      </c>
      <c r="C63" s="3181" t="s">
        <v>3531</v>
      </c>
      <c r="D63" s="3181" t="s">
        <v>3531</v>
      </c>
      <c r="E63" s="3181" t="s">
        <v>3532</v>
      </c>
      <c r="F63" s="3181" t="s">
        <v>673</v>
      </c>
      <c r="G63" s="3181">
        <v>60</v>
      </c>
      <c r="H63" s="3181" t="s">
        <v>3530</v>
      </c>
      <c r="I63" s="3182">
        <v>43399.333831018521</v>
      </c>
      <c r="J63" s="3182">
        <v>43400.333831018521</v>
      </c>
      <c r="K63" s="3181">
        <v>1</v>
      </c>
      <c r="L63" s="3181" t="s">
        <v>3540</v>
      </c>
      <c r="M63" s="3181" t="s">
        <v>3541</v>
      </c>
      <c r="N63" s="3181">
        <v>364</v>
      </c>
      <c r="O63" s="3181">
        <v>364</v>
      </c>
      <c r="P63" s="3181">
        <v>364</v>
      </c>
      <c r="Q63" s="3181">
        <v>364</v>
      </c>
      <c r="R63" s="3181" t="s">
        <v>3530</v>
      </c>
      <c r="S63" s="3181">
        <v>100</v>
      </c>
      <c r="T63" s="3181" t="s">
        <v>3530</v>
      </c>
      <c r="U63" s="3181">
        <v>60666.67</v>
      </c>
      <c r="V63" s="3181">
        <v>60666.67</v>
      </c>
      <c r="W63" s="3181" t="s">
        <v>3530</v>
      </c>
      <c r="X63" s="3181" t="s">
        <v>3548</v>
      </c>
      <c r="Y63" s="3181" t="s">
        <v>3710</v>
      </c>
      <c r="Z63" s="3181" t="s">
        <v>3715</v>
      </c>
    </row>
    <row r="64" spans="1:26">
      <c r="A64" s="3180" t="s">
        <v>3716</v>
      </c>
      <c r="B64" s="3181" t="s">
        <v>3635</v>
      </c>
      <c r="C64" s="3181" t="s">
        <v>3531</v>
      </c>
      <c r="D64" s="3181" t="s">
        <v>3531</v>
      </c>
      <c r="E64" s="3181" t="s">
        <v>3532</v>
      </c>
      <c r="F64" s="3181" t="s">
        <v>673</v>
      </c>
      <c r="G64" s="3181">
        <v>456</v>
      </c>
      <c r="H64" s="3181" t="s">
        <v>3530</v>
      </c>
      <c r="I64" s="3182">
        <v>43399.333831018521</v>
      </c>
      <c r="J64" s="3182">
        <v>43400.333831018521</v>
      </c>
      <c r="K64" s="3181">
        <v>1</v>
      </c>
      <c r="L64" s="3181" t="s">
        <v>3540</v>
      </c>
      <c r="M64" s="3181" t="s">
        <v>3541</v>
      </c>
      <c r="N64" s="3181">
        <v>2055.11</v>
      </c>
      <c r="O64" s="3181">
        <v>2055.11</v>
      </c>
      <c r="P64" s="3181">
        <v>2055.11</v>
      </c>
      <c r="Q64" s="3181">
        <v>2055.11</v>
      </c>
      <c r="R64" s="3181" t="s">
        <v>3530</v>
      </c>
      <c r="S64" s="3181">
        <v>100</v>
      </c>
      <c r="T64" s="3181" t="s">
        <v>3530</v>
      </c>
      <c r="U64" s="3181">
        <v>45068.2</v>
      </c>
      <c r="V64" s="3181">
        <v>45068.2</v>
      </c>
      <c r="W64" s="3181" t="s">
        <v>3530</v>
      </c>
      <c r="X64" s="3181" t="s">
        <v>3548</v>
      </c>
      <c r="Y64" s="3181" t="s">
        <v>3710</v>
      </c>
      <c r="Z64" s="3181" t="s">
        <v>3717</v>
      </c>
    </row>
    <row r="65" spans="1:26">
      <c r="A65" s="3180" t="s">
        <v>3718</v>
      </c>
      <c r="B65" s="3181" t="s">
        <v>3635</v>
      </c>
      <c r="C65" s="3181" t="s">
        <v>3531</v>
      </c>
      <c r="D65" s="3181" t="s">
        <v>3531</v>
      </c>
      <c r="E65" s="3181" t="s">
        <v>3532</v>
      </c>
      <c r="F65" s="3181" t="s">
        <v>673</v>
      </c>
      <c r="G65" s="3181">
        <v>424</v>
      </c>
      <c r="H65" s="3181" t="s">
        <v>3530</v>
      </c>
      <c r="I65" s="3182">
        <v>43399.333831018521</v>
      </c>
      <c r="J65" s="3182">
        <v>43400.333831018521</v>
      </c>
      <c r="K65" s="3181">
        <v>1</v>
      </c>
      <c r="L65" s="3181" t="s">
        <v>3559</v>
      </c>
      <c r="M65" s="3181" t="s">
        <v>3541</v>
      </c>
      <c r="N65" s="3181">
        <v>2123.9499999999998</v>
      </c>
      <c r="O65" s="3181">
        <v>2123.9499999999998</v>
      </c>
      <c r="P65" s="3181">
        <v>2123.9499999999998</v>
      </c>
      <c r="Q65" s="3181">
        <v>2123.9499999999998</v>
      </c>
      <c r="R65" s="3181">
        <v>2563.9499999999998</v>
      </c>
      <c r="S65" s="3181">
        <v>100</v>
      </c>
      <c r="T65" s="3181">
        <v>121</v>
      </c>
      <c r="U65" s="3181">
        <v>50093.16</v>
      </c>
      <c r="V65" s="3181">
        <v>50093.16</v>
      </c>
      <c r="W65" s="3181">
        <v>60470.52</v>
      </c>
      <c r="X65" s="3181" t="s">
        <v>3548</v>
      </c>
      <c r="Y65" s="3181" t="s">
        <v>3710</v>
      </c>
      <c r="Z65" s="3181" t="s">
        <v>3719</v>
      </c>
    </row>
    <row r="66" spans="1:26">
      <c r="A66" s="3180" t="s">
        <v>3720</v>
      </c>
      <c r="B66" s="3181" t="s">
        <v>3635</v>
      </c>
      <c r="C66" s="3181" t="s">
        <v>3531</v>
      </c>
      <c r="D66" s="3181" t="s">
        <v>3531</v>
      </c>
      <c r="E66" s="3181" t="s">
        <v>3532</v>
      </c>
      <c r="F66" s="3181" t="s">
        <v>673</v>
      </c>
      <c r="G66" s="3181">
        <v>30</v>
      </c>
      <c r="H66" s="3181" t="s">
        <v>3530</v>
      </c>
      <c r="I66" s="3182">
        <v>43399.333831018521</v>
      </c>
      <c r="J66" s="3182">
        <v>43400.333831018521</v>
      </c>
      <c r="K66" s="3181">
        <v>1</v>
      </c>
      <c r="L66" s="3181" t="s">
        <v>3540</v>
      </c>
      <c r="M66" s="3181" t="s">
        <v>3541</v>
      </c>
      <c r="N66" s="3181">
        <v>154.6</v>
      </c>
      <c r="O66" s="3181">
        <v>154.6</v>
      </c>
      <c r="P66" s="3181">
        <v>154.6</v>
      </c>
      <c r="Q66" s="3181">
        <v>154.6</v>
      </c>
      <c r="R66" s="3181" t="s">
        <v>3530</v>
      </c>
      <c r="S66" s="3181">
        <v>100</v>
      </c>
      <c r="T66" s="3181" t="s">
        <v>3530</v>
      </c>
      <c r="U66" s="3181">
        <v>51533.33</v>
      </c>
      <c r="V66" s="3181">
        <v>51533.33</v>
      </c>
      <c r="W66" s="3181" t="s">
        <v>3530</v>
      </c>
      <c r="X66" s="3181" t="s">
        <v>3548</v>
      </c>
      <c r="Y66" s="3181" t="s">
        <v>3710</v>
      </c>
      <c r="Z66" s="3181" t="s">
        <v>3721</v>
      </c>
    </row>
    <row r="67" spans="1:26">
      <c r="A67" s="3180" t="s">
        <v>3722</v>
      </c>
      <c r="B67" s="3181" t="s">
        <v>3635</v>
      </c>
      <c r="C67" s="3181" t="s">
        <v>3531</v>
      </c>
      <c r="D67" s="3181" t="s">
        <v>3531</v>
      </c>
      <c r="E67" s="3181" t="s">
        <v>3532</v>
      </c>
      <c r="F67" s="3181" t="s">
        <v>673</v>
      </c>
      <c r="G67" s="3181">
        <v>73</v>
      </c>
      <c r="H67" s="3181" t="s">
        <v>3530</v>
      </c>
      <c r="I67" s="3182">
        <v>43399.333831018521</v>
      </c>
      <c r="J67" s="3182">
        <v>43400.333831018521</v>
      </c>
      <c r="K67" s="3181">
        <v>1</v>
      </c>
      <c r="L67" s="3181" t="s">
        <v>3540</v>
      </c>
      <c r="M67" s="3181" t="s">
        <v>3541</v>
      </c>
      <c r="N67" s="3181">
        <v>368.85</v>
      </c>
      <c r="O67" s="3181">
        <v>368.85</v>
      </c>
      <c r="P67" s="3181">
        <v>368.85</v>
      </c>
      <c r="Q67" s="3181">
        <v>368.85</v>
      </c>
      <c r="R67" s="3181" t="s">
        <v>3530</v>
      </c>
      <c r="S67" s="3181">
        <v>100</v>
      </c>
      <c r="T67" s="3181" t="s">
        <v>3530</v>
      </c>
      <c r="U67" s="3181">
        <v>50527.4</v>
      </c>
      <c r="V67" s="3181">
        <v>50527.4</v>
      </c>
      <c r="W67" s="3181" t="s">
        <v>3530</v>
      </c>
      <c r="X67" s="3181" t="s">
        <v>3548</v>
      </c>
      <c r="Y67" s="3181" t="s">
        <v>3710</v>
      </c>
      <c r="Z67" s="3181" t="s">
        <v>3723</v>
      </c>
    </row>
    <row r="68" spans="1:26">
      <c r="A68" s="3180" t="s">
        <v>3724</v>
      </c>
      <c r="B68" s="3181" t="s">
        <v>3635</v>
      </c>
      <c r="C68" s="3181" t="s">
        <v>3531</v>
      </c>
      <c r="D68" s="3181" t="s">
        <v>3531</v>
      </c>
      <c r="E68" s="3181" t="s">
        <v>3532</v>
      </c>
      <c r="F68" s="3181" t="s">
        <v>673</v>
      </c>
      <c r="G68" s="3181">
        <v>30</v>
      </c>
      <c r="H68" s="3181" t="s">
        <v>3530</v>
      </c>
      <c r="I68" s="3182">
        <v>43399.333831018521</v>
      </c>
      <c r="J68" s="3182">
        <v>43400.333831018521</v>
      </c>
      <c r="K68" s="3181">
        <v>1</v>
      </c>
      <c r="L68" s="3181" t="s">
        <v>3540</v>
      </c>
      <c r="M68" s="3181" t="s">
        <v>3541</v>
      </c>
      <c r="N68" s="3181">
        <v>185.52</v>
      </c>
      <c r="O68" s="3181">
        <v>185.52</v>
      </c>
      <c r="P68" s="3181">
        <v>185.52</v>
      </c>
      <c r="Q68" s="3181">
        <v>185.52</v>
      </c>
      <c r="R68" s="3181" t="s">
        <v>3530</v>
      </c>
      <c r="S68" s="3181">
        <v>100</v>
      </c>
      <c r="T68" s="3181" t="s">
        <v>3530</v>
      </c>
      <c r="U68" s="3181">
        <v>61840</v>
      </c>
      <c r="V68" s="3181">
        <v>61840</v>
      </c>
      <c r="W68" s="3181" t="s">
        <v>3530</v>
      </c>
      <c r="X68" s="3181" t="s">
        <v>3548</v>
      </c>
      <c r="Y68" s="3181" t="s">
        <v>3710</v>
      </c>
      <c r="Z68" s="3181" t="s">
        <v>3725</v>
      </c>
    </row>
    <row r="69" spans="1:26">
      <c r="A69" s="3180" t="s">
        <v>3726</v>
      </c>
      <c r="B69" s="3181" t="s">
        <v>3635</v>
      </c>
      <c r="C69" s="3181" t="s">
        <v>3531</v>
      </c>
      <c r="D69" s="3181" t="s">
        <v>3531</v>
      </c>
      <c r="E69" s="3181" t="s">
        <v>3532</v>
      </c>
      <c r="F69" s="3181" t="s">
        <v>673</v>
      </c>
      <c r="G69" s="3181">
        <v>610</v>
      </c>
      <c r="H69" s="3181" t="s">
        <v>3530</v>
      </c>
      <c r="I69" s="3182">
        <v>43399.333831018521</v>
      </c>
      <c r="J69" s="3182">
        <v>43400.333831018521</v>
      </c>
      <c r="K69" s="3181">
        <v>1</v>
      </c>
      <c r="L69" s="3181" t="s">
        <v>3540</v>
      </c>
      <c r="M69" s="3181" t="s">
        <v>3541</v>
      </c>
      <c r="N69" s="3181">
        <v>2746.71</v>
      </c>
      <c r="O69" s="3181">
        <v>2746.71</v>
      </c>
      <c r="P69" s="3181">
        <v>2746.71</v>
      </c>
      <c r="Q69" s="3181">
        <v>2746.71</v>
      </c>
      <c r="R69" s="3181" t="s">
        <v>3530</v>
      </c>
      <c r="S69" s="3181">
        <v>100</v>
      </c>
      <c r="T69" s="3181" t="s">
        <v>3530</v>
      </c>
      <c r="U69" s="3181">
        <v>45028.03</v>
      </c>
      <c r="V69" s="3181">
        <v>45028.03</v>
      </c>
      <c r="W69" s="3181" t="s">
        <v>3530</v>
      </c>
      <c r="X69" s="3181" t="s">
        <v>3548</v>
      </c>
      <c r="Y69" s="3181" t="s">
        <v>3710</v>
      </c>
      <c r="Z69" s="3181" t="s">
        <v>3727</v>
      </c>
    </row>
    <row r="70" spans="1:26">
      <c r="A70" s="3180" t="s">
        <v>3728</v>
      </c>
      <c r="B70" s="3181" t="s">
        <v>3635</v>
      </c>
      <c r="C70" s="3181" t="s">
        <v>3531</v>
      </c>
      <c r="D70" s="3181" t="s">
        <v>3531</v>
      </c>
      <c r="E70" s="3181" t="s">
        <v>3532</v>
      </c>
      <c r="F70" s="3181" t="s">
        <v>673</v>
      </c>
      <c r="G70" s="3181">
        <v>580</v>
      </c>
      <c r="H70" s="3181" t="s">
        <v>3530</v>
      </c>
      <c r="I70" s="3182">
        <v>43399.333831018521</v>
      </c>
      <c r="J70" s="3182">
        <v>43400.333831018521</v>
      </c>
      <c r="K70" s="3181">
        <v>1</v>
      </c>
      <c r="L70" s="3181" t="s">
        <v>3540</v>
      </c>
      <c r="M70" s="3181" t="s">
        <v>3541</v>
      </c>
      <c r="N70" s="3181">
        <v>2380.21</v>
      </c>
      <c r="O70" s="3181">
        <v>2380.21</v>
      </c>
      <c r="P70" s="3181">
        <v>2380.21</v>
      </c>
      <c r="Q70" s="3181">
        <v>2380.21</v>
      </c>
      <c r="R70" s="3181" t="s">
        <v>3530</v>
      </c>
      <c r="S70" s="3181">
        <v>100</v>
      </c>
      <c r="T70" s="3181" t="s">
        <v>3530</v>
      </c>
      <c r="U70" s="3181">
        <v>41038.1</v>
      </c>
      <c r="V70" s="3181">
        <v>41038.1</v>
      </c>
      <c r="W70" s="3181" t="s">
        <v>3530</v>
      </c>
      <c r="X70" s="3181" t="s">
        <v>3548</v>
      </c>
      <c r="Y70" s="3181" t="s">
        <v>3710</v>
      </c>
      <c r="Z70" s="3181" t="s">
        <v>3729</v>
      </c>
    </row>
    <row r="71" spans="1:26" s="3184" customFormat="1">
      <c r="A71" s="3183" t="s">
        <v>3730</v>
      </c>
      <c r="B71" s="3184" t="s">
        <v>3635</v>
      </c>
      <c r="C71" s="3184" t="s">
        <v>3531</v>
      </c>
      <c r="D71" s="3184" t="s">
        <v>3531</v>
      </c>
      <c r="E71" s="3184" t="s">
        <v>3532</v>
      </c>
      <c r="F71" s="3184" t="s">
        <v>673</v>
      </c>
      <c r="G71" s="3184">
        <v>490</v>
      </c>
      <c r="H71" s="3184" t="s">
        <v>3530</v>
      </c>
      <c r="I71" s="3185">
        <v>43399.333831018521</v>
      </c>
      <c r="J71" s="3185">
        <v>43400.333831018521</v>
      </c>
      <c r="K71" s="3184">
        <v>1</v>
      </c>
      <c r="L71" s="3184" t="s">
        <v>3540</v>
      </c>
      <c r="M71" s="3184" t="s">
        <v>3541</v>
      </c>
      <c r="N71" s="3184">
        <v>2698.74</v>
      </c>
      <c r="O71" s="3184">
        <v>2698.74</v>
      </c>
      <c r="P71" s="3184">
        <v>2698.74</v>
      </c>
      <c r="Q71" s="3184">
        <v>2698.74</v>
      </c>
      <c r="R71" s="3184" t="s">
        <v>3530</v>
      </c>
      <c r="S71" s="3184">
        <v>100</v>
      </c>
      <c r="T71" s="3184" t="s">
        <v>3530</v>
      </c>
      <c r="U71" s="3184">
        <v>55076.33</v>
      </c>
      <c r="V71" s="3184">
        <v>55076.33</v>
      </c>
      <c r="W71" s="3184" t="s">
        <v>3530</v>
      </c>
      <c r="X71" s="3184" t="s">
        <v>3548</v>
      </c>
      <c r="Y71" s="3184" t="s">
        <v>3710</v>
      </c>
      <c r="Z71" s="3184" t="s">
        <v>3731</v>
      </c>
    </row>
    <row r="72" spans="1:26">
      <c r="A72" s="3180" t="s">
        <v>3732</v>
      </c>
      <c r="B72" s="3181" t="s">
        <v>3635</v>
      </c>
      <c r="C72" s="3181" t="s">
        <v>3531</v>
      </c>
      <c r="D72" s="3181" t="s">
        <v>3531</v>
      </c>
      <c r="E72" s="3181" t="s">
        <v>3532</v>
      </c>
      <c r="F72" s="3181" t="s">
        <v>673</v>
      </c>
      <c r="G72" s="3181">
        <v>41</v>
      </c>
      <c r="H72" s="3181" t="s">
        <v>3530</v>
      </c>
      <c r="I72" s="3182">
        <v>43399.333831018521</v>
      </c>
      <c r="J72" s="3182">
        <v>43400.333831018521</v>
      </c>
      <c r="K72" s="3181">
        <v>1</v>
      </c>
      <c r="L72" s="3181" t="s">
        <v>3540</v>
      </c>
      <c r="M72" s="3181" t="s">
        <v>3541</v>
      </c>
      <c r="N72" s="3181">
        <v>209.2</v>
      </c>
      <c r="O72" s="3181">
        <v>209.2</v>
      </c>
      <c r="P72" s="3181">
        <v>209.2</v>
      </c>
      <c r="Q72" s="3181">
        <v>209.2</v>
      </c>
      <c r="R72" s="3181" t="s">
        <v>3530</v>
      </c>
      <c r="S72" s="3181">
        <v>100</v>
      </c>
      <c r="T72" s="3181" t="s">
        <v>3530</v>
      </c>
      <c r="U72" s="3181">
        <v>51024.39</v>
      </c>
      <c r="V72" s="3181">
        <v>51024.39</v>
      </c>
      <c r="W72" s="3181" t="s">
        <v>3530</v>
      </c>
      <c r="X72" s="3181" t="s">
        <v>3548</v>
      </c>
      <c r="Y72" s="3181" t="s">
        <v>3710</v>
      </c>
      <c r="Z72" s="3181" t="s">
        <v>3733</v>
      </c>
    </row>
    <row r="73" spans="1:26" ht="28.5">
      <c r="A73" s="3180" t="s">
        <v>3463</v>
      </c>
      <c r="B73" s="3181" t="s">
        <v>3734</v>
      </c>
      <c r="C73" s="3181" t="s">
        <v>3531</v>
      </c>
      <c r="D73" s="3181" t="s">
        <v>3531</v>
      </c>
      <c r="E73" s="3181" t="s">
        <v>3532</v>
      </c>
      <c r="F73" s="3181" t="s">
        <v>673</v>
      </c>
      <c r="G73" s="3181" t="s">
        <v>3530</v>
      </c>
      <c r="H73" s="3181" t="s">
        <v>3530</v>
      </c>
      <c r="I73" s="3182">
        <v>43269.333831018521</v>
      </c>
      <c r="J73" s="3182">
        <v>43312.333831018521</v>
      </c>
      <c r="K73" s="3181">
        <v>43</v>
      </c>
      <c r="L73" s="3181" t="s">
        <v>3559</v>
      </c>
      <c r="M73" s="3181" t="s">
        <v>3534</v>
      </c>
      <c r="N73" s="3181">
        <v>922.6</v>
      </c>
      <c r="O73" s="3181">
        <v>1318</v>
      </c>
      <c r="P73" s="3181">
        <v>738.08</v>
      </c>
      <c r="Q73" s="3181">
        <v>1318</v>
      </c>
      <c r="R73" s="3181">
        <v>738.08</v>
      </c>
      <c r="S73" s="3181">
        <v>56</v>
      </c>
      <c r="T73" s="3181">
        <v>56</v>
      </c>
      <c r="U73" s="3181" t="s">
        <v>3530</v>
      </c>
      <c r="V73" s="3181" t="s">
        <v>3530</v>
      </c>
      <c r="W73" s="3181" t="s">
        <v>3530</v>
      </c>
      <c r="X73" s="3181" t="s">
        <v>3535</v>
      </c>
      <c r="Y73" s="3181" t="s">
        <v>3610</v>
      </c>
      <c r="Z73" s="3181" t="s">
        <v>3735</v>
      </c>
    </row>
    <row r="74" spans="1:26" ht="28.5">
      <c r="A74" s="3180" t="s">
        <v>3736</v>
      </c>
      <c r="B74" s="3181" t="s">
        <v>3737</v>
      </c>
      <c r="C74" s="3181" t="s">
        <v>3531</v>
      </c>
      <c r="D74" s="3181" t="s">
        <v>3531</v>
      </c>
      <c r="E74" s="3181" t="s">
        <v>3532</v>
      </c>
      <c r="F74" s="3181" t="s">
        <v>673</v>
      </c>
      <c r="G74" s="3181">
        <v>36</v>
      </c>
      <c r="H74" s="3181" t="s">
        <v>3530</v>
      </c>
      <c r="I74" s="3182">
        <v>43274.333831018521</v>
      </c>
      <c r="J74" s="3182">
        <v>43304.333831018521</v>
      </c>
      <c r="K74" s="3181">
        <v>30</v>
      </c>
      <c r="L74" s="3181" t="s">
        <v>3559</v>
      </c>
      <c r="M74" s="3181" t="s">
        <v>3534</v>
      </c>
      <c r="N74" s="3181">
        <v>21</v>
      </c>
      <c r="O74" s="3181">
        <v>30</v>
      </c>
      <c r="P74" s="3181">
        <v>16.8</v>
      </c>
      <c r="Q74" s="3181">
        <v>30</v>
      </c>
      <c r="R74" s="3181">
        <v>22</v>
      </c>
      <c r="S74" s="3181">
        <v>56</v>
      </c>
      <c r="T74" s="3181">
        <v>73</v>
      </c>
      <c r="U74" s="3181">
        <v>4666.67</v>
      </c>
      <c r="V74" s="3181">
        <v>8333.33</v>
      </c>
      <c r="W74" s="3181">
        <v>6111.11</v>
      </c>
      <c r="X74" s="3181" t="s">
        <v>3535</v>
      </c>
      <c r="Y74" s="3181" t="s">
        <v>3632</v>
      </c>
      <c r="Z74" s="3181" t="s">
        <v>3738</v>
      </c>
    </row>
    <row r="75" spans="1:26" s="3184" customFormat="1">
      <c r="A75" s="3183" t="s">
        <v>3739</v>
      </c>
      <c r="B75" s="3184" t="s">
        <v>3631</v>
      </c>
      <c r="C75" s="3184" t="s">
        <v>3531</v>
      </c>
      <c r="D75" s="3184" t="s">
        <v>3531</v>
      </c>
      <c r="E75" s="3184" t="s">
        <v>3532</v>
      </c>
      <c r="F75" s="3184" t="s">
        <v>673</v>
      </c>
      <c r="G75" s="3184">
        <v>395</v>
      </c>
      <c r="H75" s="3184" t="s">
        <v>3530</v>
      </c>
      <c r="I75" s="3185">
        <v>43206.333831018521</v>
      </c>
      <c r="J75" s="3185">
        <v>43268.333831018521</v>
      </c>
      <c r="K75" s="3184">
        <v>62</v>
      </c>
      <c r="L75" s="3184" t="s">
        <v>3540</v>
      </c>
      <c r="M75" s="3184" t="s">
        <v>3534</v>
      </c>
      <c r="N75" s="3184">
        <v>3059.69</v>
      </c>
      <c r="O75" s="3184">
        <v>4370.9799999999996</v>
      </c>
      <c r="P75" s="3184">
        <v>2447.7487999999998</v>
      </c>
      <c r="Q75" s="3184">
        <v>4370.9799999999996</v>
      </c>
      <c r="R75" s="3184" t="s">
        <v>3530</v>
      </c>
      <c r="S75" s="3184">
        <v>56</v>
      </c>
      <c r="T75" s="3184" t="s">
        <v>3530</v>
      </c>
      <c r="U75" s="3184">
        <v>61968.32</v>
      </c>
      <c r="V75" s="3184">
        <v>110657.72</v>
      </c>
      <c r="W75" s="3184" t="s">
        <v>3530</v>
      </c>
      <c r="X75" s="3184" t="s">
        <v>3535</v>
      </c>
      <c r="Y75" s="3184" t="s">
        <v>3740</v>
      </c>
      <c r="Z75" s="3184" t="s">
        <v>3741</v>
      </c>
    </row>
    <row r="76" spans="1:26">
      <c r="A76" s="3180" t="s">
        <v>3742</v>
      </c>
      <c r="B76" s="3181" t="s">
        <v>3600</v>
      </c>
      <c r="C76" s="3181" t="s">
        <v>3531</v>
      </c>
      <c r="D76" s="3181" t="s">
        <v>3531</v>
      </c>
      <c r="E76" s="3181" t="s">
        <v>3532</v>
      </c>
      <c r="F76" s="3181" t="s">
        <v>673</v>
      </c>
      <c r="G76" s="3181">
        <v>55</v>
      </c>
      <c r="H76" s="3181" t="s">
        <v>3530</v>
      </c>
      <c r="I76" s="3182">
        <v>42908.333831018521</v>
      </c>
      <c r="J76" s="3182">
        <v>42956.333831018521</v>
      </c>
      <c r="K76" s="3181">
        <v>48</v>
      </c>
      <c r="L76" s="3181" t="s">
        <v>3559</v>
      </c>
      <c r="M76" s="3181" t="s">
        <v>3534</v>
      </c>
      <c r="N76" s="3181">
        <v>200</v>
      </c>
      <c r="O76" s="3181">
        <v>227.65110000000001</v>
      </c>
      <c r="P76" s="3181">
        <v>160</v>
      </c>
      <c r="Q76" s="3181">
        <v>227.65110000000001</v>
      </c>
      <c r="R76" s="3181">
        <v>181</v>
      </c>
      <c r="S76" s="3181">
        <v>70</v>
      </c>
      <c r="T76" s="3181">
        <v>80</v>
      </c>
      <c r="U76" s="3181">
        <v>29090.91</v>
      </c>
      <c r="V76" s="3181">
        <v>41391.11</v>
      </c>
      <c r="W76" s="3181">
        <v>32909.089999999997</v>
      </c>
      <c r="X76" s="3181" t="s">
        <v>3743</v>
      </c>
      <c r="Y76" s="3181" t="s">
        <v>3565</v>
      </c>
      <c r="Z76" s="3181" t="s">
        <v>3744</v>
      </c>
    </row>
    <row r="77" spans="1:26">
      <c r="A77" s="3180" t="s">
        <v>3745</v>
      </c>
      <c r="B77" s="3181" t="s">
        <v>3530</v>
      </c>
      <c r="C77" s="3181" t="s">
        <v>3531</v>
      </c>
      <c r="D77" s="3181" t="s">
        <v>3531</v>
      </c>
      <c r="E77" s="3181" t="s">
        <v>3532</v>
      </c>
      <c r="F77" s="3181" t="s">
        <v>673</v>
      </c>
      <c r="G77" s="3181">
        <v>131.59</v>
      </c>
      <c r="H77" s="3181">
        <v>48152.5</v>
      </c>
      <c r="I77" s="3182">
        <v>42940.333831018521</v>
      </c>
      <c r="J77" s="3182">
        <v>42941.333831018521</v>
      </c>
      <c r="K77" s="3181">
        <v>1</v>
      </c>
      <c r="L77" s="3181" t="s">
        <v>3559</v>
      </c>
      <c r="M77" s="3181" t="s">
        <v>3620</v>
      </c>
      <c r="N77" s="3181">
        <v>560</v>
      </c>
      <c r="O77" s="3181">
        <v>690.43</v>
      </c>
      <c r="P77" s="3181">
        <v>560</v>
      </c>
      <c r="Q77" s="3181">
        <v>690.43</v>
      </c>
      <c r="R77" s="3181">
        <v>560</v>
      </c>
      <c r="S77" s="3181">
        <v>81</v>
      </c>
      <c r="T77" s="3181">
        <v>81</v>
      </c>
      <c r="U77" s="3181">
        <v>42556.43</v>
      </c>
      <c r="V77" s="3181">
        <v>52468.27</v>
      </c>
      <c r="W77" s="3181">
        <v>42556.43</v>
      </c>
      <c r="X77" s="3181" t="s">
        <v>3746</v>
      </c>
      <c r="Y77" s="3181" t="s">
        <v>3747</v>
      </c>
      <c r="Z77" s="3181" t="s">
        <v>3748</v>
      </c>
    </row>
    <row r="78" spans="1:26">
      <c r="A78" s="3180" t="s">
        <v>3749</v>
      </c>
      <c r="B78" s="3181" t="s">
        <v>3530</v>
      </c>
      <c r="C78" s="3181" t="s">
        <v>3531</v>
      </c>
      <c r="D78" s="3181" t="s">
        <v>3531</v>
      </c>
      <c r="E78" s="3181" t="s">
        <v>3532</v>
      </c>
      <c r="F78" s="3181" t="s">
        <v>673</v>
      </c>
      <c r="G78" s="3181">
        <v>232.51</v>
      </c>
      <c r="H78" s="3181">
        <v>48152.5</v>
      </c>
      <c r="I78" s="3182">
        <v>42940.333831018521</v>
      </c>
      <c r="J78" s="3182">
        <v>42941.333831018521</v>
      </c>
      <c r="K78" s="3181">
        <v>1</v>
      </c>
      <c r="L78" s="3181" t="s">
        <v>3559</v>
      </c>
      <c r="M78" s="3181" t="s">
        <v>3620</v>
      </c>
      <c r="N78" s="3181">
        <v>990</v>
      </c>
      <c r="O78" s="3181">
        <v>1219.93</v>
      </c>
      <c r="P78" s="3181">
        <v>990</v>
      </c>
      <c r="Q78" s="3181">
        <v>1219.93</v>
      </c>
      <c r="R78" s="3181">
        <v>1098</v>
      </c>
      <c r="S78" s="3181">
        <v>81</v>
      </c>
      <c r="T78" s="3181">
        <v>90</v>
      </c>
      <c r="U78" s="3181">
        <v>42578.81</v>
      </c>
      <c r="V78" s="3181">
        <v>52467.85</v>
      </c>
      <c r="W78" s="3181">
        <v>47223.78</v>
      </c>
      <c r="X78" s="3181" t="s">
        <v>3746</v>
      </c>
      <c r="Y78" s="3181" t="s">
        <v>3747</v>
      </c>
      <c r="Z78" s="3181" t="s">
        <v>3750</v>
      </c>
    </row>
    <row r="79" spans="1:26">
      <c r="A79" s="3180" t="s">
        <v>3751</v>
      </c>
      <c r="B79" s="3181" t="s">
        <v>3707</v>
      </c>
      <c r="C79" s="3181" t="s">
        <v>3531</v>
      </c>
      <c r="D79" s="3181" t="s">
        <v>3531</v>
      </c>
      <c r="E79" s="3181" t="s">
        <v>3532</v>
      </c>
      <c r="F79" s="3181" t="s">
        <v>673</v>
      </c>
      <c r="G79" s="3181">
        <v>1681.12</v>
      </c>
      <c r="H79" s="3181" t="s">
        <v>3530</v>
      </c>
      <c r="I79" s="3182">
        <v>42926.333831018521</v>
      </c>
      <c r="J79" s="3182">
        <v>42927.333831018521</v>
      </c>
      <c r="K79" s="3181">
        <v>1</v>
      </c>
      <c r="L79" s="3181" t="s">
        <v>3559</v>
      </c>
      <c r="M79" s="3181" t="s">
        <v>3541</v>
      </c>
      <c r="N79" s="3181">
        <v>3152.0160000000001</v>
      </c>
      <c r="O79" s="3181">
        <v>4502.88</v>
      </c>
      <c r="P79" s="3181">
        <v>3152.0160000000001</v>
      </c>
      <c r="Q79" s="3181">
        <v>4502.88</v>
      </c>
      <c r="R79" s="3181">
        <v>4202.0159999999996</v>
      </c>
      <c r="S79" s="3181">
        <v>70</v>
      </c>
      <c r="T79" s="3181">
        <v>93</v>
      </c>
      <c r="U79" s="3181">
        <v>18749.5</v>
      </c>
      <c r="V79" s="3181">
        <v>26785</v>
      </c>
      <c r="W79" s="3181">
        <v>24995.34</v>
      </c>
      <c r="X79" s="3181" t="s">
        <v>3542</v>
      </c>
      <c r="Y79" s="3181" t="s">
        <v>3610</v>
      </c>
      <c r="Z79" s="3181" t="s">
        <v>3752</v>
      </c>
    </row>
    <row r="80" spans="1:26" ht="28.5">
      <c r="A80" s="3180" t="s">
        <v>3753</v>
      </c>
      <c r="B80" s="3181" t="s">
        <v>3673</v>
      </c>
      <c r="C80" s="3181" t="s">
        <v>3531</v>
      </c>
      <c r="D80" s="3181" t="s">
        <v>3531</v>
      </c>
      <c r="E80" s="3181" t="s">
        <v>3532</v>
      </c>
      <c r="F80" s="3181" t="s">
        <v>673</v>
      </c>
      <c r="G80" s="3181">
        <v>68</v>
      </c>
      <c r="H80" s="3181" t="s">
        <v>3530</v>
      </c>
      <c r="I80" s="3182">
        <v>42652.333831018521</v>
      </c>
      <c r="J80" s="3182">
        <v>42653.333831018521</v>
      </c>
      <c r="K80" s="3181">
        <v>1</v>
      </c>
      <c r="L80" s="3181" t="s">
        <v>3559</v>
      </c>
      <c r="M80" s="3181" t="s">
        <v>3541</v>
      </c>
      <c r="N80" s="3181">
        <v>269</v>
      </c>
      <c r="O80" s="3181">
        <v>269</v>
      </c>
      <c r="P80" s="3181">
        <v>269</v>
      </c>
      <c r="Q80" s="3181">
        <v>269</v>
      </c>
      <c r="R80" s="3181">
        <v>270</v>
      </c>
      <c r="S80" s="3181">
        <v>100</v>
      </c>
      <c r="T80" s="3181">
        <v>100</v>
      </c>
      <c r="U80" s="3181">
        <v>39558.82</v>
      </c>
      <c r="V80" s="3181">
        <v>39558.82</v>
      </c>
      <c r="W80" s="3181">
        <v>39705.879999999997</v>
      </c>
      <c r="X80" s="3181" t="s">
        <v>3548</v>
      </c>
      <c r="Y80" s="3181" t="s">
        <v>3655</v>
      </c>
      <c r="Z80" s="3181" t="s">
        <v>3754</v>
      </c>
    </row>
    <row r="81" spans="1:26" ht="28.5">
      <c r="A81" s="3180" t="s">
        <v>3755</v>
      </c>
      <c r="B81" s="3181" t="s">
        <v>3530</v>
      </c>
      <c r="C81" s="3181" t="s">
        <v>3531</v>
      </c>
      <c r="D81" s="3181" t="s">
        <v>3531</v>
      </c>
      <c r="E81" s="3181" t="s">
        <v>3532</v>
      </c>
      <c r="F81" s="3181" t="s">
        <v>673</v>
      </c>
      <c r="G81" s="3181">
        <v>69</v>
      </c>
      <c r="H81" s="3181" t="s">
        <v>3530</v>
      </c>
      <c r="I81" s="3182">
        <v>42652.333831018521</v>
      </c>
      <c r="J81" s="3182">
        <v>42653.333831018521</v>
      </c>
      <c r="K81" s="3181">
        <v>1</v>
      </c>
      <c r="L81" s="3181" t="s">
        <v>3559</v>
      </c>
      <c r="M81" s="3181" t="s">
        <v>3541</v>
      </c>
      <c r="N81" s="3181">
        <v>283</v>
      </c>
      <c r="O81" s="3181">
        <v>283</v>
      </c>
      <c r="P81" s="3181">
        <v>283</v>
      </c>
      <c r="Q81" s="3181">
        <v>283</v>
      </c>
      <c r="R81" s="3181">
        <v>303</v>
      </c>
      <c r="S81" s="3181">
        <v>100</v>
      </c>
      <c r="T81" s="3181">
        <v>107</v>
      </c>
      <c r="U81" s="3181">
        <v>41014.49</v>
      </c>
      <c r="V81" s="3181">
        <v>41014.49</v>
      </c>
      <c r="W81" s="3181">
        <v>43913.04</v>
      </c>
      <c r="X81" s="3181" t="s">
        <v>3548</v>
      </c>
      <c r="Y81" s="3181" t="s">
        <v>3655</v>
      </c>
      <c r="Z81" s="3181" t="s">
        <v>3756</v>
      </c>
    </row>
  </sheetData>
  <phoneticPr fontId="134" type="noConversion"/>
  <hyperlinks>
    <hyperlink ref="Z19" r:id="rId1" xr:uid="{461E3968-79A0-4960-BAA2-856DF20C309B}"/>
    <hyperlink ref="Z29" r:id="rId2" xr:uid="{BD9153A0-C1FB-40CE-9D3E-87013156F43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9" t="s">
        <v>949</v>
      </c>
      <c r="B1" s="3219"/>
      <c r="C1" s="3219"/>
      <c r="D1" s="3219"/>
    </row>
    <row r="2" spans="1:4" ht="18">
      <c r="A2" s="3220" t="s">
        <v>933</v>
      </c>
      <c r="B2" s="3220"/>
      <c r="C2" s="3220"/>
      <c r="D2" s="322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0" t="s">
        <v>939</v>
      </c>
      <c r="B6" s="3220"/>
      <c r="C6" s="3220"/>
      <c r="D6" s="322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1"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3"/>
      <c r="C12" s="3223"/>
      <c r="D12" s="3223"/>
    </row>
    <row r="13" spans="1:4" ht="30" customHeight="1">
      <c r="A13" s="3222" t="str">
        <f>IF(项目基本情况!B8="抵押","3.抵押双方在办理抵押登记手续时，应使用本公司出具的正式《房地产评估报告》，特提醒报告使用者注意。","——")</f>
        <v>——</v>
      </c>
      <c r="B13" s="3223"/>
      <c r="C13" s="3223"/>
      <c r="D13" s="3223"/>
    </row>
    <row r="14" spans="1:4" ht="15.75" customHeight="1">
      <c r="A14" s="3222" t="str">
        <f>IF(项目基本情况!B8="抵押","4.本次评估估价师所知悉的法定优先受偿款情况说明如下：","——")</f>
        <v>——</v>
      </c>
      <c r="B14" s="3223"/>
      <c r="C14" s="3223"/>
      <c r="D14" s="3223"/>
    </row>
    <row r="15" spans="1:4" ht="42" customHeight="1">
      <c r="A15" s="3222" t="str">
        <f>IF(项目基本情况!B8="抵押","（1）"&amp;CONCATENATE(项目基本情况!L20,项目基本情况!L21,项目基本情况!L22),"——")</f>
        <v>——</v>
      </c>
      <c r="B15" s="3222"/>
      <c r="C15" s="3222"/>
      <c r="D15" s="3222"/>
    </row>
    <row r="16" spans="1:4" ht="30" customHeight="1">
      <c r="A16" s="3225" t="s">
        <v>943</v>
      </c>
      <c r="B16" s="3225"/>
      <c r="C16" s="3225"/>
      <c r="D16" s="3225"/>
    </row>
    <row r="17" spans="1:4" ht="144" customHeight="1">
      <c r="A17" s="3225" t="s">
        <v>944</v>
      </c>
      <c r="B17" s="3225"/>
      <c r="C17" s="3225"/>
      <c r="D17" s="3225"/>
    </row>
    <row r="18" spans="1:4" ht="15.75" customHeight="1">
      <c r="A18" s="3222" t="str">
        <f>IF(项目基本情况!B8="抵押",结果表!K120,"——")</f>
        <v>——</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945</v>
      </c>
      <c r="B22" s="3227"/>
      <c r="C22" s="3227"/>
      <c r="D22" s="322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3" t="s">
        <v>956</v>
      </c>
      <c r="B15" s="3228" t="s">
        <v>109</v>
      </c>
      <c r="C15" s="3229"/>
    </row>
    <row r="16" spans="1:7" ht="13.5">
      <c r="A16" s="3234"/>
      <c r="B16" s="3228" t="s">
        <v>42</v>
      </c>
      <c r="C16" s="3229"/>
    </row>
    <row r="17" spans="1:3" ht="13.5">
      <c r="A17" s="3234"/>
      <c r="B17" s="3231" t="s">
        <v>957</v>
      </c>
      <c r="C17" s="1429" t="s">
        <v>956</v>
      </c>
    </row>
    <row r="18" spans="1:3" ht="13.5">
      <c r="A18" s="3234"/>
      <c r="B18" s="3231"/>
      <c r="C18" s="1429" t="s">
        <v>958</v>
      </c>
    </row>
    <row r="19" spans="1:3" ht="13.5">
      <c r="A19" s="3234"/>
      <c r="B19" s="3231"/>
      <c r="C19" s="1429" t="s">
        <v>959</v>
      </c>
    </row>
    <row r="20" spans="1:3" ht="13.5">
      <c r="A20" s="3235"/>
      <c r="B20" s="3230" t="s">
        <v>960</v>
      </c>
      <c r="C20" s="3229"/>
    </row>
    <row r="21" spans="1:3" ht="13.5">
      <c r="A21" s="1430" t="s">
        <v>961</v>
      </c>
      <c r="B21" s="1431"/>
      <c r="C21" s="1432"/>
    </row>
    <row r="22" spans="1:3" ht="13.5">
      <c r="A22" s="3232" t="s">
        <v>962</v>
      </c>
      <c r="B22" s="3230" t="s">
        <v>963</v>
      </c>
      <c r="C22" s="3229"/>
    </row>
    <row r="23" spans="1:3" ht="13.5">
      <c r="A23" s="3232"/>
      <c r="B23" s="3230" t="s">
        <v>964</v>
      </c>
      <c r="C23" s="3229"/>
    </row>
    <row r="24" spans="1:3" ht="13.5">
      <c r="A24" s="3232"/>
      <c r="B24" s="3230" t="s">
        <v>965</v>
      </c>
      <c r="C24" s="3229"/>
    </row>
    <row r="25" spans="1:3" ht="13.5">
      <c r="A25" s="3232"/>
      <c r="B25" s="3231" t="s">
        <v>966</v>
      </c>
      <c r="C25" s="1429" t="s">
        <v>967</v>
      </c>
    </row>
    <row r="26" spans="1:3" ht="13.5">
      <c r="A26" s="3232"/>
      <c r="B26" s="3231"/>
      <c r="C26" s="1429" t="s">
        <v>968</v>
      </c>
    </row>
    <row r="27" spans="1:3" ht="13.5">
      <c r="A27" s="3232"/>
      <c r="B27" s="3231"/>
      <c r="C27" s="1429" t="s">
        <v>969</v>
      </c>
    </row>
    <row r="28" spans="1:3" ht="13.5">
      <c r="A28" s="3232"/>
      <c r="B28" s="3231"/>
      <c r="C28" s="1429" t="s">
        <v>970</v>
      </c>
    </row>
    <row r="29" spans="1:3" ht="13.5">
      <c r="A29" s="3232"/>
      <c r="B29" s="3231"/>
      <c r="C29" s="1429" t="s">
        <v>971</v>
      </c>
    </row>
    <row r="30" spans="1:3" ht="13.5">
      <c r="A30" s="3232"/>
      <c r="B30" s="3231"/>
      <c r="C30" s="1429" t="s">
        <v>972</v>
      </c>
    </row>
    <row r="31" spans="1:3" ht="13.5">
      <c r="A31" s="3232"/>
      <c r="B31" s="3231"/>
      <c r="C31" s="1429" t="s">
        <v>973</v>
      </c>
    </row>
    <row r="32" spans="1:3" ht="13.5">
      <c r="A32" s="3232"/>
      <c r="B32" s="3231"/>
      <c r="C32" s="1429" t="s">
        <v>974</v>
      </c>
    </row>
    <row r="33" spans="1:3" ht="13.5">
      <c r="A33" s="3232"/>
      <c r="B33" s="323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6" t="s">
        <v>2160</v>
      </c>
      <c r="B17" s="3236"/>
      <c r="C17" s="3236"/>
      <c r="D17" s="3236"/>
      <c r="E17" s="3236"/>
      <c r="F17" s="3236"/>
      <c r="G17" s="3236"/>
      <c r="H17" s="3236"/>
    </row>
    <row r="18" spans="1:8" ht="24" customHeight="1">
      <c r="A18" s="3237" t="s">
        <v>2161</v>
      </c>
      <c r="B18" s="3237"/>
      <c r="C18" s="3237"/>
      <c r="D18" s="2160"/>
      <c r="E18" s="3238" t="s">
        <v>2162</v>
      </c>
      <c r="F18" s="3237"/>
      <c r="G18" s="323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租金案例</vt:lpstr>
      <vt:lpstr>法拍案例</vt:lpstr>
      <vt:lpstr>修正</vt:lpstr>
      <vt:lpstr>容积率修正</vt:lpstr>
      <vt:lpstr>成本法（废）</vt:lpstr>
      <vt:lpstr>因素修正幅度</vt:lpstr>
      <vt:lpstr>区片价（范围）</vt:lpstr>
      <vt:lpstr>建委数据</vt:lpstr>
      <vt:lpstr>Sheet3</vt:lpstr>
      <vt:lpstr>地价-分区</vt:lpstr>
      <vt:lpstr>地价</vt:lpstr>
      <vt:lpstr>区片价</vt:lpstr>
      <vt:lpstr>存贷款利率</vt:lpstr>
      <vt:lpstr>中指法拍</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2025-08-20T08:01:11Z</dcterms:modified>
</cp:coreProperties>
</file>