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205" tabRatio="899" firstSheet="14"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9" i="80" l="1"/>
  <c r="E8" i="80"/>
  <c r="E7" i="80"/>
  <c r="B14" i="74"/>
  <c r="E36" i="33" l="1"/>
  <c r="G36" i="33"/>
  <c r="I36" i="33" s="1"/>
  <c r="C33" i="33"/>
  <c r="I7" i="33"/>
  <c r="G7" i="33"/>
  <c r="E7" i="33"/>
  <c r="Y6" i="1" l="1"/>
  <c r="V23" i="1"/>
  <c r="V22" i="1"/>
  <c r="V21" i="1"/>
  <c r="N22"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V10" i="79"/>
  <c r="S11" i="79"/>
  <c r="U11" i="79"/>
  <c r="P11" i="79"/>
  <c r="T22" i="79"/>
  <c r="W22" i="79" s="1"/>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N41" i="71"/>
  <c r="B42" i="71" s="1"/>
  <c r="B43" i="71" s="1"/>
  <c r="B44" i="71" s="1"/>
  <c r="S44" i="71" s="1"/>
  <c r="D41" i="71"/>
  <c r="Q40" i="71"/>
  <c r="P40" i="71"/>
  <c r="O40" i="71"/>
  <c r="N40" i="71"/>
  <c r="AB39" i="71"/>
  <c r="Q39" i="71"/>
  <c r="P39" i="71"/>
  <c r="AA29" i="71" s="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X32" i="71" s="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2" i="71"/>
  <c r="V52" i="71" s="1"/>
  <c r="C28" i="71"/>
  <c r="C27" i="71" s="1"/>
  <c r="X25" i="71"/>
  <c r="C31" i="71"/>
  <c r="D31" i="71" s="1"/>
  <c r="D38" i="71"/>
  <c r="D42" i="71"/>
  <c r="C47" i="71"/>
  <c r="D47" i="71"/>
  <c r="D46" i="71"/>
  <c r="C51" i="71"/>
  <c r="D50" i="71"/>
  <c r="P28" i="71"/>
  <c r="E56" i="71"/>
  <c r="U56" i="71" s="1"/>
  <c r="E59" i="71"/>
  <c r="E60" i="71" s="1"/>
  <c r="U60" i="71"/>
  <c r="E63" i="71"/>
  <c r="E64" i="71"/>
  <c r="U64" i="71" s="1"/>
  <c r="Q65" i="71"/>
  <c r="U68" i="71"/>
  <c r="E67" i="71"/>
  <c r="Q28" i="71"/>
  <c r="C55" i="71"/>
  <c r="D54" i="71"/>
  <c r="C59" i="71"/>
  <c r="D58" i="71"/>
  <c r="C63" i="7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3" i="71"/>
  <c r="AA25" i="71"/>
  <c r="AA26" i="71"/>
  <c r="AA27" i="71"/>
  <c r="AA28" i="71"/>
  <c r="D28" i="71"/>
  <c r="U28" i="71" s="1"/>
  <c r="C66" i="71"/>
  <c r="D66" i="71" s="1"/>
  <c r="D67" i="71"/>
  <c r="C64"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36" i="71"/>
  <c r="T36" i="71" s="1"/>
  <c r="C32" i="71"/>
  <c r="T32" i="71" s="1"/>
  <c r="P65" i="71"/>
  <c r="P66" i="71"/>
  <c r="O66" i="71"/>
  <c r="O65" i="71"/>
  <c r="D32" i="71"/>
  <c r="D36" i="71"/>
  <c r="D44"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s="1"/>
  <c r="U33" i="33"/>
  <c r="S40"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F91" i="33"/>
  <c r="H27" i="33"/>
  <c r="F87" i="33"/>
  <c r="H25" i="33"/>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36" i="33"/>
  <c r="W36" i="33" s="1"/>
  <c r="H36" i="33"/>
  <c r="U36" i="33" s="1"/>
  <c r="S36" i="33"/>
  <c r="AC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U23" i="33"/>
  <c r="F23" i="33"/>
  <c r="S23" i="33" s="1"/>
  <c r="G85" i="33"/>
  <c r="AC23" i="33"/>
  <c r="W23" i="33"/>
  <c r="AA19" i="33"/>
  <c r="H19" i="33"/>
  <c r="AB19" i="33" s="1"/>
  <c r="G81" i="33"/>
  <c r="G79" i="33"/>
  <c r="H17" i="33"/>
  <c r="AB17" i="33" s="1"/>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W25" i="33"/>
  <c r="AC25" i="33"/>
  <c r="AA23" i="33"/>
  <c r="U19" i="33"/>
  <c r="AA17" i="33"/>
  <c r="S17" i="33"/>
  <c r="U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8" i="76"/>
  <c r="F8" i="67"/>
  <c r="M28" i="67"/>
  <c r="F37" i="67"/>
  <c r="F38" i="67"/>
  <c r="F36" i="15"/>
  <c r="E8" i="76"/>
  <c r="E13" i="76"/>
  <c r="M23" i="15"/>
  <c r="F43" i="15"/>
  <c r="D34" i="9"/>
  <c r="F36" i="67"/>
  <c r="B9" i="76"/>
  <c r="M24" i="15"/>
  <c r="F13" i="67"/>
  <c r="F40" i="15"/>
  <c r="C19" i="9"/>
  <c r="B10" i="76"/>
  <c r="C76" i="67"/>
  <c r="M8" i="15"/>
  <c r="M22" i="67"/>
  <c r="E11" i="76"/>
  <c r="L48" i="15"/>
  <c r="F43" i="67"/>
  <c r="F3" i="73"/>
  <c r="D3" i="73"/>
  <c r="M6" i="15"/>
  <c r="F7" i="15"/>
  <c r="D7" i="73"/>
  <c r="F26" i="15"/>
  <c r="M6" i="67"/>
  <c r="M26" i="67"/>
  <c r="F40" i="67"/>
  <c r="F7" i="73"/>
  <c r="C76" i="15"/>
  <c r="E7" i="76"/>
  <c r="E12" i="76"/>
  <c r="E10" i="76"/>
  <c r="M8" i="67"/>
  <c r="AO13" i="1"/>
  <c r="F6" i="15"/>
  <c r="B12" i="76"/>
  <c r="C20" i="9"/>
  <c r="B7" i="76"/>
  <c r="M23" i="67"/>
  <c r="F9" i="67"/>
  <c r="F6" i="67"/>
  <c r="M29" i="67"/>
  <c r="M24" i="67"/>
  <c r="F6" i="73"/>
  <c r="M9" i="67"/>
  <c r="D4" i="73"/>
  <c r="F9" i="15"/>
  <c r="F5" i="73"/>
  <c r="F4" i="73"/>
  <c r="F20" i="31"/>
  <c r="J15" i="15"/>
  <c r="E9" i="76"/>
  <c r="B13" i="76"/>
  <c r="F16" i="15"/>
  <c r="M28" i="15"/>
  <c r="D6" i="73"/>
  <c r="L47" i="67"/>
  <c r="M9" i="15"/>
  <c r="F16" i="67"/>
  <c r="F42" i="15"/>
  <c r="F37" i="15"/>
  <c r="D5" i="73"/>
  <c r="M29" i="15"/>
  <c r="F7" i="67"/>
  <c r="F26" i="67"/>
  <c r="F13" i="15"/>
  <c r="L48" i="67"/>
  <c r="J15" i="67"/>
  <c r="D35" i="9"/>
  <c r="M22" i="15"/>
  <c r="B11" i="76"/>
  <c r="F8" i="15"/>
  <c r="F42" i="67"/>
  <c r="E2" i="69"/>
  <c r="M26" i="15"/>
  <c r="E2" i="68"/>
  <c r="L47" i="15"/>
  <c r="F38" i="15"/>
  <c r="A24" i="51" l="1"/>
  <c r="B18" i="72" s="1"/>
  <c r="AB36" i="33"/>
  <c r="W38" i="33"/>
  <c r="S38" i="33"/>
  <c r="AA35" i="33"/>
  <c r="AC35" i="33"/>
  <c r="U35" i="33"/>
  <c r="AC34" i="33"/>
  <c r="AB34" i="33"/>
  <c r="AA34" i="33"/>
  <c r="U32" i="33"/>
  <c r="W33" i="33"/>
  <c r="AB26" i="33"/>
  <c r="S26" i="33"/>
  <c r="AC28" i="33"/>
  <c r="AB28" i="33"/>
  <c r="S11" i="33"/>
  <c r="U11" i="33"/>
  <c r="AB9" i="33"/>
  <c r="U9" i="33"/>
  <c r="C28" i="67"/>
  <c r="G5" i="3"/>
  <c r="B3" i="3" s="1"/>
  <c r="E13" i="3" s="1"/>
  <c r="E19" i="71"/>
  <c r="E18" i="71" s="1"/>
  <c r="E17" i="71" s="1"/>
  <c r="E16" i="71" s="1"/>
  <c r="V20" i="71"/>
  <c r="AZ557" i="3"/>
  <c r="S12" i="21"/>
  <c r="AA12" i="21"/>
  <c r="AC9" i="34"/>
  <c r="W9" i="34"/>
  <c r="AC34" i="35"/>
  <c r="W34" i="35"/>
  <c r="AB9" i="36"/>
  <c r="U9" i="36"/>
  <c r="AB14" i="37"/>
  <c r="U14" i="37"/>
  <c r="W12" i="40"/>
  <c r="AC12" i="40"/>
  <c r="AA38" i="40"/>
  <c r="S38" i="40"/>
  <c r="AZ423" i="3"/>
  <c r="D17" i="71"/>
  <c r="C16" i="71"/>
  <c r="D19" i="53"/>
  <c r="B38" i="72" s="1"/>
  <c r="D16" i="53"/>
  <c r="B34" i="72" s="1"/>
  <c r="G28" i="6"/>
  <c r="F29" i="6"/>
  <c r="W12" i="34"/>
  <c r="AC12" i="34"/>
  <c r="U12" i="35"/>
  <c r="AB12" i="35"/>
  <c r="AC32" i="40"/>
  <c r="W32" i="40"/>
  <c r="AZ398" i="3"/>
  <c r="AZ405" i="3"/>
  <c r="AZ407" i="3"/>
  <c r="AZ410" i="3"/>
  <c r="AZ415" i="3"/>
  <c r="AZ420" i="3"/>
  <c r="AZ432" i="3"/>
  <c r="AZ445" i="3"/>
  <c r="AC11" i="35"/>
  <c r="AZ492" i="3"/>
  <c r="AZ211" i="3"/>
  <c r="AZ219" i="3"/>
  <c r="U46" i="33"/>
  <c r="AA13" i="35"/>
  <c r="B73" i="43"/>
  <c r="B79" i="43"/>
  <c r="B76" i="43"/>
  <c r="B75" i="43"/>
  <c r="F9" i="34"/>
  <c r="AA9" i="34" s="1"/>
  <c r="F12" i="34"/>
  <c r="F34" i="35"/>
  <c r="H34" i="35"/>
  <c r="J36" i="35"/>
  <c r="F23" i="36"/>
  <c r="H23" i="36"/>
  <c r="AZ464" i="3"/>
  <c r="AZ467" i="3"/>
  <c r="AZ474" i="3"/>
  <c r="AZ480" i="3"/>
  <c r="AZ482" i="3"/>
  <c r="AZ486" i="3"/>
  <c r="AZ488" i="3"/>
  <c r="AZ220" i="3"/>
  <c r="AZ225" i="3"/>
  <c r="AZ228" i="3"/>
  <c r="AZ231" i="3"/>
  <c r="AZ244" i="3"/>
  <c r="AZ247" i="3"/>
  <c r="AZ260" i="3"/>
  <c r="AZ264" i="3"/>
  <c r="AZ282" i="3"/>
  <c r="AZ285" i="3"/>
  <c r="AZ290" i="3"/>
  <c r="AZ293" i="3"/>
  <c r="AZ153" i="3"/>
  <c r="AZ169" i="3"/>
  <c r="AZ185" i="3"/>
  <c r="AZ201" i="3"/>
  <c r="AZ207" i="3"/>
  <c r="AZ25" i="3"/>
  <c r="AZ30" i="3"/>
  <c r="AZ36" i="3"/>
  <c r="AZ40" i="3"/>
  <c r="AZ46" i="3"/>
  <c r="AZ49" i="3"/>
  <c r="C26" i="71"/>
  <c r="D26" i="71" s="1"/>
  <c r="D27" i="71"/>
  <c r="AZ65" i="3"/>
  <c r="AZ70" i="3"/>
  <c r="AZ76" i="3"/>
  <c r="AZ90" i="3"/>
  <c r="AZ92" i="3"/>
  <c r="AZ96" i="3"/>
  <c r="AZ112" i="3"/>
  <c r="V28" i="71"/>
  <c r="AB28" i="71"/>
  <c r="AB26" i="71"/>
  <c r="D34" i="71"/>
  <c r="X27"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U18" i="36"/>
  <c r="X33" i="71"/>
  <c r="X34" i="71"/>
  <c r="X35" i="71"/>
  <c r="AA9" i="71"/>
  <c r="AA10" i="71"/>
  <c r="AA39" i="71"/>
  <c r="AA37" i="71"/>
  <c r="X9" i="71"/>
  <c r="X10" i="71"/>
  <c r="AB10" i="71"/>
  <c r="AB9" i="71"/>
  <c r="X21" i="71"/>
  <c r="AA24" i="71"/>
  <c r="AA22" i="71"/>
  <c r="AA21" i="71"/>
  <c r="Y18" i="71"/>
  <c r="Z18" i="71" s="1"/>
  <c r="AB18" i="71"/>
  <c r="X14" i="71"/>
  <c r="AA12" i="71"/>
  <c r="X17" i="71"/>
  <c r="AA17" i="71"/>
  <c r="S68" i="71"/>
  <c r="B67" i="71"/>
  <c r="AB24" i="71"/>
  <c r="Y21" i="71"/>
  <c r="Z21" i="71" s="1"/>
  <c r="AB21" i="71"/>
  <c r="X18" i="71"/>
  <c r="AA18" i="71"/>
  <c r="Y14" i="71"/>
  <c r="Z14" i="71" s="1"/>
  <c r="Y17" i="71"/>
  <c r="Z17" i="71" s="1"/>
  <c r="AB17" i="71"/>
  <c r="X24" i="71"/>
  <c r="Y24" i="71"/>
  <c r="Z24" i="71" s="1"/>
  <c r="AB15" i="71"/>
  <c r="X11" i="71"/>
  <c r="AB12" i="71"/>
  <c r="AB14" i="71"/>
  <c r="Y13" i="71"/>
  <c r="Z13" i="71" s="1"/>
  <c r="Y23" i="71"/>
  <c r="Z23" i="71" s="1"/>
  <c r="Y22" i="71"/>
  <c r="Z22" i="71" s="1"/>
  <c r="AA23" i="71"/>
  <c r="AB23" i="71"/>
  <c r="X22" i="71"/>
  <c r="X15" i="71"/>
  <c r="AA15" i="71"/>
  <c r="AA11" i="71"/>
  <c r="AA13" i="71"/>
  <c r="AA14" i="71"/>
  <c r="X12" i="71"/>
  <c r="X13" i="71"/>
  <c r="AB11" i="71"/>
  <c r="AB13" i="71"/>
  <c r="Y12" i="71"/>
  <c r="Z12" i="71" s="1"/>
  <c r="Y11" i="71"/>
  <c r="Z11" i="71" s="1"/>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9"/>
  <c r="F27" i="69"/>
  <c r="C36" i="69"/>
  <c r="D9" i="68"/>
  <c r="C16" i="15"/>
  <c r="G1" i="73"/>
  <c r="C16" i="67"/>
  <c r="E429" i="3" l="1"/>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7" i="3"/>
  <c r="E58" i="3"/>
  <c r="E488" i="3"/>
  <c r="E521" i="3"/>
  <c r="E18" i="3"/>
  <c r="E38" i="3"/>
  <c r="E100" i="3"/>
  <c r="E170" i="3"/>
  <c r="E137" i="3"/>
  <c r="E220" i="3"/>
  <c r="E275" i="3"/>
  <c r="E235" i="3"/>
  <c r="E324" i="3"/>
  <c r="E383" i="3"/>
  <c r="E342" i="3"/>
  <c r="E522" i="3"/>
  <c r="E52" i="3"/>
  <c r="E34" i="3"/>
  <c r="E49" i="3"/>
  <c r="E206" i="3"/>
  <c r="E232" i="3"/>
  <c r="E340" i="3"/>
  <c r="E364" i="3"/>
  <c r="E102" i="3"/>
  <c r="E80" i="3"/>
  <c r="E113" i="3"/>
  <c r="E158" i="3"/>
  <c r="E28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131" i="3"/>
  <c r="E187" i="3"/>
  <c r="E155" i="3"/>
  <c r="E240" i="3"/>
  <c r="E297" i="3"/>
  <c r="E259" i="3"/>
  <c r="E348" i="3"/>
  <c r="E378" i="3"/>
  <c r="E375" i="3"/>
  <c r="E504" i="3"/>
  <c r="E110" i="3"/>
  <c r="E462" i="3"/>
  <c r="E446" i="3"/>
  <c r="E79" i="3"/>
  <c r="E96" i="3"/>
  <c r="E78" i="3"/>
  <c r="E129" i="3"/>
  <c r="E190" i="3"/>
  <c r="E174" i="3"/>
  <c r="E194" i="3"/>
  <c r="E234" i="3"/>
  <c r="E219" i="3"/>
  <c r="E299" i="3"/>
  <c r="E339" i="3"/>
  <c r="E325" i="3"/>
  <c r="E392" i="3"/>
  <c r="AQ6" i="3"/>
  <c r="E35" i="3"/>
  <c r="E86" i="3"/>
  <c r="E36" i="3"/>
  <c r="E112" i="3"/>
  <c r="E123" i="3"/>
  <c r="E147" i="3"/>
  <c r="E289" i="3"/>
  <c r="E251" i="3"/>
  <c r="E370" i="3"/>
  <c r="AF6" i="3"/>
  <c r="E50" i="3"/>
  <c r="E20" i="3"/>
  <c r="E62" i="3"/>
  <c r="E176" i="3"/>
  <c r="E218" i="3"/>
  <c r="E308" i="3"/>
  <c r="E265" i="3"/>
  <c r="E365" i="3"/>
  <c r="E524" i="3"/>
  <c r="E101" i="3"/>
  <c r="E326" i="3"/>
  <c r="E22" i="3"/>
  <c r="E83" i="3"/>
  <c r="C40" i="71"/>
  <c r="D39" i="71"/>
  <c r="AA23" i="36"/>
  <c r="S23" i="36"/>
  <c r="AB34" i="35"/>
  <c r="U34" i="35"/>
  <c r="S12" i="34"/>
  <c r="AA12" i="34"/>
  <c r="C15" i="71"/>
  <c r="T16" i="71"/>
  <c r="B15" i="71"/>
  <c r="B14" i="71" s="1"/>
  <c r="B13" i="71" s="1"/>
  <c r="B12" i="71" s="1"/>
  <c r="S16" i="71"/>
  <c r="F7" i="36"/>
  <c r="J7" i="37"/>
  <c r="H7" i="36"/>
  <c r="B66" i="71"/>
  <c r="N67" i="71"/>
  <c r="S28" i="71"/>
  <c r="B27" i="71"/>
  <c r="B26" i="71" s="1"/>
  <c r="AB23" i="36"/>
  <c r="U23" i="36"/>
  <c r="W36" i="35"/>
  <c r="AC36" i="35"/>
  <c r="S34" i="35"/>
  <c r="AA34" i="35"/>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11" i="71" l="1"/>
  <c r="E10" i="71" s="1"/>
  <c r="E9" i="71" s="1"/>
  <c r="E8" i="71" s="1"/>
  <c r="E7" i="71" s="1"/>
  <c r="E6" i="71" s="1"/>
  <c r="E5" i="71" s="1"/>
  <c r="V12" i="71"/>
  <c r="N66" i="71"/>
  <c r="N65" i="71"/>
  <c r="E65" i="39"/>
  <c r="B11" i="71"/>
  <c r="B10" i="71" s="1"/>
  <c r="B9" i="71" s="1"/>
  <c r="B8" i="71" s="1"/>
  <c r="B7" i="71" s="1"/>
  <c r="B6" i="71" s="1"/>
  <c r="B5" i="71" s="1"/>
  <c r="S12" i="71"/>
  <c r="C14" i="71"/>
  <c r="D15" i="71"/>
  <c r="D40" i="71"/>
  <c r="T40"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4" i="71" l="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D11" i="7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4"/>
  <c r="L51" i="15"/>
  <c r="D2" i="36"/>
  <c r="D2" i="37"/>
  <c r="D2" i="35"/>
  <c r="D102" i="9" l="1"/>
  <c r="D2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12" i="1"/>
  <c r="AO8" i="1"/>
  <c r="AO10" i="1"/>
  <c r="AO9" i="1"/>
  <c r="AO6" i="1"/>
  <c r="D20" i="9"/>
  <c r="D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I118" i="9"/>
  <c r="E14" i="74" s="1"/>
  <c r="G118" i="9"/>
  <c r="G4" i="52" l="1"/>
  <c r="B52" i="72" s="1"/>
  <c r="F118" i="9"/>
  <c r="C105" i="9"/>
  <c r="H118" i="9"/>
  <c r="D14" i="74" s="1"/>
  <c r="F7" i="80" s="1"/>
  <c r="I4" i="52"/>
  <c r="H102" i="9"/>
  <c r="E118" i="9"/>
  <c r="F8" i="80" l="1"/>
  <c r="F9" i="80" s="1"/>
  <c r="F14" i="74"/>
  <c r="B5" i="74"/>
  <c r="D5" i="74" s="1"/>
  <c r="D118" i="9"/>
  <c r="E4" i="52"/>
  <c r="B48" i="72" s="1"/>
  <c r="D7" i="53"/>
  <c r="B21" i="72" s="1"/>
  <c r="H4" i="52"/>
  <c r="C104" i="9"/>
  <c r="H119" i="9"/>
  <c r="H5" i="52" s="1"/>
  <c r="H101" i="9"/>
  <c r="F4" i="52"/>
  <c r="B51" i="72" s="1"/>
  <c r="F119" i="9"/>
  <c r="F5" i="52" s="1"/>
  <c r="B53" i="72" s="1"/>
  <c r="C5" i="74" l="1"/>
  <c r="D119" i="9"/>
  <c r="D5" i="52" s="1"/>
  <c r="B49" i="72" s="1"/>
  <c r="D4" i="52"/>
  <c r="B47" i="72" s="1"/>
  <c r="D5" i="53"/>
  <c r="D45" i="9"/>
  <c r="M48" i="9"/>
  <c r="H107" i="9"/>
  <c r="B20" i="72" l="1"/>
  <c r="D6" i="53"/>
  <c r="B22" i="72" s="1"/>
  <c r="D13" i="53"/>
  <c r="D122" i="9"/>
  <c r="M49" i="9"/>
  <c r="H108" i="9"/>
  <c r="G7" i="80" s="1"/>
  <c r="G8" i="80" s="1"/>
  <c r="D53" i="9"/>
  <c r="D55" i="9"/>
  <c r="M53" i="9" s="1"/>
  <c r="D52" i="9"/>
  <c r="C93" i="9"/>
  <c r="C86" i="9" s="1"/>
  <c r="C78" i="9"/>
  <c r="C73" i="9" s="1"/>
  <c r="C64" i="9"/>
  <c r="C63" i="9" s="1"/>
  <c r="C67" i="9" s="1"/>
  <c r="C72" i="9"/>
  <c r="C79" i="9" s="1"/>
  <c r="C85" i="9"/>
  <c r="C95" i="9" s="1"/>
  <c r="C80" i="9" l="1"/>
  <c r="E80" i="9" s="1"/>
  <c r="E81" i="9" s="1"/>
  <c r="L65" i="9"/>
  <c r="M65" i="9" s="1"/>
  <c r="L68" i="9"/>
  <c r="M68" i="9" s="1"/>
  <c r="L66" i="9"/>
  <c r="M66" i="9" s="1"/>
  <c r="L67" i="9"/>
  <c r="M67" i="9" s="1"/>
  <c r="L64" i="9"/>
  <c r="M64" i="9" s="1"/>
  <c r="L63" i="9"/>
  <c r="M63" i="9" s="1"/>
  <c r="D14" i="53"/>
  <c r="B32" i="72" s="1"/>
  <c r="B30" i="72"/>
  <c r="C96" i="9"/>
  <c r="E96" i="9" s="1"/>
  <c r="E97" i="9" s="1"/>
  <c r="D59" i="9"/>
  <c r="M55" i="9" s="1"/>
  <c r="C68" i="9"/>
  <c r="D54" i="9" s="1"/>
  <c r="D15" i="53"/>
  <c r="B31" i="72" s="1"/>
  <c r="C6" i="74"/>
  <c r="D8" i="52"/>
  <c r="D123" i="9"/>
  <c r="D9" i="52"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<sst xmlns="http://schemas.openxmlformats.org/spreadsheetml/2006/main" count="7858" uniqueCount="3431">
  <si>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</si>
  <si>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</si>
  <si>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</si>
  <si>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</si>
  <si>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</si>
  <si>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</si>
  <si>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</si>
  <si>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</si>
  <si>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</si>
  <si>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</si>
  <si>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</si>
  <si>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</si>
  <si>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</si>
  <si>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</si>
  <si>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</si>
  <si>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</si>
  <si>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</si>
  <si>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</si>
  <si>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</si>
  <si>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</si>
  <si>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</si>
  <si>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</si>
  <si>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</si>
  <si>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</si>
  <si>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</si>
  <si>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</si>
  <si>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</si>
  <si>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</si>
  <si>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</si>
  <si>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</si>
  <si>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</si>
  <si>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</si>
  <si>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</si>
  <si>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</si>
  <si>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</si>
  <si>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</si>
  <si>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</si>
  <si>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</si>
  <si>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</si>
  <si>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</si>
  <si>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</si>
  <si>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</si>
  <si>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</si>
  <si>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</si>
  <si>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</si>
  <si>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</si>
  <si>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</si>
  <si>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</si>
  <si>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</si>
  <si>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</si>
  <si>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</si>
  <si>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</si>
  <si>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</si>
  <si>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</si>
  <si>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</si>
  <si>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</si>
  <si>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</si>
  <si>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</si>
  <si>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</si>
  <si>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</si>
  <si>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</si>
  <si>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</si>
  <si>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</si>
  <si>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</si>
  <si>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</si>
  <si>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</si>
  <si>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</si>
  <si>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</si>
  <si>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</si>
  <si>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</si>
  <si>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</si>
  <si>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</si>
  <si>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</si>
  <si>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</si>
  <si>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</si>
  <si>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</si>
  <si>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</si>
  <si>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</si>
  <si>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</si>
  <si>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</si>
  <si>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</si>
  <si>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</si>
  <si>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</si>
  <si>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</si>
  <si>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</si>
  <si>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</si>
  <si>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</si>
  <si>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</si>
  <si>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</si>
  <si>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</si>
  <si>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</si>
  <si>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</si>
  <si>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</si>
  <si>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</si>
  <si>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</si>
  <si>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</si>
  <si>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</si>
  <si>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</si>
  <si>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</si>
  <si>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</si>
  <si>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</si>
  <si>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</si>
  <si>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</si>
  <si>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</si>
  <si>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</si>
  <si>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</si>
  <si>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</si>
  <si>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</si>
  <si>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</si>
  <si>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</si>
  <si>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</si>
  <si>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</si>
  <si>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</si>
  <si>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</si>
  <si>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</si>
  <si>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</si>
  <si>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</si>
  <si>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</si>
  <si>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</si>
  <si>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</si>
  <si>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</si>
  <si>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</si>
  <si>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</si>
  <si>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</si>
  <si>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</si>
  <si>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</si>
  <si>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</si>
  <si>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</si>
  <si>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</si>
  <si>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</si>
  <si>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</si>
  <si>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</si>
  <si>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</si>
  <si>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</si>
  <si>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</si>
  <si>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</si>
  <si>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</si>
  <si>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</si>
  <si>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</si>
  <si>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</si>
  <si>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</si>
  <si>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</si>
  <si>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</si>
  <si>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</si>
  <si>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</si>
  <si>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</si>
  <si>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</si>
  <si>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</si>
  <si>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</si>
  <si>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</si>
  <si>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</si>
  <si>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</si>
  <si>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</si>
  <si>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</si>
  <si>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</si>
  <si>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</si>
  <si>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</si>
  <si>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</si>
  <si>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</si>
  <si>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</si>
  <si>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</si>
  <si>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</si>
  <si>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</si>
  <si>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</si>
  <si>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</si>
  <si>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</si>
  <si>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</si>
  <si>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</si>
  <si>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</si>
  <si>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</si>
  <si>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</si>
  <si>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</si>
  <si>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</si>
  <si>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</si>
  <si>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</si>
  <si>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</si>
  <si>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</si>
  <si>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</si>
  <si>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</si>
  <si>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</si>
  <si>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</si>
  <si>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</si>
  <si>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</si>
  <si>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</si>
  <si>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</si>
  <si>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</si>
  <si>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</si>
  <si>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</si>
  <si>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</si>
  <si>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</si>
  <si>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</si>
  <si>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</si>
  <si>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</si>
  <si>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</si>
  <si>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</si>
  <si>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</si>
  <si>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</si>
  <si>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</si>
  <si>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</si>
  <si>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</si>
  <si>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</si>
  <si>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</si>
  <si>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</si>
  <si>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</si>
  <si>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</si>
  <si>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</si>
  <si>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</si>
  <si>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</si>
  <si>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</si>
  <si>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</si>
  <si>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</si>
  <si>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</si>
  <si>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</si>
  <si>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</si>
  <si>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</si>
  <si>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</si>
  <si>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</si>
  <si>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</si>
  <si>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</si>
  <si>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</si>
  <si>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</si>
  <si>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</si>
  <si>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</si>
  <si>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</si>
  <si>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</si>
  <si>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</si>
  <si>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</si>
  <si>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</si>
  <si>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</si>
  <si>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</si>
  <si>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</si>
  <si>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</si>
  <si>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</si>
  <si>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</si>
  <si>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</si>
  <si>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</si>
  <si>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</si>
  <si>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</si>
  <si>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</si>
  <si>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</si>
  <si>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</si>
  <si>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</si>
  <si>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</si>
  <si>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</si>
  <si>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</si>
  <si>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</si>
  <si>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</si>
  <si>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</si>
  <si>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</si>
  <si>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</si>
  <si>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</si>
  <si>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</si>
  <si>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</si>
  <si>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</si>
  <si>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</si>
  <si>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</si>
  <si>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</si>
  <si>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</si>
  <si>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</si>
  <si>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</si>
  <si>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</si>
  <si>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</si>
  <si>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</si>
  <si>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</si>
  <si>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</si>
  <si>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</si>
  <si>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</si>
  <si>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</si>
  <si>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</si>
  <si>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</si>
  <si>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</si>
  <si>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</si>
  <si>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</si>
  <si>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</si>
  <si>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</si>
  <si>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</si>
  <si>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</si>
  <si>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</si>
  <si>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</si>
  <si>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</si>
  <si>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</si>
  <si>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</si>
  <si>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</si>
  <si>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</si>
  <si>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</si>
  <si>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</si>
  <si>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</si>
  <si>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</si>
  <si>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</si>
  <si>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</si>
  <si>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</si>
  <si>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</si>
  <si>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</si>
  <si>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</si>
  <si>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</si>
  <si>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</si>
  <si>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</si>
  <si>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</si>
  <si>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</si>
  <si>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</si>
  <si>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</si>
  <si>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</si>
  <si>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</si>
  <si>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</si>
  <si>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</si>
  <si>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</si>
  <si>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</si>
  <si>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</si>
  <si>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</si>
  <si>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</si>
  <si>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</si>
  <si>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</si>
  <si>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</si>
  <si>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</si>
  <si>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</si>
  <si>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</si>
  <si>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</si>
  <si>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</si>
  <si>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</si>
  <si>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</si>
  <si>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</si>
  <si>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</si>
  <si>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</si>
  <si>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</si>
  <si>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</si>
  <si>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</si>
  <si>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</si>
  <si>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</si>
  <si>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</si>
  <si>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</si>
  <si>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</si>
  <si>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</si>
  <si>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</si>
  <si>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</si>
  <si>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</si>
  <si>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</si>
  <si>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</si>
  <si>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</si>
  <si>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</si>
  <si>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</si>
  <si>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</si>
  <si>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</si>
  <si>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</si>
  <si>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</si>
  <si>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</si>
  <si>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</si>
  <si>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</si>
  <si>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</si>
  <si>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</si>
  <si>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</si>
  <si>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</si>
  <si>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</si>
  <si>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</si>
  <si>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</si>
  <si>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</si>
  <si>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</si>
  <si>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</si>
  <si>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</si>
  <si>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</si>
  <si>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</si>
  <si>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</si>
  <si>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</si>
  <si>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</si>
  <si>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</si>
  <si>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</si>
  <si>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</si>
  <si>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</si>
  <si>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</si>
  <si>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</si>
  <si>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</si>
  <si>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</si>
  <si>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</si>
  <si>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</si>
  <si>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</si>
  <si>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</si>
  <si>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</si>
  <si>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</si>
  <si>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</si>
  <si>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</si>
  <si>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</si>
  <si>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</si>
  <si>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</si>
  <si>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</si>
  <si>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</si>
  <si>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</si>
  <si>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</si>
  <si>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</si>
  <si>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</si>
  <si>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</si>
  <si>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</si>
  <si>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</si>
  <si>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</si>
  <si>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</si>
  <si>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</si>
  <si>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</si>
  <si>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</si>
  <si>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</si>
  <si>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</si>
  <si>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</si>
  <si>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</si>
  <si>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</si>
  <si>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</si>
  <si>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</si>
  <si>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</si>
  <si>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</si>
  <si>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</si>
  <si>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</si>
  <si>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</si>
  <si>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</si>
  <si>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</si>
  <si>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</si>
  <si>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</si>
  <si>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</si>
  <si>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</si>
  <si>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</si>
  <si>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</si>
  <si>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</si>
  <si>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</si>
  <si>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</si>
  <si>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</si>
  <si>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</si>
  <si>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</si>
  <si>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</si>
  <si>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</si>
  <si>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</si>
  <si>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</si>
  <si>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</si>
  <si>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</si>
  <si>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</si>
  <si>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</si>
  <si>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</si>
  <si>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</si>
  <si>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</si>
  <si>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</si>
  <si>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</si>
  <si>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</si>
  <si>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</si>
  <si>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</si>
  <si>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</si>
  <si>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</si>
  <si>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</si>
  <si>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</si>
  <si>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</si>
  <si>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</si>
  <si>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</si>
  <si>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</si>
  <si>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</si>
  <si>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</si>
  <si>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</si>
  <si>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</si>
  <si>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</si>
  <si>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</si>
  <si>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</si>
  <si>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</si>
  <si>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</si>
  <si>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</si>
  <si>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</si>
  <si>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</si>
  <si>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</si>
  <si>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</si>
  <si>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</si>
  <si>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</si>
  <si>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</si>
  <si>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</si>
  <si>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</si>
  <si>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</si>
  <si>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</si>
  <si>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</si>
  <si>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</si>
  <si>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</si>
  <si>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</si>
  <si>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</si>
  <si>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</si>
  <si>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</si>
  <si>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</si>
  <si>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</si>
  <si>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</si>
  <si>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</si>
  <si>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</si>
  <si>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</si>
  <si>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</si>
  <si>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</si>
  <si>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</si>
  <si>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</si>
  <si>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</si>
  <si>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</si>
  <si>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</si>
  <si>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</si>
  <si>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</si>
  <si>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</si>
  <si>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</si>
  <si>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</si>
  <si>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</si>
  <si>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</si>
  <si>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</si>
  <si>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</si>
  <si>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</si>
  <si>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</si>
  <si>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</si>
  <si>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</si>
  <si>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</si>
  <si>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</si>
  <si>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</si>
  <si>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</si>
  <si>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</si>
  <si>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</si>
  <si>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</si>
  <si>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</si>
  <si>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</si>
  <si>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</si>
  <si>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</si>
  <si>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</si>
  <si>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</si>
  <si>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</si>
  <si>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</si>
  <si>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</si>
  <si>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</si>
  <si>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</si>
  <si>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</si>
  <si>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</si>
  <si>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</si>
  <si>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</si>
  <si>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</si>
  <si>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</si>
  <si>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</si>
  <si>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</si>
  <si>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</si>
  <si>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</si>
  <si>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</si>
  <si>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</si>
  <si>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</si>
  <si>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</si>
  <si>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</si>
  <si>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</si>
  <si>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</si>
  <si>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</si>
  <si>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</si>
  <si>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</si>
  <si>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</si>
  <si>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</si>
  <si>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</si>
  <si>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</si>
  <si>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</si>
  <si>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</si>
  <si>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</si>
  <si>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</si>
  <si>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</si>
  <si>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</si>
  <si>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</si>
  <si>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</si>
  <si>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</si>
  <si>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</si>
  <si>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</si>
  <si>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</si>
  <si>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</si>
  <si>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</si>
  <si>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</si>
  <si>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</si>
  <si>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</si>
  <si>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</si>
  <si>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</si>
  <si>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</si>
  <si>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</si>
  <si>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</si>
  <si>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</si>
  <si>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</si>
  <si>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</si>
  <si>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</si>
  <si>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</si>
  <si>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</si>
  <si>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</si>
  <si>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</si>
  <si>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</si>
  <si>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</si>
  <si>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</si>
  <si>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</si>
  <si>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</si>
  <si>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</si>
  <si>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</si>
  <si>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</si>
  <si>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</si>
  <si>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</si>
  <si>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</si>
  <si>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</si>
  <si>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</si>
  <si>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</si>
  <si>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</si>
  <si>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</si>
  <si>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</si>
  <si>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</si>
  <si>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</si>
  <si>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</si>
  <si>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</si>
  <si>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</si>
  <si>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</si>
  <si>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</si>
  <si>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</si>
  <si>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</si>
  <si>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</si>
  <si>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</si>
  <si>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</si>
  <si>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</si>
  <si>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</si>
  <si>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</si>
  <si>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</si>
  <si>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</si>
  <si>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</si>
  <si>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</si>
  <si>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</si>
  <si>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</si>
  <si>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</si>
  <si>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</si>
  <si>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</si>
  <si>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</si>
  <si>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</si>
  <si>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</si>
  <si>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</si>
  <si>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</si>
  <si>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</si>
  <si>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</si>
  <si>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</si>
  <si>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</si>
  <si>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</si>
  <si>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</si>
  <si>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</si>
  <si>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</si>
  <si>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</si>
  <si>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</si>
  <si>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</si>
  <si>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</si>
  <si>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</si>
  <si>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</si>
  <si>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</si>
  <si>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</si>
  <si>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</si>
  <si>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</si>
  <si>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</si>
  <si>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</si>
  <si>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</si>
  <si>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</si>
  <si>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</si>
  <si>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</si>
  <si>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</si>
  <si>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</si>
  <si>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</si>
  <si>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</si>
  <si>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</si>
  <si>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</si>
  <si>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</si>
  <si>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</si>
  <si>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</si>
  <si>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</si>
  <si>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</si>
  <si>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</si>
  <si>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</si>
  <si>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</si>
  <si>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</si>
  <si>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</si>
  <si>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</si>
  <si>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</si>
  <si>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</si>
  <si>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</si>
  <si>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</si>
  <si>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</si>
  <si>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</si>
  <si>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</si>
  <si>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</si>
  <si>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</si>
  <si>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</si>
  <si>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</si>
  <si>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</si>
  <si>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</si>
  <si>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</si>
  <si>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</si>
  <si>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</si>
  <si>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</si>
  <si>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</si>
  <si>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</si>
  <si>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</si>
  <si>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</si>
  <si>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</si>
  <si>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</si>
  <si>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</si>
  <si>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</si>
  <si>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</si>
  <si>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</si>
  <si>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</si>
  <si>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</si>
  <si>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</si>
  <si>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</si>
  <si>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</si>
  <si>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</si>
  <si>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</si>
  <si>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</si>
  <si>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</si>
  <si>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</si>
  <si>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</si>
  <si>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</si>
  <si>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</si>
  <si>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</si>
  <si>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</si>
  <si>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</si>
  <si>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</si>
  <si>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</si>
  <si>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</si>
  <si>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</si>
  <si>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</si>
  <si>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</si>
  <si>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</si>
  <si>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</si>
  <si>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</si>
  <si>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</si>
  <si>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</si>
  <si>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</si>
  <si>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</si>
  <si>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</si>
  <si>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</si>
  <si>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</si>
  <si>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</si>
  <si>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</si>
  <si>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</si>
  <si>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</si>
  <si>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</si>
  <si>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</si>
  <si>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</si>
  <si>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</si>
  <si>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</si>
  <si>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</si>
  <si>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</si>
  <si>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</si>
  <si>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</si>
  <si>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</si>
  <si>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</si>
  <si>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</si>
  <si>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</si>
  <si>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</si>
  <si>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</si>
  <si>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</si>
  <si>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</si>
  <si>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</si>
  <si>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</si>
  <si>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</si>
  <si>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</si>
  <si>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</si>
  <si>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</si>
  <si>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</si>
  <si>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</si>
  <si>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</si>
  <si>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</si>
  <si>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</si>
  <si>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</si>
  <si>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</si>
  <si>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</si>
  <si>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</si>
  <si>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</si>
  <si>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</si>
  <si>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</si>
  <si>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</si>
  <si>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</si>
  <si>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</si>
  <si>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</si>
  <si>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</si>
  <si>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</si>
  <si>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</si>
  <si>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</si>
  <si>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</si>
  <si>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</si>
  <si>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</si>
  <si>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</si>
  <si>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</si>
  <si>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</si>
  <si>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</si>
  <si>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</si>
  <si>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</si>
  <si>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</si>
  <si>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</si>
  <si>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</si>
  <si>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</si>
  <si>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</si>
  <si>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</si>
  <si>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</si>
  <si>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</si>
  <si>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</si>
  <si>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</si>
  <si>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</si>
  <si>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</si>
  <si>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</si>
  <si>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</si>
  <si>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</si>
  <si>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</si>
  <si>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</si>
  <si>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</si>
  <si>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</si>
  <si>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</si>
  <si>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</si>
  <si>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</si>
  <si>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</si>
  <si>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</si>
  <si>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</si>
  <si>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</si>
  <si>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</si>
  <si>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</si>
  <si>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</si>
  <si>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</si>
  <si>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</si>
  <si>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</si>
  <si>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</si>
  <si>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</si>
  <si>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</si>
  <si>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</si>
  <si>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</si>
  <si>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</si>
  <si>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</si>
  <si>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</si>
  <si>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</si>
  <si>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</si>
  <si>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</si>
  <si>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</si>
  <si>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</si>
  <si>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</si>
  <si>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</si>
  <si>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</si>
  <si>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</si>
  <si>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</si>
  <si>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</si>
  <si>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</si>
  <si>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</si>
  <si>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</si>
  <si>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</si>
  <si>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</si>
  <si>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</si>
  <si>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</si>
  <si>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</si>
  <si>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</si>
  <si>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</si>
  <si>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</si>
  <si>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</si>
  <si>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</si>
  <si>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</si>
  <si>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</si>
  <si>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</si>
  <si>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</si>
  <si>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</si>
  <si>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</si>
  <si>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</si>
  <si>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</si>
  <si>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</si>
  <si>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</si>
  <si>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</si>
  <si>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</si>
  <si>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</si>
  <si>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</si>
  <si>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</si>
  <si>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</si>
  <si>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</si>
  <si>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</si>
  <si>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</si>
  <si>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</si>
  <si>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</si>
  <si>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</si>
  <si>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</si>
  <si>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</si>
  <si>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</si>
  <si>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</si>
  <si>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</si>
  <si>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</si>
  <si>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</si>
  <si>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</si>
  <si>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</si>
  <si>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</si>
  <si>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</si>
  <si>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</si>
  <si>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</si>
  <si>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</si>
  <si>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</si>
  <si>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</si>
  <si>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</si>
  <si>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</si>
  <si>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</si>
  <si>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</si>
  <si>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</si>
  <si>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</si>
  <si>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</si>
  <si>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</si>
  <si>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</si>
  <si>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</si>
  <si>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</si>
  <si>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</si>
  <si>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</si>
  <si>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</si>
  <si>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</si>
  <si>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</si>
  <si>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</si>
  <si>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</si>
  <si>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</si>
  <si>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</si>
  <si>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</si>
  <si>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</si>
  <si>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</si>
  <si>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</si>
  <si>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</si>
  <si>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</si>
  <si>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</si>
  <si>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</si>
  <si>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</si>
  <si>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</si>
  <si>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</si>
  <si>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</si>
  <si>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</si>
  <si>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</si>
  <si>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</si>
  <si>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</si>
  <si>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</si>
  <si>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</si>
  <si>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</si>
  <si>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</si>
  <si>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</si>
  <si>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</si>
  <si>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</si>
  <si>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</si>
  <si>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</si>
  <si>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</si>
  <si>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</si>
  <si>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</si>
  <si>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</si>
  <si>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</si>
  <si>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</si>
  <si>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</si>
  <si>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</si>
  <si>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</si>
  <si>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</si>
  <si>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</si>
  <si>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</si>
  <si>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</si>
  <si>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</si>
  <si>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</si>
  <si>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</si>
  <si>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</si>
  <si>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</si>
  <si>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</si>
  <si>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</si>
  <si>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</si>
  <si>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</si>
  <si>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</si>
  <si>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</si>
  <si>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</si>
  <si>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</si>
  <si>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</si>
  <si>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</si>
  <si>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</si>
  <si>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</si>
  <si>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</si>
  <si>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</si>
  <si>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</si>
  <si>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</si>
  <si>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</si>
  <si>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</si>
  <si>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</si>
  <si>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</si>
  <si>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</si>
  <si>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</si>
  <si>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</si>
  <si>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</si>
  <si>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</si>
  <si>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</si>
  <si>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</si>
  <si>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</si>
  <si>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</si>
  <si>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</si>
  <si>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</si>
  <si>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</si>
  <si>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</si>
  <si>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</si>
  <si>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</si>
  <si>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</si>
  <si>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</si>
  <si>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</si>
  <si>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</si>
  <si>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</si>
  <si>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</si>
  <si>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</si>
  <si>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</si>
  <si>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</si>
  <si>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</si>
  <si>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</si>
  <si>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</si>
  <si>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</si>
  <si>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</si>
  <si>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</si>
  <si>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</si>
  <si>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</si>
  <si>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</si>
  <si>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</si>
  <si>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</si>
  <si>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</si>
  <si>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</si>
  <si>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</si>
  <si>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</si>
  <si>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</si>
  <si>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</si>
  <si>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</si>
  <si>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</si>
  <si>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</si>
  <si>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</si>
  <si>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</si>
  <si>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</si>
  <si>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</si>
  <si>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</si>
  <si>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</si>
  <si>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</si>
  <si>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</si>
  <si>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</si>
  <si>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</si>
  <si>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</si>
  <si>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</si>
  <si>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</si>
  <si>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</si>
  <si>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</si>
  <si>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</si>
  <si>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</si>
  <si>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</si>
  <si>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</si>
  <si>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</si>
  <si>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</si>
  <si>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</si>
  <si>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</si>
  <si>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</si>
  <si>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</si>
  <si>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</si>
  <si>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</si>
  <si>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</si>
  <si>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</si>
  <si>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</si>
  <si>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</si>
  <si>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</si>
  <si>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</si>
  <si>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</si>
  <si>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</si>
  <si>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</si>
  <si>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</si>
  <si>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</si>
  <si>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</si>
  <si>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</si>
  <si>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</si>
  <si>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</si>
  <si>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</si>
  <si>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</si>
  <si>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</si>
  <si>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</si>
  <si>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</si>
  <si>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</si>
  <si>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</si>
  <si>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</si>
  <si>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</si>
  <si>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</si>
  <si>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</si>
  <si>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</si>
  <si>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</si>
  <si>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</si>
  <si>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</si>
  <si>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</si>
  <si>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</si>
  <si>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</si>
  <si>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</si>
  <si>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</si>
  <si>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</si>
  <si>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</si>
  <si>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</si>
  <si>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</si>
  <si>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</si>
  <si>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</si>
  <si>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</si>
  <si>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</si>
  <si>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</si>
  <si>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</si>
  <si>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</si>
  <si>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</si>
  <si>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</si>
  <si>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</si>
  <si>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</si>
  <si>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</si>
  <si>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</si>
  <si>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</si>
  <si>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</si>
  <si>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</si>
  <si>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</si>
  <si>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</si>
  <si>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</si>
  <si>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</si>
  <si>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</si>
  <si>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</si>
  <si>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</si>
  <si>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</si>
  <si>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</si>
  <si>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</si>
  <si>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</si>
  <si>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</si>
  <si>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</si>
  <si>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</si>
  <si>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</si>
  <si>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</si>
  <si>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</si>
  <si>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</si>
  <si>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</si>
  <si>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</si>
  <si>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</si>
  <si>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</si>
  <si>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</si>
  <si>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</si>
  <si>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</si>
  <si>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</si>
  <si>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</si>
  <si>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</si>
  <si>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</si>
  <si>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</si>
  <si>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</si>
  <si>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</si>
  <si>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</si>
  <si>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</si>
  <si>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</si>
  <si>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</si>
  <si>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</si>
  <si>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</si>
  <si>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</si>
  <si>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</si>
  <si>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</si>
  <si>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</si>
  <si>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</si>
  <si>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</si>
  <si>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</si>
  <si>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</si>
  <si>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</si>
  <si>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</si>
  <si>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</si>
  <si>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</si>
  <si>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</si>
  <si>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</si>
  <si>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</si>
  <si>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</si>
  <si>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</si>
  <si>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</si>
  <si>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</si>
  <si>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</si>
  <si>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</si>
  <si>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</si>
  <si>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</si>
  <si>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</si>
  <si>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</si>
  <si>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</si>
  <si>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</si>
  <si>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</si>
  <si>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</si>
  <si>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</si>
  <si>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</si>
  <si>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</si>
  <si>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</si>
  <si>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</si>
  <si>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</si>
  <si>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</si>
  <si>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</si>
  <si>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</si>
  <si>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</si>
  <si>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</si>
  <si>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</si>
  <si>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</si>
  <si>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</si>
  <si>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</si>
  <si>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</si>
  <si>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</si>
  <si>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</si>
  <si>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</si>
  <si>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</si>
  <si>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</si>
  <si>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</si>
  <si>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</si>
  <si>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</si>
  <si>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</si>
  <si>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</si>
  <si>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</si>
  <si>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</si>
  <si>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</si>
  <si>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</si>
  <si>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</si>
  <si>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</si>
  <si>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</si>
  <si>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</si>
  <si>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</si>
  <si>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</si>
  <si>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</si>
  <si>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</si>
  <si>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</si>
  <si>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</si>
  <si>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</si>
  <si>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</si>
  <si>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</si>
  <si>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</si>
  <si>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</si>
  <si>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</si>
  <si>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</si>
  <si>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</si>
  <si>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</si>
  <si>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</si>
  <si>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</si>
  <si>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</si>
  <si>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</si>
  <si>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</si>
  <si>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</si>
  <si>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</si>
  <si>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</si>
  <si>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</si>
  <si>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</si>
  <si>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</si>
  <si>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</si>
  <si>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</si>
  <si>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</si>
  <si>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</si>
  <si>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</si>
  <si>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</si>
  <si>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</si>
  <si>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</si>
  <si>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</si>
  <si>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</si>
  <si>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</si>
  <si>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</si>
  <si>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</si>
  <si>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</si>
  <si>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</si>
  <si>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</si>
  <si>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</si>
  <si>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</si>
  <si>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</si>
  <si>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</si>
  <si>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</si>
  <si>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</si>
  <si>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</si>
  <si>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</si>
  <si>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</si>
  <si>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</si>
  <si>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</si>
  <si>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</si>
  <si>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</si>
  <si>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</si>
  <si>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</si>
  <si>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</si>
  <si>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</si>
  <si>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</si>
  <si>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</si>
  <si>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</si>
  <si>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</si>
  <si>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</si>
  <si>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</si>
  <si>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</si>
  <si>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</si>
  <si>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</si>
  <si>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</si>
  <si>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</si>
  <si>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</si>
  <si>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</si>
  <si>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</si>
  <si>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</si>
  <si>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</si>
  <si>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</si>
  <si>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</si>
  <si>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</si>
  <si>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</si>
  <si>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</si>
  <si>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</si>
  <si>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</si>
  <si>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</si>
  <si>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</si>
  <si>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</si>
  <si>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</si>
  <si>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</si>
  <si>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</si>
  <si>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</si>
  <si>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</si>
  <si>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</si>
  <si>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</si>
  <si>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</si>
  <si>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</si>
  <si>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</si>
  <si>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</si>
  <si>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</si>
  <si>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</si>
  <si>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</si>
  <si>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</si>
  <si>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</si>
  <si>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</si>
  <si>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</si>
  <si>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</si>
  <si>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</si>
  <si>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</si>
  <si>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</si>
  <si>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</si>
  <si>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</si>
  <si>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</si>
  <si>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</si>
  <si>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</si>
  <si>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</si>
  <si>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</si>
  <si>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</si>
  <si>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</si>
  <si>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</si>
  <si>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</si>
  <si>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</si>
  <si>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</si>
  <si>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</si>
  <si>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</si>
  <si>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</si>
  <si>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</si>
  <si>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</si>
  <si>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</si>
  <si>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</si>
  <si>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</si>
  <si>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</si>
  <si>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</si>
  <si>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</si>
  <si>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</si>
  <si>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</si>
  <si>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</si>
  <si>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</si>
  <si>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</si>
  <si>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</si>
  <si>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</si>
  <si>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</si>
  <si>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</si>
  <si>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</si>
  <si>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</si>
  <si>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</si>
  <si>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</si>
  <si>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</si>
  <si>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</si>
  <si>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</si>
  <si>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</si>
  <si>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</si>
  <si>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</si>
  <si>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</si>
  <si>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</si>
  <si>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</si>
  <si>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</si>
  <si>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</si>
  <si>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</si>
  <si>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</si>
  <si>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</si>
  <si>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</si>
  <si>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</si>
  <si>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</si>
  <si>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</si>
  <si>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</si>
  <si>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</si>
  <si>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</si>
  <si>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</si>
  <si>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</si>
  <si>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</si>
  <si>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</si>
  <si>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</si>
  <si>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</si>
  <si>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</si>
  <si>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</si>
  <si>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</si>
  <si>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</si>
  <si>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</si>
  <si>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</si>
  <si>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</si>
  <si>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</si>
  <si>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</si>
  <si>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</si>
  <si>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</si>
  <si>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</si>
  <si>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</si>
  <si>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</si>
  <si>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</si>
  <si>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</si>
  <si>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</si>
  <si>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</si>
  <si>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</si>
  <si>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</si>
  <si>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</si>
  <si>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</si>
  <si>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</si>
  <si>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</si>
  <si>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</si>
  <si>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</si>
  <si>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</si>
  <si>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</si>
  <si>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</si>
  <si>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</si>
  <si>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</si>
  <si>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</si>
  <si>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</si>
  <si>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</si>
  <si>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</si>
  <si>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</si>
  <si>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</si>
  <si>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</si>
  <si>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</si>
  <si>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</si>
  <si>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</si>
  <si>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</si>
  <si>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</si>
  <si>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</si>
  <si>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</si>
  <si>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</si>
  <si>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</si>
  <si>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</si>
  <si>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</si>
  <si>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</si>
  <si>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</si>
  <si>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</si>
  <si>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</si>
  <si>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</si>
  <si>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</si>
  <si>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</si>
  <si>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</si>
  <si>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</si>
  <si>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</si>
  <si>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</si>
  <si>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</si>
  <si>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</si>
  <si>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</si>
  <si>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</si>
  <si>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</si>
  <si>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</si>
  <si>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</si>
  <si>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</si>
  <si>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</si>
  <si>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</si>
  <si>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</si>
  <si>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</si>
  <si>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</si>
  <si>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</si>
  <si>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</si>
  <si>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</si>
  <si>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</si>
  <si>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</si>
  <si>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</si>
  <si>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</si>
  <si>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</si>
  <si>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</si>
  <si>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</si>
  <si>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</si>
  <si>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</si>
  <si>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</si>
  <si>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</si>
  <si>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</si>
  <si>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</si>
  <si>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</si>
  <si>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</si>
  <si>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</si>
  <si>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</si>
  <si>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</si>
  <si>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</si>
  <si>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</si>
  <si>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</si>
  <si>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</si>
  <si>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</si>
  <si>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</si>
  <si>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</si>
  <si>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</si>
  <si>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</si>
  <si>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</si>
  <si>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</si>
  <si>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</si>
  <si>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</si>
  <si>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</si>
  <si>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</si>
  <si>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</si>
  <si>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</si>
  <si>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</si>
  <si>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</si>
  <si>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</si>
  <si>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</si>
  <si>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</si>
  <si>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</si>
  <si>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</si>
  <si>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</si>
  <si>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</si>
  <si>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</si>
  <si>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</si>
  <si>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</si>
  <si>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</si>
  <si>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</si>
  <si>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</si>
  <si>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</si>
  <si>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</si>
  <si>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</si>
  <si>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</si>
  <si>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</si>
  <si>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</si>
  <si>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</si>
  <si>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</si>
  <si>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</si>
  <si>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</si>
  <si>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</si>
  <si>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</si>
  <si>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</si>
  <si>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</si>
  <si>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</si>
  <si>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</si>
  <si>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</si>
  <si>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</si>
  <si>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</si>
  <si>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</si>
  <si>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</si>
  <si>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</si>
  <si>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</si>
  <si>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</si>
  <si>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</si>
  <si>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</si>
  <si>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</si>
  <si>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</si>
  <si>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</si>
  <si>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</si>
  <si>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</si>
  <si>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</si>
  <si>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</si>
  <si>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</si>
  <si>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</si>
  <si>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</si>
  <si>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</si>
  <si>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</si>
  <si>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</si>
  <si>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</si>
  <si>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</si>
  <si>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</si>
  <si>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</si>
  <si>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</si>
  <si>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</si>
  <si>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</si>
  <si>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</si>
  <si>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</si>
  <si>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</si>
  <si>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</si>
  <si>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</si>
  <si>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</si>
  <si>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</si>
  <si>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</si>
  <si>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</si>
  <si>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</si>
  <si>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</si>
  <si>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</si>
  <si>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</si>
  <si>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</si>
  <si>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</si>
  <si>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</si>
  <si>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</si>
  <si>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</si>
  <si>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</si>
  <si>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</si>
  <si>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</si>
  <si>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</si>
  <si>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</si>
  <si>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</si>
  <si>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</si>
  <si>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</si>
  <si>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</si>
  <si>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</si>
  <si>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</si>
  <si>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</si>
  <si>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</si>
  <si>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</si>
  <si>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</si>
  <si>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</si>
  <si>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</si>
  <si>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</si>
  <si>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</si>
  <si>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</si>
  <si>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</si>
  <si>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</si>
  <si>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</si>
  <si>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</si>
  <si>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</si>
  <si>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</si>
  <si>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</si>
  <si>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</si>
  <si>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</si>
  <si>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</si>
  <si>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</si>
  <si>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</si>
  <si>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</si>
  <si>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</si>
  <si>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</si>
  <si>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</si>
  <si>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</si>
  <si>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</si>
  <si>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</si>
  <si>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</si>
  <si>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</si>
  <si>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</si>
  <si>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</si>
  <si>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</si>
  <si>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</si>
  <si>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</si>
  <si>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</si>
  <si>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</si>
  <si>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</si>
  <si>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</si>
  <si>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</si>
  <si>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</si>
  <si>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</si>
  <si>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</si>
  <si>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</si>
  <si>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</si>
  <si>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</si>
  <si>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</si>
  <si>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</si>
  <si>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</si>
  <si>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</si>
  <si>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</si>
  <si>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</si>
  <si>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</si>
  <si>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</si>
  <si>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</si>
  <si>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</si>
  <si>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</si>
  <si>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</si>
  <si>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</si>
  <si>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</si>
  <si>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</si>
  <si>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</si>
  <si>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</si>
  <si>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</si>
  <si>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</si>
  <si>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</si>
  <si>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</si>
  <si>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</si>
  <si>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</si>
  <si>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</si>
  <si>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</si>
  <si>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</si>
  <si>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</si>
  <si>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</si>
  <si>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</si>
  <si>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</si>
  <si>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</si>
  <si>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</si>
  <si>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</si>
  <si>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</si>
  <si>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</si>
  <si>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</si>
  <si>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</si>
  <si>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</si>
  <si>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</si>
  <si>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</si>
  <si>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</si>
  <si>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</si>
  <si>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</si>
  <si>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</si>
  <si>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</si>
  <si>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</si>
  <si>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</si>
  <si>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</si>
  <si>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</si>
  <si>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</si>
  <si>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</si>
  <si>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</si>
  <si>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</si>
  <si>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</si>
  <si>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</si>
  <si>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</si>
  <si>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</si>
  <si>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</si>
  <si>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</si>
  <si>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</si>
  <si>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</si>
  <si>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</si>
  <si>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</si>
  <si>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</si>
  <si>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</si>
  <si>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</si>
  <si>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</si>
  <si>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</si>
  <si>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</si>
  <si>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</si>
  <si>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</si>
  <si>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</si>
  <si>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</si>
  <si>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</si>
  <si>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</si>
  <si>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</si>
  <si>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</si>
  <si>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</si>
  <si>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</si>
  <si>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</si>
  <si>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</si>
  <si>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</si>
  <si>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</si>
  <si>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</si>
  <si>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</si>
  <si>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</si>
  <si>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</si>
  <si>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</si>
  <si>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</si>
  <si>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</si>
  <si>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</si>
  <si>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</si>
  <si>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</si>
  <si>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</si>
  <si>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</si>
  <si>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</si>
  <si>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</si>
  <si>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</si>
  <si>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</si>
  <si>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</si>
  <si>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</si>
  <si>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</si>
  <si>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</si>
  <si>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</si>
  <si>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</si>
  <si>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</si>
  <si>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</si>
  <si>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</si>
  <si>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</si>
  <si>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</si>
  <si>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</si>
  <si>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</si>
  <si>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</si>
  <si>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</si>
  <si>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</si>
  <si>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</si>
  <si>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</si>
  <si>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</si>
  <si>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</si>
  <si>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</si>
  <si>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</si>
  <si>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</si>
  <si>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</si>
  <si>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</si>
  <si>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</si>
  <si>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</si>
  <si>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</si>
  <si>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</si>
  <si>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</si>
  <si>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</si>
  <si>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</si>
  <si>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</si>
  <si>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</si>
  <si>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</si>
  <si>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</si>
  <si>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</si>
  <si>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</si>
  <si>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</si>
  <si>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</si>
  <si>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</si>
  <si>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</si>
  <si>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</si>
  <si>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</si>
  <si>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</si>
  <si>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</si>
  <si>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</si>
  <si>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</si>
  <si>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</si>
  <si>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</si>
  <si>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</si>
  <si>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</si>
  <si>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</si>
  <si>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</si>
  <si>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</si>
  <si>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</si>
  <si>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</si>
  <si>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</si>
  <si>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</si>
  <si>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</si>
  <si>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</si>
  <si>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</si>
  <si>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</si>
  <si>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</si>
  <si>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</si>
  <si>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</si>
  <si>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</si>
  <si>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</si>
  <si>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</si>
  <si>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</si>
  <si>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</si>
  <si>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</si>
  <si>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</si>
  <si>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</si>
  <si>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</si>
  <si>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</si>
  <si>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</si>
  <si>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</si>
  <si>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</si>
  <si>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</si>
  <si>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</si>
  <si>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</si>
  <si>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</si>
  <si>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</si>
  <si>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</si>
  <si>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</si>
  <si>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</si>
  <si>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</si>
  <si>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</si>
  <si>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</si>
  <si>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</si>
  <si>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</si>
  <si>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</si>
  <si>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</si>
  <si>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</si>
  <si>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</si>
  <si>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</si>
  <si>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</si>
  <si>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</si>
  <si>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</si>
  <si>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</si>
  <si>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</si>
  <si>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</si>
  <si>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</si>
  <si>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</si>
  <si>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</si>
  <si>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</si>
  <si>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</si>
  <si>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</si>
  <si>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</si>
  <si>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</si>
  <si>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</si>
  <si>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</si>
  <si>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</si>
  <si>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</si>
  <si>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</si>
  <si>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</si>
  <si>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</si>
  <si>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</si>
  <si>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</si>
  <si>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</si>
  <si>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</si>
  <si>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</si>
  <si>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</si>
  <si>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</si>
  <si>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</si>
  <si>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</si>
  <si>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</si>
  <si>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</si>
  <si>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</si>
  <si>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</si>
  <si>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</si>
  <si>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</si>
  <si>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</si>
  <si>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</si>
  <si>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</si>
  <si>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</si>
  <si>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</si>
  <si>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</si>
  <si>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</si>
  <si>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</si>
  <si>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</si>
  <si>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</si>
  <si>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</si>
  <si>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</si>
  <si>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</si>
  <si>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</si>
  <si>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</si>
  <si>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</si>
  <si>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</si>
  <si>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</si>
  <si>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</si>
  <si>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</si>
  <si>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</si>
  <si>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</si>
  <si>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</si>
  <si>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</si>
  <si>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</si>
  <si>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</si>
  <si>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</si>
  <si>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</si>
  <si>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</si>
  <si>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</si>
  <si>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</si>
  <si>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</si>
  <si>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</si>
  <si>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</si>
  <si>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</si>
  <si>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</si>
  <si>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</si>
  <si>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</si>
  <si>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</si>
  <si>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</si>
  <si>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</si>
  <si>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</si>
  <si>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</si>
  <si>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</si>
  <si>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</si>
  <si>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</si>
  <si>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</si>
  <si>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</si>
  <si>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</si>
  <si>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</si>
  <si>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</si>
  <si>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</si>
  <si>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</si>
  <si>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</si>
  <si>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</si>
  <si>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</si>
  <si>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</si>
  <si>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</si>
  <si>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</si>
  <si>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</si>
  <si>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</si>
  <si>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</si>
  <si>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</si>
  <si>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</si>
  <si>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</si>
  <si>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</si>
  <si>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</si>
  <si>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</si>
  <si>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</si>
  <si>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</si>
  <si>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</si>
  <si>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</si>
  <si>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</si>
  <si>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</si>
  <si>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</si>
  <si>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</si>
  <si>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</si>
  <si>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</si>
  <si>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</si>
  <si>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</si>
  <si>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</si>
  <si>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</si>
  <si>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</si>
  <si>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</si>
  <si>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</si>
  <si>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</si>
  <si>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</si>
  <si>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</si>
  <si>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</si>
  <si>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</si>
  <si>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</si>
  <si>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</si>
  <si>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</si>
  <si>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</si>
  <si>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</si>
  <si>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</si>
  <si>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</si>
  <si>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</si>
  <si>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</si>
  <si>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</si>
  <si>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</si>
  <si>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</si>
  <si>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</si>
  <si>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</si>
  <si>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</si>
  <si>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</si>
  <si>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</si>
  <si>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</si>
  <si>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</si>
  <si>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</si>
  <si>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</si>
  <si>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</si>
  <si>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</si>
  <si>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</si>
  <si>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</si>
  <si>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</si>
  <si>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</si>
  <si>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</si>
  <si>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</si>
  <si>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</si>
  <si>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</si>
  <si>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</si>
  <si>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</si>
  <si>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</si>
  <si>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</si>
  <si>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</si>
  <si>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</si>
  <si>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</si>
  <si>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</si>
  <si>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</si>
  <si>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</si>
  <si>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</si>
  <si>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</si>
  <si>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</si>
  <si>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</si>
  <si>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</si>
  <si>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</si>
  <si>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</si>
  <si>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</si>
  <si>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</si>
  <si>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</si>
  <si>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</si>
  <si>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</si>
  <si>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</si>
  <si>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</si>
  <si>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</si>
  <si>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</si>
  <si>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</si>
  <si>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</si>
  <si>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</si>
  <si>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</si>
  <si>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</si>
  <si>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</si>
  <si>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</si>
  <si>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</si>
  <si>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</si>
  <si>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</si>
  <si>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</si>
  <si>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</si>
  <si>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</si>
  <si>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</si>
  <si>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</si>
  <si>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</si>
  <si>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</si>
  <si>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</si>
  <si>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</si>
  <si>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</si>
  <si>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</si>
  <si>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</si>
  <si>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</si>
  <si>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</si>
  <si>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</si>
  <si>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</si>
  <si>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</si>
  <si>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</si>
  <si>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</si>
  <si>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</si>
  <si>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</si>
  <si>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</si>
  <si>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</si>
  <si>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</si>
  <si>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</si>
  <si>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</si>
  <si>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</si>
  <si>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</si>
  <si>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</si>
  <si>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</si>
  <si>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</si>
  <si>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</si>
  <si>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</si>
  <si>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</si>
  <si>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</si>
  <si>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</si>
  <si>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</si>
  <si>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</si>
  <si>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</si>
  <si>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</si>
  <si>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</si>
  <si>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</si>
  <si>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</si>
  <si>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</si>
  <si>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</si>
  <si>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</si>
  <si>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</si>
  <si>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</si>
  <si>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</si>
  <si>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</si>
  <si>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</si>
  <si>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</si>
  <si>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</si>
  <si>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</si>
  <si>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</si>
  <si>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</si>
  <si>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</si>
  <si>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</si>
  <si>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</si>
  <si>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</si>
  <si>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</si>
  <si>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</si>
  <si>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</si>
  <si>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</si>
  <si>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</si>
  <si>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</si>
  <si>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</si>
  <si>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</si>
  <si>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</si>
  <si>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</si>
  <si>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</si>
  <si>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</si>
  <si>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</si>
  <si>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</si>
  <si>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</si>
  <si>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</si>
  <si>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</si>
  <si>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</si>
  <si>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</si>
  <si>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</si>
  <si>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</si>
  <si>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</si>
  <si>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</si>
  <si>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</si>
  <si>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</si>
  <si>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</si>
  <si>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</si>
  <si>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</si>
  <si>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</si>
  <si>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</si>
  <si>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</si>
  <si>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</si>
  <si>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</si>
  <si>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</si>
  <si>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</si>
  <si>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</si>
  <si>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</si>
  <si>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</si>
  <si>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</si>
  <si>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</si>
  <si>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</si>
  <si>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</si>
  <si>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</si>
  <si>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</si>
  <si>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</si>
  <si>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</si>
  <si>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</si>
  <si>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</si>
  <si>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</si>
  <si>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</si>
  <si>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</si>
  <si>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</si>
  <si>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</si>
  <si>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</si>
  <si>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</si>
  <si>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</si>
  <si>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</si>
  <si>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</si>
  <si>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</si>
  <si>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</si>
  <si>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</si>
  <si>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</si>
  <si>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</si>
  <si>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</si>
  <si>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</si>
  <si>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</si>
  <si>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</si>
  <si>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</si>
  <si>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</si>
  <si>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</si>
  <si>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</si>
  <si>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</si>
  <si>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</si>
  <si>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</si>
  <si>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</si>
  <si>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</si>
  <si>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</si>
  <si>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</si>
  <si>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</si>
  <si>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</si>
  <si>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</si>
  <si>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</si>
  <si>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</si>
  <si>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</si>
  <si>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</si>
  <si>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</si>
  <si>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</si>
  <si>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</si>
  <si>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</si>
  <si>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</si>
  <si>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</si>
  <si>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</si>
  <si>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</si>
  <si>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</si>
  <si>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</si>
  <si>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</si>
  <si>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</si>
  <si>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</si>
  <si>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</si>
  <si>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</si>
  <si>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</si>
  <si>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</si>
  <si>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</si>
  <si>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</si>
  <si>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</si>
  <si>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</si>
  <si>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</si>
  <si>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</si>
  <si>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</si>
  <si>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</si>
  <si>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</si>
  <si>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</si>
  <si>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</si>
  <si>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</si>
  <si>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</si>
  <si>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</si>
  <si>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</si>
  <si>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</si>
  <si>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</si>
  <si>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</si>
  <si>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</si>
  <si>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</si>
  <si>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</si>
  <si>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</si>
  <si>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</si>
  <si>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</si>
  <si>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</si>
  <si>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</si>
  <si>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</si>
  <si>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</si>
  <si>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</si>
  <si>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</si>
  <si>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</si>
  <si>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</si>
  <si>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</si>
  <si>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</si>
  <si>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</si>
  <si>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</si>
  <si>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</si>
  <si>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</si>
  <si>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</si>
  <si>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</si>
  <si>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</si>
  <si>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</si>
  <si>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</si>
  <si>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</si>
  <si>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</si>
  <si>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</si>
  <si>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</si>
  <si>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</si>
  <si>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</si>
  <si>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</si>
  <si>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</si>
  <si>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</si>
  <si>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</si>
  <si>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</si>
  <si>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</si>
  <si>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</si>
  <si>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</si>
  <si>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</si>
  <si>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</si>
  <si>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</si>
  <si>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</si>
  <si>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</si>
  <si>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</si>
  <si>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</si>
  <si>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</si>
  <si>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</si>
  <si>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</si>
  <si>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</si>
  <si>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</si>
  <si>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</si>
  <si>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</si>
  <si>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</si>
  <si>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</si>
  <si>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</si>
  <si>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</si>
  <si>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</si>
  <si>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</si>
  <si>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</si>
  <si>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</si>
  <si>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</si>
  <si>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</si>
  <si>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</si>
  <si>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</si>
  <si>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</si>
  <si>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</si>
  <si>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</si>
  <si>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</si>
  <si>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</si>
  <si>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</si>
  <si>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</si>
  <si>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</si>
  <si>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</si>
  <si>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</si>
  <si>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</si>
  <si>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</si>
  <si>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</si>
  <si>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</si>
  <si>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</si>
  <si>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</si>
  <si>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</si>
  <si>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</si>
  <si>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</si>
  <si>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</si>
  <si>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</si>
  <si>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</si>
  <si>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</si>
  <si>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</si>
  <si>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</si>
  <si>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</si>
  <si>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</si>
  <si>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</si>
  <si>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</si>
  <si>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</si>
  <si>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</si>
  <si>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</si>
  <si>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</si>
  <si>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</si>
  <si>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</si>
  <si>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</si>
  <si>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</si>
  <si>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</si>
  <si>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</si>
  <si>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</si>
  <si>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</si>
  <si>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</si>
  <si>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</si>
  <si>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</si>
  <si>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</si>
  <si>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</si>
  <si>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</si>
  <si>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</si>
  <si>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</si>
  <si>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</si>
  <si>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</si>
  <si>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</si>
  <si>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</si>
  <si>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</si>
  <si>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</si>
  <si>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</si>
  <si>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</si>
  <si>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</si>
  <si>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</si>
  <si>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</si>
  <si>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</si>
  <si>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</si>
  <si>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</si>
  <si>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</si>
  <si>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</si>
  <si>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</si>
  <si>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</si>
  <si>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</si>
  <si>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</si>
  <si>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</si>
  <si>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</si>
  <si>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</si>
  <si>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</si>
  <si>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</si>
  <si>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</si>
  <si>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</si>
  <si>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</si>
  <si>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</si>
  <si>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</si>
  <si>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</si>
  <si>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</si>
  <si>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</si>
  <si>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</si>
  <si>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</si>
  <si>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</si>
  <si>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</si>
  <si>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</si>
  <si>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</si>
  <si>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</si>
  <si>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</si>
  <si>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</si>
  <si>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</si>
  <si>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</si>
  <si>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</si>
  <si>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</si>
  <si>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</si>
  <si>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</si>
  <si>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</si>
  <si>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</si>
  <si>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</si>
  <si>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</si>
  <si>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</si>
  <si>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</si>
  <si>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</si>
  <si>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</si>
  <si>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</si>
  <si>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</si>
  <si>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</si>
  <si>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</si>
  <si>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</si>
  <si>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</si>
  <si>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</si>
  <si>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</si>
  <si>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</si>
  <si>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</si>
  <si>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</si>
  <si>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</si>
  <si>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</si>
  <si>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</si>
  <si>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</si>
  <si>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</si>
  <si>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</si>
  <si>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</si>
  <si>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</si>
  <si>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</si>
  <si>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</si>
  <si>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</si>
  <si>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</si>
  <si>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</si>
  <si>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</si>
  <si>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</si>
  <si>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</si>
  <si>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</si>
  <si>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</si>
  <si>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</si>
  <si>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</si>
  <si>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</si>
  <si>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</si>
  <si>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</si>
  <si>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</si>
  <si>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</si>
  <si>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</si>
  <si>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</si>
  <si>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</si>
  <si>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</si>
  <si>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</si>
  <si>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</si>
  <si>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</si>
  <si>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</si>
  <si>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</si>
  <si>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</si>
  <si>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</si>
  <si>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</si>
  <si>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</si>
  <si>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</si>
  <si>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</si>
  <si>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</si>
  <si>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</si>
  <si>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</si>
  <si>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</si>
  <si>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</si>
  <si>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</si>
  <si>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</si>
  <si>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</si>
  <si>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</si>
  <si>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</si>
  <si>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</si>
  <si>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</si>
  <si>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</si>
  <si>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</si>
  <si>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</si>
  <si>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</si>
  <si>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</si>
  <si>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</si>
  <si>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</si>
  <si>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</si>
  <si>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</si>
  <si>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</si>
  <si>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</si>
  <si>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</si>
  <si>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</si>
  <si>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</si>
  <si>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</si>
  <si>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</si>
  <si>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</si>
  <si>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</si>
  <si>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</si>
  <si>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</si>
  <si>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</si>
  <si>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</si>
  <si>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</si>
  <si>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</si>
  <si>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</si>
  <si>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</si>
  <si>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</si>
  <si>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</si>
  <si>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</si>
  <si>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</si>
  <si>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</si>
  <si>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</si>
  <si>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</si>
  <si>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</si>
  <si>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</si>
  <si>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</si>
  <si>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</si>
  <si>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</si>
  <si>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</si>
  <si>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</si>
  <si>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</si>
  <si>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</si>
  <si>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</si>
  <si>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</si>
  <si>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</si>
  <si>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</si>
  <si>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</si>
  <si>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</si>
  <si>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</si>
  <si>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</si>
  <si>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</si>
  <si>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</si>
  <si>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</si>
  <si>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</si>
  <si>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</si>
  <si>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</si>
  <si>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</si>
  <si>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</si>
  <si>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</si>
  <si>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</si>
  <si>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</si>
  <si>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</si>
  <si>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</si>
  <si>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</si>
  <si>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</si>
  <si>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</si>
  <si>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</si>
  <si>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</si>
  <si>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</si>
  <si>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</si>
  <si>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</si>
  <si>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</si>
  <si>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</si>
  <si>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</si>
  <si>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</si>
  <si>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</si>
  <si>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</si>
  <si>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</si>
  <si>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</si>
  <si>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</si>
  <si>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</si>
  <si>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</si>
  <si>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</si>
  <si>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</si>
  <si>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</si>
  <si>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</si>
  <si>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</si>
  <si>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</si>
  <si>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</si>
  <si>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</si>
  <si>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</si>
  <si>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</si>
  <si>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</si>
  <si>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</si>
  <si>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</si>
  <si>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</si>
  <si>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</si>
  <si>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</si>
  <si>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</si>
  <si>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</si>
  <si>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</si>
  <si>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</si>
  <si>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</si>
  <si>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</si>
  <si>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</si>
  <si>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</si>
  <si>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</si>
  <si>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</si>
  <si>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</si>
  <si>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</si>
  <si>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</si>
  <si>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</si>
  <si>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</si>
  <si>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</si>
  <si>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</si>
  <si>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</si>
  <si>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</si>
  <si>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</si>
  <si>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</si>
  <si>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</si>
  <si>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</si>
  <si>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</si>
  <si>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</si>
  <si>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</si>
  <si>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</si>
  <si>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</si>
  <si>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</si>
  <si>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</si>
  <si>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</si>
  <si>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</si>
  <si>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</si>
  <si>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</si>
  <si>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</si>
  <si>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</si>
  <si>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</si>
  <si>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</si>
  <si>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</si>
  <si>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</si>
  <si>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</si>
  <si>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</si>
  <si>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</si>
  <si>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</si>
  <si>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</si>
  <si>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</si>
  <si>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</si>
  <si>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</si>
  <si>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</si>
  <si>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</si>
  <si>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</si>
  <si>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</si>
  <si>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</si>
  <si>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</si>
  <si>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</si>
  <si>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</si>
  <si>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</si>
  <si>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</si>
  <si>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</si>
  <si>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</si>
  <si>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</si>
  <si>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</si>
  <si>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</si>
  <si>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</si>
  <si>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</si>
  <si>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</si>
  <si>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</si>
  <si>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</si>
  <si>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</si>
  <si>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</si>
  <si>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</si>
  <si>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</si>
  <si>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</si>
  <si>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</si>
  <si>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</si>
  <si>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</si>
  <si>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</si>
  <si>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</si>
  <si>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</si>
  <si>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</si>
  <si>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</si>
  <si>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</si>
  <si>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</si>
  <si>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</si>
  <si>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</si>
  <si>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</si>
  <si>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</si>
  <si>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</si>
  <si>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</si>
  <si>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</si>
  <si>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</si>
  <si>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</si>
  <si>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</si>
  <si>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</si>
  <si>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</si>
  <si>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</si>
  <si>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</si>
  <si>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</si>
  <si>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</si>
  <si>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</si>
  <si>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</si>
  <si>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</si>
  <si>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</si>
  <si>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</si>
  <si>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</si>
  <si>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</si>
  <si>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</si>
  <si>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</si>
  <si>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</si>
  <si>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</si>
  <si>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</si>
  <si>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</si>
  <si>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</si>
  <si>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</si>
  <si>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</si>
  <si>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</si>
  <si>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</si>
  <si>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</si>
  <si>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</si>
  <si>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</si>
  <si>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</si>
  <si>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</si>
  <si>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</si>
  <si>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</si>
  <si>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</si>
  <si>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</si>
  <si>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</si>
  <si>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</si>
  <si>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</si>
  <si>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</si>
  <si>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</si>
  <si>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</si>
  <si>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</si>
  <si>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</si>
  <si>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</si>
  <si>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</si>
  <si>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</si>
  <si>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</si>
  <si>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</si>
  <si>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</si>
  <si>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</si>
  <si>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</si>
  <si>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</si>
  <si>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</si>
  <si>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</si>
  <si>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</si>
  <si>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</si>
  <si>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</si>
  <si>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</si>
  <si>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</si>
  <si>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</si>
  <si>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</si>
  <si>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</si>
  <si>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</si>
  <si>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</si>
  <si>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</si>
  <si>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</si>
  <si>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</si>
  <si>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</si>
  <si>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</si>
  <si>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</si>
  <si>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</si>
  <si>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</si>
  <si>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</si>
  <si>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</si>
  <si>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</si>
  <si>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</si>
  <si>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</si>
  <si>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</si>
  <si>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</si>
  <si>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</si>
  <si>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</si>
  <si>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</si>
  <si>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</si>
  <si>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</si>
  <si>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</si>
  <si>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</si>
  <si>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</si>
  <si>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</si>
  <si>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</si>
  <si>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</si>
  <si>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</si>
  <si>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</si>
  <si>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</si>
  <si>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</si>
  <si>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</si>
  <si>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</si>
  <si>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</si>
  <si>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</si>
  <si>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</si>
  <si>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</si>
  <si>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</si>
  <si>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</si>
  <si>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</si>
  <si>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</si>
  <si>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</si>
  <si>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</si>
  <si>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</si>
  <si>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</si>
  <si>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</si>
  <si>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</si>
  <si>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</si>
  <si>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</si>
  <si>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</si>
  <si>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</si>
  <si>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</si>
  <si>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</si>
  <si>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</si>
  <si>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</si>
  <si>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</si>
  <si>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</si>
  <si>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</si>
  <si>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</si>
  <si>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</si>
  <si>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</si>
  <si>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</si>
  <si>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</si>
  <si>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</si>
  <si>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</si>
  <si>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</si>
  <si>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</si>
  <si>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</si>
  <si>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</si>
  <si>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</si>
  <si>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</si>
  <si>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</si>
  <si>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</si>
  <si>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</si>
  <si>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</si>
  <si>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</si>
  <si>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</si>
  <si>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</si>
  <si>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</si>
  <si>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</si>
  <si>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</si>
  <si>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</si>
  <si>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</si>
  <si>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</si>
  <si>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</si>
  <si>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</si>
  <si>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</si>
  <si>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</si>
  <si>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</si>
  <si>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</si>
  <si>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</si>
  <si>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</si>
  <si>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</si>
  <si>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</si>
  <si>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</si>
  <si>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</si>
  <si>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</si>
  <si>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</si>
  <si>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</si>
  <si>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</si>
  <si>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</si>
  <si>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</si>
  <si>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</si>
  <si>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</si>
  <si>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</si>
  <si>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</si>
  <si>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</si>
  <si>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</si>
  <si>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</si>
  <si>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</si>
  <si>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</si>
  <si>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</si>
  <si>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</si>
  <si>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</si>
  <si>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</si>
  <si>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</si>
  <si>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</si>
  <si>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</si>
  <si>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</si>
  <si>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</si>
  <si>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</si>
  <si>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</si>
  <si>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</si>
  <si>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</si>
  <si>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</si>
  <si>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</si>
  <si>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</si>
  <si>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</si>
  <si>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</si>
  <si>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</si>
  <si>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</si>
  <si>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</si>
  <si>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</si>
  <si>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</si>
  <si>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</si>
  <si>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</si>
  <si>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</si>
  <si>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</si>
  <si>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</si>
  <si>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</si>
  <si>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</si>
  <si>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</si>
  <si>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</si>
  <si>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</si>
  <si>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</si>
  <si>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</si>
  <si>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</si>
  <si>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</si>
  <si>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</si>
  <si>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</si>
  <si>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</si>
  <si>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</si>
  <si>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</si>
  <si>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</si>
  <si>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</si>
  <si>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</si>
  <si>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</si>
  <si>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</si>
  <si>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</si>
  <si>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</si>
  <si>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</si>
  <si>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</si>
  <si>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</si>
  <si>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</si>
  <si>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</si>
  <si>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</si>
  <si>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</si>
  <si>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</si>
  <si>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</si>
  <si>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</si>
  <si>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</si>
  <si>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</si>
  <si>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</si>
  <si>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</si>
  <si>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</si>
  <si>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</si>
  <si>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</si>
  <si>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</si>
  <si>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</si>
  <si>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</si>
  <si>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</si>
  <si>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</si>
  <si>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</si>
  <si>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</si>
  <si>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</si>
  <si>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</si>
  <si>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</si>
  <si>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</si>
  <si>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</si>
  <si>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</si>
  <si>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</si>
  <si>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</si>
  <si>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</si>
  <si>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</si>
  <si>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</si>
  <si>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</si>
  <si>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</si>
  <si>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</si>
  <si>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</si>
  <si>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</si>
  <si>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</si>
  <si>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</si>
  <si>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</si>
  <si>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</si>
  <si>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</si>
  <si>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</si>
  <si>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</si>
  <si>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</si>
  <si>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</si>
  <si>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</si>
  <si>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</si>
  <si>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</si>
  <si>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</si>
  <si>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</si>
  <si>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</si>
  <si>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</si>
  <si>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</si>
  <si>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</si>
  <si>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</si>
  <si>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</si>
  <si>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</si>
  <si>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</si>
  <si>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</si>
  <si>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</si>
  <si>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</si>
  <si>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</si>
  <si>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</si>
  <si>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</si>
  <si>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</si>
  <si>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</si>
  <si>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</si>
  <si>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</si>
  <si>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</si>
  <si>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</si>
  <si>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</si>
  <si>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</si>
  <si>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</si>
  <si>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</si>
  <si>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</si>
  <si>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</si>
  <si>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</si>
  <si>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</si>
  <si>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</si>
  <si>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</si>
  <si>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</si>
  <si>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</si>
  <si>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</si>
  <si>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</si>
  <si>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</si>
  <si>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</si>
  <si>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</si>
  <si>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</si>
  <si>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</si>
  <si>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</si>
  <si>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</si>
  <si>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</si>
  <si>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</si>
  <si>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</si>
  <si>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</si>
  <si>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</si>
  <si>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</si>
  <si>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</si>
  <si>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</si>
  <si>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</si>
  <si>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</si>
  <si>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</si>
  <si>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</si>
  <si>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</si>
  <si>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</si>
  <si>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</si>
  <si>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</si>
  <si>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</si>
  <si>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</si>
  <si>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</si>
  <si>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</si>
  <si>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</si>
  <si>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</si>
  <si>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</si>
  <si>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</si>
  <si>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</si>
  <si>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</si>
  <si>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</si>
  <si>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</si>
  <si>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</si>
  <si>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</si>
  <si>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</si>
  <si>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</si>
  <si>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</si>
  <si>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</si>
  <si>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</si>
  <si>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</si>
  <si>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</si>
  <si>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</si>
  <si>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</si>
  <si>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</si>
  <si>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</si>
  <si>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</si>
  <si>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</si>
  <si>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</si>
  <si>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</si>
  <si>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</si>
  <si>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</si>
  <si>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</si>
  <si>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</si>
  <si>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</si>
  <si>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</si>
  <si>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</si>
  <si>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</si>
  <si>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</si>
  <si>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</si>
  <si>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</si>
  <si>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</si>
  <si>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</si>
  <si>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</si>
  <si>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</si>
  <si>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</si>
  <si>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</si>
  <si>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</si>
  <si>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</si>
  <si>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</si>
  <si>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</si>
  <si>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</si>
  <si>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</si>
  <si>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</si>
  <si>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</si>
  <si>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</si>
  <si>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</si>
  <si>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</si>
  <si>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</si>
  <si>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</si>
  <si>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</si>
  <si>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</si>
  <si>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</si>
  <si>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</si>
  <si>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</si>
  <si>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</si>
  <si>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</si>
  <si>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</si>
  <si>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</si>
  <si>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</si>
  <si>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</si>
  <si>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</si>
  <si>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</si>
  <si>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</si>
  <si>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</si>
  <si>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</si>
  <si>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</si>
  <si>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</si>
  <si>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</si>
  <si>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</si>
  <si>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</si>
  <si>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</si>
  <si>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</si>
  <si>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</si>
  <si>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</si>
  <si>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</si>
  <si>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</si>
  <si>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</si>
  <si>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</si>
  <si>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</si>
  <si>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</si>
  <si>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</si>
  <si>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</si>
  <si>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</si>
  <si>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</si>
  <si>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</si>
  <si>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</si>
  <si>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</si>
  <si>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</si>
  <si>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</si>
  <si>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</si>
  <si>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</si>
  <si>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</si>
  <si>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</si>
  <si>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</si>
  <si>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</si>
  <si>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</si>
  <si>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</si>
  <si>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</si>
  <si>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</si>
  <si>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</si>
  <si>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</si>
  <si>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</si>
  <si>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</si>
  <si>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</si>
  <si>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</si>
  <si>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</si>
  <si>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</si>
  <si>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</si>
  <si>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</si>
  <si>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</si>
  <si>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</si>
  <si>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</si>
  <si>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</si>
  <si>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</si>
  <si>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</si>
  <si>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</si>
  <si>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</si>
  <si>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</si>
  <si>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</si>
  <si>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</si>
  <si>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</si>
  <si>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</si>
  <si>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</si>
  <si>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</si>
  <si>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</si>
  <si>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</si>
  <si>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</si>
  <si>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</si>
  <si>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</si>
  <si>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</si>
  <si>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</si>
  <si>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</si>
  <si>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</si>
  <si>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</si>
  <si>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</si>
  <si>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</si>
  <si>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</si>
  <si>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</si>
  <si>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</si>
  <si>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</si>
  <si>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</si>
  <si>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</si>
  <si>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</si>
  <si>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</si>
  <si>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</si>
  <si>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</si>
  <si>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</si>
  <si>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</si>
  <si>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</si>
  <si>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</si>
  <si>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</si>
  <si>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</si>
  <si>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</si>
  <si>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</si>
  <si>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</si>
  <si>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</si>
  <si>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</si>
  <si>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</si>
  <si>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</si>
  <si>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</si>
  <si>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</si>
  <si>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</si>
  <si>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</si>
  <si>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</si>
  <si>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</si>
  <si>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</si>
  <si>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</si>
  <si>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</si>
  <si>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</si>
  <si>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</si>
  <si>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</si>
  <si>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</si>
  <si>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</si>
  <si>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</si>
  <si>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</si>
  <si>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</si>
  <si>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</si>
  <si>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</si>
  <si>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</si>
  <si>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</si>
  <si>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</si>
  <si>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</si>
  <si>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</si>
  <si>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</si>
  <si>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</si>
  <si>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</si>
  <si>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</si>
  <si>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</si>
  <si>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</si>
  <si>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</si>
  <si>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</si>
  <si>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</si>
  <si>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</si>
  <si>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</si>
  <si>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</si>
  <si>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</si>
  <si>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</si>
  <si>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</si>
  <si>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</si>
  <si>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</si>
  <si>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</si>
  <si>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</si>
  <si>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</si>
  <si>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</si>
  <si>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</si>
  <si>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</si>
  <si>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</si>
  <si>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</si>
  <si>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</si>
  <si>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</si>
  <si>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</si>
  <si>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</si>
  <si>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</si>
  <si>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</si>
  <si>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</si>
  <si>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</si>
  <si>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</si>
  <si>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</si>
  <si>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</si>
  <si>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</si>
  <si>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</si>
  <si>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</si>
  <si>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</si>
  <si>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</si>
  <si>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</si>
  <si>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</si>
  <si>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</si>
  <si>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</si>
  <si>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</si>
  <si>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</si>
  <si>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</si>
  <si>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</si>
  <si>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</si>
  <si>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</si>
  <si>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</si>
  <si>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</si>
  <si>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</si>
  <si>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</si>
  <si>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</si>
  <si>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</si>
  <si>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</si>
  <si>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</si>
  <si>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</si>
  <si>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</si>
  <si>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</si>
  <si>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</si>
  <si>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</si>
  <si>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</si>
  <si>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</si>
  <si>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</si>
  <si>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</si>
  <si>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</si>
  <si>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</si>
  <si>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</si>
  <si>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</si>
  <si>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</si>
  <si>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</si>
  <si>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</si>
  <si>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</si>
  <si>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</si>
  <si>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</si>
  <si>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</si>
  <si>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</si>
  <si>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</si>
  <si>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</si>
  <si>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</si>
  <si>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</si>
  <si>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</si>
  <si>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</si>
  <si>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</si>
  <si>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</si>
  <si>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</si>
  <si>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</si>
  <si>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</si>
  <si>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</si>
  <si>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</si>
  <si>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</si>
  <si>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</si>
  <si>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</si>
  <si>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</si>
  <si>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</si>
  <si>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</si>
  <si>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</si>
  <si>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</si>
  <si>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</si>
  <si>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</si>
  <si>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</si>
  <si>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</si>
  <si>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</si>
  <si>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</si>
  <si>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</si>
  <si>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</si>
  <si>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</si>
  <si>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</si>
  <si>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</si>
  <si>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</si>
  <si>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</si>
  <si>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</si>
  <si>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</si>
  <si>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</si>
  <si>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</si>
  <si>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</si>
  <si>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</si>
  <si>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</si>
  <si>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</si>
  <si>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</si>
  <si>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</si>
  <si>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</si>
  <si>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</si>
  <si>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</si>
  <si>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</si>
  <si>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</si>
  <si>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</si>
  <si>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</si>
  <si>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</si>
  <si>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</si>
  <si>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</si>
  <si>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</si>
  <si>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</si>
  <si>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</si>
  <si>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</si>
  <si>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</si>
  <si>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</si>
  <si>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</si>
  <si>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</si>
  <si>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</si>
  <si>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</si>
  <si>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</si>
  <si>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</si>
  <si>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</si>
  <si>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</si>
  <si>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</si>
  <si>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</si>
  <si>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</si>
  <si>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</si>
  <si>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</si>
  <si>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</si>
  <si>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</si>
  <si>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</si>
  <si>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</si>
  <si>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</si>
  <si>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</si>
  <si>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</si>
  <si>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</si>
  <si>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</si>
  <si>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</si>
  <si>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</si>
  <si>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</si>
  <si>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</si>
  <si>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</si>
  <si>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</si>
  <si>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</si>
  <si>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</si>
  <si>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</si>
  <si>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</si>
  <si>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</si>
  <si>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</si>
  <si>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</si>
  <si>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</si>
  <si>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</si>
  <si>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</si>
  <si>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</si>
  <si>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</si>
  <si>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</si>
  <si>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</si>
  <si>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</si>
  <si>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</si>
  <si>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</si>
  <si>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</si>
  <si>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</si>
  <si>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</si>
  <si>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</si>
  <si>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</si>
  <si>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</si>
  <si>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</si>
  <si>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</si>
  <si>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</si>
  <si>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</si>
  <si>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</si>
  <si>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</si>
  <si>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</si>
  <si>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</si>
  <si>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</si>
  <si>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</si>
  <si>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</si>
  <si>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</si>
  <si>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</si>
  <si>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</si>
  <si>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</si>
  <si>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</si>
  <si>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</si>
  <si>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</si>
  <si>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</si>
  <si>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</si>
  <si>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</si>
  <si>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</si>
  <si>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</si>
  <si>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</si>
  <si>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</si>
  <si>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</si>
  <si>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</si>
  <si>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</si>
  <si>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</si>
  <si>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</si>
  <si>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</si>
  <si>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</si>
  <si>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</si>
  <si>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</si>
  <si>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</si>
  <si>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</si>
  <si>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</si>
  <si>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</si>
  <si>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</si>
  <si>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</si>
  <si>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</si>
  <si>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</si>
  <si>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</si>
  <si>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</si>
  <si>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</si>
  <si>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</si>
  <si>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</si>
  <si>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</si>
  <si>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</si>
  <si>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</si>
  <si>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</si>
  <si>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</si>
  <si>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</si>
  <si>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</si>
  <si>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</si>
  <si>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</si>
  <si>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</si>
  <si>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</si>
  <si>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</si>
  <si>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</si>
  <si>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</si>
  <si>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</si>
  <si>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</si>
  <si>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</si>
  <si>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</si>
  <si>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</si>
  <si>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t>是</t>
  </si>
  <si>
    <t>地上</t>
  </si>
  <si>
    <t>商业</t>
    <phoneticPr fontId="7" type="noConversion"/>
  </si>
  <si>
    <t>利息：取LPR加浮动点数</t>
  </si>
  <si>
    <t>成新度</t>
  </si>
  <si>
    <t>收益法 (元)</t>
  </si>
  <si>
    <t>押一</t>
  </si>
  <si>
    <t>砖混</t>
  </si>
  <si>
    <t>非生产用房</t>
  </si>
  <si>
    <t>否</t>
  </si>
  <si>
    <t>单套模式</t>
  </si>
  <si>
    <t>售价</t>
  </si>
  <si>
    <t>正常</t>
    <phoneticPr fontId="30" type="noConversion"/>
  </si>
  <si>
    <t>正常</t>
    <phoneticPr fontId="30" type="noConversion"/>
  </si>
  <si>
    <t>正常</t>
    <phoneticPr fontId="30" type="noConversion"/>
  </si>
  <si>
    <t>商业</t>
    <phoneticPr fontId="30" type="noConversion"/>
  </si>
  <si>
    <t>较好</t>
    <phoneticPr fontId="30" type="noConversion"/>
  </si>
  <si>
    <t>较好</t>
    <phoneticPr fontId="30" type="noConversion"/>
  </si>
  <si>
    <t>七通</t>
    <phoneticPr fontId="30" type="noConversion"/>
  </si>
  <si>
    <t>七通</t>
    <phoneticPr fontId="30" type="noConversion"/>
  </si>
  <si>
    <r>
      <t>1-3</t>
    </r>
    <r>
      <rPr>
        <sz val="11"/>
        <rFont val="宋体"/>
        <family val="3"/>
        <charset val="134"/>
      </rPr>
      <t>层</t>
    </r>
    <phoneticPr fontId="30" type="noConversion"/>
  </si>
  <si>
    <t>一般</t>
    <phoneticPr fontId="30" type="noConversion"/>
  </si>
  <si>
    <t>好</t>
    <phoneticPr fontId="30" type="noConversion"/>
  </si>
  <si>
    <r>
      <t>1-3</t>
    </r>
    <r>
      <rPr>
        <sz val="11"/>
        <color indexed="8"/>
        <rFont val="宋体"/>
        <family val="3"/>
        <charset val="134"/>
      </rPr>
      <t>层</t>
    </r>
    <phoneticPr fontId="30" type="noConversion"/>
  </si>
  <si>
    <t>独立商业</t>
    <phoneticPr fontId="30" type="noConversion"/>
  </si>
  <si>
    <t>配套商业</t>
    <phoneticPr fontId="30" type="noConversion"/>
  </si>
  <si>
    <t>独立商业</t>
    <phoneticPr fontId="30" type="noConversion"/>
  </si>
  <si>
    <t>中卫世纪城</t>
    <phoneticPr fontId="3" type="noConversion"/>
  </si>
  <si>
    <t>华联</t>
    <phoneticPr fontId="3" type="noConversion"/>
  </si>
  <si>
    <t>中昂·邑上原著</t>
    <phoneticPr fontId="3" type="noConversion"/>
  </si>
  <si>
    <t>混合</t>
    <phoneticPr fontId="30" type="noConversion"/>
  </si>
  <si>
    <t>钢混</t>
    <phoneticPr fontId="30" type="noConversion"/>
  </si>
  <si>
    <t>普装</t>
    <phoneticPr fontId="30" type="noConversion"/>
  </si>
  <si>
    <t>精装</t>
    <phoneticPr fontId="30" type="noConversion"/>
  </si>
  <si>
    <t>全业态</t>
    <phoneticPr fontId="30" type="noConversion"/>
  </si>
  <si>
    <t>不可餐饮</t>
    <phoneticPr fontId="30" type="noConversion"/>
  </si>
  <si>
    <t>不可餐饮</t>
    <phoneticPr fontId="30" type="noConversion"/>
  </si>
  <si>
    <t>简装</t>
    <phoneticPr fontId="30" type="noConversion"/>
  </si>
  <si>
    <t>精装</t>
    <phoneticPr fontId="30" type="noConversion"/>
  </si>
  <si>
    <r>
      <t>10-20</t>
    </r>
    <r>
      <rPr>
        <sz val="11"/>
        <color indexed="8"/>
        <rFont val="宋体"/>
        <family val="3"/>
        <charset val="134"/>
      </rPr>
      <t>（含）</t>
    </r>
    <phoneticPr fontId="30" type="noConversion"/>
  </si>
  <si>
    <r>
      <t>20-30</t>
    </r>
    <r>
      <rPr>
        <sz val="11"/>
        <color indexed="8"/>
        <rFont val="宋体"/>
        <family val="3"/>
        <charset val="134"/>
      </rPr>
      <t>（含）</t>
    </r>
  </si>
  <si>
    <r>
      <t>20-30</t>
    </r>
    <r>
      <rPr>
        <sz val="11"/>
        <color indexed="8"/>
        <rFont val="宋体"/>
        <family val="3"/>
        <charset val="134"/>
      </rPr>
      <t>（含）</t>
    </r>
    <phoneticPr fontId="30" type="noConversion"/>
  </si>
  <si>
    <t>配套商业</t>
    <phoneticPr fontId="30" type="noConversion"/>
  </si>
  <si>
    <t>楼面单价</t>
  </si>
  <si>
    <t>比较法-商业</t>
  </si>
  <si>
    <t>面积</t>
    <phoneticPr fontId="134" type="noConversion"/>
  </si>
  <si>
    <t>总值（万元）</t>
    <phoneticPr fontId="134" type="noConversion"/>
  </si>
  <si>
    <t>单价（元/㎡）</t>
    <phoneticPr fontId="134" type="noConversion"/>
  </si>
  <si>
    <t>20-13</t>
    <phoneticPr fontId="134" type="noConversion"/>
  </si>
  <si>
    <t>20-15</t>
    <phoneticPr fontId="134" type="noConversion"/>
  </si>
  <si>
    <t>合计</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</si>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</sst>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58" fontId="51" fillId="2"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1" xfId="0" applyFont="1" applyBorder="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估价对象为北京市房地产，为所有。根据《国有土地使用证》[]，估价对象（分摊）出让国有建设用地使用权面积为0平方米，建筑面积为275.49平方米。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估价对象为北京市房地产,属开发建设的，该项目尚在开发建设中。根据《国有土地使用证》[]，估价对象（分摊）出让国有建设用地使用权面积为0平方米，规划建筑面积为275.49平方米。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2023年1月4日</v>
      </c>
    </row>
    <row r="13" spans="1:2" s="1203" customFormat="1">
      <c r="A13" s="1201" t="s">
        <v>529</v>
      </c>
      <c r="B13" s="1202" t="str">
        <f>'预评函-1'!A18</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369</v>
      </c>
    </row>
    <row r="21" spans="1:2" s="1203" customFormat="1">
      <c r="A21" s="1201" t="s">
        <v>537</v>
      </c>
      <c r="B21" s="1202">
        <f ca="1">'预评函-2'!D7</f>
        <v>13411</v>
      </c>
    </row>
    <row r="22" spans="1:2" s="1203" customFormat="1">
      <c r="A22" s="1201" t="s">
        <v>538</v>
      </c>
      <c r="B22" s="1202" t="str">
        <f ca="1">'预评函-2'!D6</f>
        <v>叁佰陆拾玖万元整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369</v>
      </c>
    </row>
    <row r="31" spans="1:2" s="1203" customFormat="1">
      <c r="A31" s="1201" t="s">
        <v>576</v>
      </c>
      <c r="B31" s="1202">
        <f ca="1">'预评函-2'!D15</f>
        <v>13411</v>
      </c>
    </row>
    <row r="32" spans="1:2" s="1203" customFormat="1">
      <c r="A32" s="1201" t="s">
        <v>543</v>
      </c>
      <c r="B32" s="1202" t="str">
        <f ca="1">'预评函-2'!D14</f>
        <v>叁佰陆拾玖万元整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275.49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4" t="s">
        <v>385</v>
      </c>
      <c r="C54" s="1551" t="s">
        <v>583</v>
      </c>
    </row>
    <row r="55" spans="1:4">
      <c r="A55" s="3505"/>
      <c r="B55" s="1554" t="s">
        <v>386</v>
      </c>
      <c r="C55" s="1551" t="s">
        <v>584</v>
      </c>
    </row>
    <row r="56" spans="1:4">
      <c r="A56" s="3505"/>
      <c r="B56" s="1554" t="s">
        <v>387</v>
      </c>
      <c r="C56" s="1551" t="s">
        <v>588</v>
      </c>
    </row>
    <row r="57" spans="1:4">
      <c r="A57" s="350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9" t="s">
        <v>2596</v>
      </c>
      <c r="J1" s="3227"/>
      <c r="K1" s="3227"/>
      <c r="L1" s="3227"/>
      <c r="M1" s="3227"/>
      <c r="N1" s="3440"/>
      <c r="O1" s="3440"/>
      <c r="P1" s="3440"/>
      <c r="Q1" s="3440"/>
      <c r="R1" s="3440"/>
    </row>
    <row r="2" spans="1:18">
      <c r="A2" s="3017"/>
      <c r="B2" s="3018"/>
      <c r="C2" s="3018"/>
      <c r="D2" s="3018"/>
      <c r="E2" s="3018"/>
      <c r="F2" s="3019"/>
      <c r="I2" s="3506" t="s">
        <v>2583</v>
      </c>
      <c r="J2" s="3506"/>
      <c r="K2" s="3506"/>
      <c r="L2" s="3506"/>
      <c r="M2" s="3506"/>
      <c r="N2" s="3506"/>
      <c r="O2" s="3506"/>
      <c r="P2" s="3506"/>
      <c r="Q2" s="3506"/>
      <c r="R2" s="3506"/>
    </row>
    <row r="3" spans="1:18">
      <c r="A3" s="3020" t="s">
        <v>2504</v>
      </c>
      <c r="B3" s="3021">
        <f>项目基本情况!D3</f>
        <v>44930</v>
      </c>
      <c r="C3" s="3023"/>
      <c r="D3" s="3023"/>
      <c r="E3" s="3023"/>
      <c r="F3" s="3019"/>
      <c r="I3" s="3441"/>
      <c r="J3" s="3441" t="s">
        <v>2587</v>
      </c>
      <c r="K3" s="3441" t="s">
        <v>2588</v>
      </c>
      <c r="L3" s="3441" t="s">
        <v>2589</v>
      </c>
      <c r="M3" s="3441" t="s">
        <v>2590</v>
      </c>
      <c r="N3" s="3442" t="s">
        <v>2591</v>
      </c>
      <c r="O3" s="3442" t="s">
        <v>2592</v>
      </c>
      <c r="P3" s="3442" t="s">
        <v>2593</v>
      </c>
      <c r="Q3" s="3442" t="s">
        <v>2594</v>
      </c>
      <c r="R3" s="3442" t="s">
        <v>2595</v>
      </c>
    </row>
    <row r="4" spans="1:18">
      <c r="A4" s="3020" t="s">
        <v>2505</v>
      </c>
      <c r="B4" s="3023" t="s">
        <v>2506</v>
      </c>
      <c r="C4" s="3023" t="s">
        <v>2507</v>
      </c>
      <c r="D4" s="3023" t="s">
        <v>2508</v>
      </c>
      <c r="E4" s="3023" t="s">
        <v>2509</v>
      </c>
      <c r="F4" s="3019"/>
      <c r="I4" s="3441" t="s">
        <v>2584</v>
      </c>
      <c r="J4" s="3441">
        <v>80</v>
      </c>
      <c r="K4" s="3441">
        <v>70</v>
      </c>
      <c r="L4" s="3441">
        <v>20</v>
      </c>
      <c r="M4" s="3441">
        <v>30</v>
      </c>
      <c r="N4" s="3023">
        <v>45</v>
      </c>
      <c r="O4" s="3023">
        <v>60</v>
      </c>
      <c r="P4" s="3023">
        <v>50</v>
      </c>
      <c r="Q4" s="3023">
        <v>20</v>
      </c>
      <c r="R4" s="3023">
        <v>375</v>
      </c>
    </row>
    <row r="5" spans="1:18">
      <c r="A5" s="3024">
        <v>40</v>
      </c>
      <c r="B5" s="3021">
        <v>46375</v>
      </c>
      <c r="C5" s="3023">
        <f>ROUNDDOWN(MIN((B5-B3)/365,A5),2)</f>
        <v>3.95</v>
      </c>
      <c r="D5" s="3025">
        <f>IF(ISERROR(ROUND(POWER(1+E5,A5-C5)*(POWER(1+E5,C5)-1)/(POWER(1+E5,A5)-1),3)),0,ROUND(POWER(1+E5,A5-C5)*(POWER(1+E5,C5)-1)/(POWER(1+E5,A5)-1),4))</f>
        <v>0.18129999999999999</v>
      </c>
      <c r="E5" s="3026">
        <v>0.04</v>
      </c>
      <c r="F5" s="3019"/>
      <c r="I5" s="3441" t="s">
        <v>2585</v>
      </c>
      <c r="J5" s="3441">
        <v>70</v>
      </c>
      <c r="K5" s="3441">
        <v>60</v>
      </c>
      <c r="L5" s="3441">
        <v>15</v>
      </c>
      <c r="M5" s="3441">
        <v>25</v>
      </c>
      <c r="N5" s="3023">
        <v>40</v>
      </c>
      <c r="O5" s="3023">
        <v>50</v>
      </c>
      <c r="P5" s="3023">
        <v>40</v>
      </c>
      <c r="Q5" s="3023">
        <v>15</v>
      </c>
      <c r="R5" s="3023">
        <v>315</v>
      </c>
    </row>
    <row r="6" spans="1:18">
      <c r="A6" s="3024">
        <v>50</v>
      </c>
      <c r="B6" s="3021">
        <v>50028</v>
      </c>
      <c r="C6" s="3023">
        <f>ROUNDDOWN(MIN((B6-B3)/365,A6),2)</f>
        <v>13.96</v>
      </c>
      <c r="D6" s="3025">
        <f>IF(ISERROR(ROUND(POWER(1+E6,A6-C6)*(POWER(1+E6,C6)-1)/(POWER(1+E6,A6)-1),3)),0,ROUND(POWER(1+E6,A6-C6)*(POWER(1+E6,C6)-1)/(POWER(1+E6,A6)-1),4))</f>
        <v>0.49070000000000003</v>
      </c>
      <c r="E6" s="3026">
        <v>0.04</v>
      </c>
      <c r="F6" s="3019"/>
      <c r="I6" s="3441" t="s">
        <v>2586</v>
      </c>
      <c r="J6" s="3441">
        <v>60</v>
      </c>
      <c r="K6" s="3441">
        <v>50</v>
      </c>
      <c r="L6" s="3441">
        <v>10</v>
      </c>
      <c r="M6" s="3441">
        <v>20</v>
      </c>
      <c r="N6" s="3023">
        <v>35</v>
      </c>
      <c r="O6" s="3023">
        <v>40</v>
      </c>
      <c r="P6" s="3023">
        <v>30</v>
      </c>
      <c r="Q6" s="3023">
        <v>10</v>
      </c>
      <c r="R6" s="3023">
        <v>255</v>
      </c>
    </row>
    <row r="7" spans="1:18">
      <c r="A7" s="3024">
        <v>70</v>
      </c>
      <c r="B7" s="3021">
        <v>57333</v>
      </c>
      <c r="C7" s="3023">
        <f>ROUNDDOWN(MIN((B7-B3)/365,A7),2)</f>
        <v>33.979999999999997</v>
      </c>
      <c r="D7" s="3025">
        <f>IF(ISERROR(ROUND(POWER(1+E7,A7-C7)*(POWER(1+E7,C7)-1)/(POWER(1+E7,A7)-1),3)),0,ROUND(POWER(1+E7,A7-C7)*(POWER(1+E7,C7)-1)/(POWER(1+E7,A7)-1),4))</f>
        <v>0.78680000000000005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44930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3375</v>
      </c>
      <c r="C8" s="2390"/>
      <c r="D8" s="3518" t="s">
        <v>2177</v>
      </c>
      <c r="E8" s="2391" t="s">
        <v>3376</v>
      </c>
      <c r="F8" s="2392"/>
      <c r="G8" s="2663"/>
      <c r="H8" s="2663"/>
      <c r="I8" s="2663"/>
      <c r="J8" s="2439"/>
      <c r="K8" s="2614"/>
      <c r="L8" s="2613"/>
      <c r="M8" s="2613"/>
      <c r="N8" s="2439"/>
      <c r="O8" s="2450"/>
      <c r="P8" s="2439"/>
      <c r="Q8" s="2439"/>
      <c r="R8" s="2439"/>
    </row>
    <row r="9" spans="1:30" ht="13.5" thickBot="1">
      <c r="A9" s="2393" t="s">
        <v>2178</v>
      </c>
      <c r="B9" s="2394" t="s">
        <v>3376</v>
      </c>
      <c r="C9" s="2395"/>
      <c r="D9" s="3519"/>
      <c r="E9" s="2394"/>
      <c r="F9" s="2396"/>
      <c r="G9" s="2665"/>
      <c r="H9" s="2665"/>
      <c r="I9" s="2665"/>
      <c r="J9" s="2439"/>
      <c r="K9" s="2616"/>
      <c r="L9" s="2613"/>
      <c r="M9" s="2613"/>
      <c r="N9" s="2439"/>
      <c r="O9" s="2450"/>
      <c r="P9" s="2439"/>
      <c r="Q9" s="2439"/>
      <c r="R9" s="2439"/>
    </row>
    <row r="10" spans="1:30" ht="13.5" thickTop="1">
      <c r="A10" s="2397" t="s">
        <v>2179</v>
      </c>
      <c r="B10" s="2398" t="s">
        <v>3377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5" t="s">
        <v>3341</v>
      </c>
      <c r="B13" s="2407" t="s">
        <v>2190</v>
      </c>
      <c r="C13" s="856"/>
      <c r="D13" s="856">
        <v>51136</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5"/>
      <c r="C16" s="3526"/>
      <c r="D16" s="3527"/>
      <c r="E16" s="2413" t="s">
        <v>2194</v>
      </c>
      <c r="F16" s="3528"/>
      <c r="G16" s="3529"/>
      <c r="H16" s="3529"/>
      <c r="I16" s="3530"/>
      <c r="J16" s="2439"/>
      <c r="K16" s="2617"/>
      <c r="L16" s="2451"/>
      <c r="M16" s="2451"/>
      <c r="N16" s="2509"/>
      <c r="O16" s="2451"/>
      <c r="P16" s="2509"/>
      <c r="Q16" s="2439"/>
      <c r="R16" s="2439"/>
    </row>
    <row r="17" spans="1:28">
      <c r="A17" s="313" t="s">
        <v>2195</v>
      </c>
      <c r="B17" s="302" t="s">
        <v>2196</v>
      </c>
      <c r="C17" s="8">
        <f>'数据-汇总表'!E3</f>
        <v>275.49</v>
      </c>
      <c r="D17" s="2322" t="s">
        <v>2197</v>
      </c>
      <c r="E17" s="3531" t="s">
        <v>2198</v>
      </c>
      <c r="F17" s="3532"/>
      <c r="G17" s="3532"/>
      <c r="H17" s="3532"/>
      <c r="I17" s="353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4" t="s">
        <v>2202</v>
      </c>
      <c r="F18" s="3535"/>
      <c r="G18" s="3535"/>
      <c r="H18" s="3535"/>
      <c r="I18" s="353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1" t="s">
        <v>2206</v>
      </c>
      <c r="C20" s="3522"/>
      <c r="D20" s="3523" t="s">
        <v>2207</v>
      </c>
      <c r="E20" s="3524"/>
      <c r="F20" s="2647" t="s">
        <v>1056</v>
      </c>
      <c r="G20" s="2664"/>
      <c r="H20" s="2664"/>
      <c r="I20" s="2664"/>
      <c r="J20" s="2439"/>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9"/>
      <c r="B30" s="302" t="s">
        <v>2218</v>
      </c>
      <c r="C30" s="3510"/>
      <c r="D30" s="3511"/>
      <c r="E30" s="2664"/>
      <c r="F30" s="2664"/>
      <c r="G30" s="2664"/>
      <c r="H30" s="2664"/>
      <c r="I30" s="2664"/>
      <c r="J30" s="2439"/>
      <c r="K30" s="2616"/>
      <c r="L30" s="2613"/>
      <c r="M30" s="2613"/>
      <c r="N30" s="2439"/>
      <c r="O30" s="2450"/>
      <c r="P30" s="2439"/>
      <c r="Q30" s="2439"/>
      <c r="R30" s="2439"/>
      <c r="S30" s="2439"/>
      <c r="T30" s="2439"/>
      <c r="U30" s="2439"/>
      <c r="V30" s="2439"/>
    </row>
    <row r="31" spans="1:28">
      <c r="A31" s="351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7" t="s">
        <v>2228</v>
      </c>
      <c r="T34" s="2428" t="str">
        <f>NUMBERSTRING(7-K34,1)&amp;"通"</f>
        <v>七通</v>
      </c>
      <c r="U34" s="2439"/>
      <c r="V34" s="2439"/>
    </row>
    <row r="35" spans="1:30">
      <c r="A35" s="2429"/>
      <c r="B35" s="3514" t="s">
        <v>2229</v>
      </c>
      <c r="C35" s="3514"/>
      <c r="D35" s="3514"/>
      <c r="E35" s="351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275.49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275.49</v>
      </c>
      <c r="H5" s="13">
        <f t="shared" ref="H5:AT5" si="0">SUM(H13:H656)</f>
        <v>275.49</v>
      </c>
      <c r="I5" s="13">
        <f t="shared" si="0"/>
        <v>275.49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275.49</v>
      </c>
      <c r="BA5" s="15">
        <f t="shared" si="1"/>
        <v>275.49</v>
      </c>
      <c r="BB5" s="15">
        <f t="shared" si="1"/>
        <v>275.49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0</v>
      </c>
      <c r="F13" s="29"/>
      <c r="G13" s="30">
        <f>H13+AC13+AT13</f>
        <v>275.49</v>
      </c>
      <c r="H13" s="17">
        <f>SUMIF(I$12:AB$12,"总值",I13:AB13)</f>
        <v>275.49</v>
      </c>
      <c r="I13" s="1626">
        <v>275.49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275.49</v>
      </c>
      <c r="BA13" s="13">
        <f>SUM(BB13:BK13)</f>
        <v>275.49</v>
      </c>
      <c r="BB13" s="13">
        <f>IF($D13="是",I13-J13,0)</f>
        <v>275.49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1" sqref="K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6" t="s">
        <v>1131</v>
      </c>
      <c r="B2" s="3546"/>
      <c r="C2" s="3546"/>
      <c r="D2" s="796" t="s">
        <v>1107</v>
      </c>
      <c r="E2" s="1639" t="s">
        <v>1108</v>
      </c>
      <c r="F2" s="2659"/>
      <c r="G2" s="2650"/>
      <c r="H2" s="2651"/>
      <c r="I2" s="2325" t="s">
        <v>1132</v>
      </c>
      <c r="J2" s="2659"/>
      <c r="K2" s="2659"/>
      <c r="L2" s="2659"/>
      <c r="M2" s="2659"/>
      <c r="N2" s="2661"/>
      <c r="O2" s="2659"/>
      <c r="P2" s="2659"/>
    </row>
    <row r="3" spans="1:16" ht="15.75" thickBot="1">
      <c r="A3" s="3547" t="s">
        <v>1105</v>
      </c>
      <c r="B3" s="3547"/>
      <c r="C3" s="3547"/>
      <c r="D3" s="43">
        <f>'数据-基础表'!AY6</f>
        <v>0</v>
      </c>
      <c r="E3" s="43">
        <f>'数据-基础表'!AZ5</f>
        <v>275.49</v>
      </c>
      <c r="F3" s="2659"/>
      <c r="G3" s="1145"/>
      <c r="H3" s="1026" t="s">
        <v>1106</v>
      </c>
      <c r="I3" s="855" t="e">
        <f>ROUND('数据-基础表'!B3/'数据-基础表'!A3,2)</f>
        <v>#DIV/0!</v>
      </c>
      <c r="J3" s="2659"/>
      <c r="K3" s="2659"/>
      <c r="L3" s="2659"/>
      <c r="M3" s="2659"/>
      <c r="N3" s="2661"/>
      <c r="O3" s="2659"/>
      <c r="P3" s="2659"/>
    </row>
    <row r="4" spans="1:16" ht="15">
      <c r="A4" s="3548"/>
      <c r="B4" s="3549"/>
      <c r="C4" s="355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1" t="s">
        <v>1110</v>
      </c>
      <c r="C5" s="355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1" t="s">
        <v>1111</v>
      </c>
      <c r="C6" s="3551"/>
      <c r="D6" s="45">
        <f>ROUND($D$3*E6/$E$3,2)</f>
        <v>0</v>
      </c>
      <c r="E6" s="46">
        <f>E3-E5</f>
        <v>275.49</v>
      </c>
      <c r="F6" s="2659"/>
      <c r="G6" s="2653" t="s">
        <v>1112</v>
      </c>
      <c r="H6" s="1146" t="s">
        <v>1113</v>
      </c>
      <c r="I6" s="2654" t="e">
        <f>ROUND(F31/D31,2)</f>
        <v>#DIV/0!</v>
      </c>
      <c r="J6" s="2659"/>
      <c r="K6" s="2659"/>
      <c r="L6" s="2659"/>
      <c r="M6" s="2659"/>
      <c r="N6" s="2659"/>
      <c r="O6" s="2659"/>
      <c r="P6" s="2659"/>
    </row>
    <row r="7" spans="1:16" ht="15.75" thickBot="1">
      <c r="A7" s="3543"/>
      <c r="B7" s="3544"/>
      <c r="C7" s="354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275.49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275.49</v>
      </c>
      <c r="F16" s="2659"/>
      <c r="G16" s="2660"/>
      <c r="H16" s="1648" t="s">
        <v>1135</v>
      </c>
      <c r="I16" s="1649"/>
      <c r="J16" s="1139"/>
      <c r="K16" s="3540" t="s">
        <v>1135</v>
      </c>
      <c r="L16" s="3541"/>
      <c r="M16" s="3541"/>
      <c r="N16" s="3541"/>
      <c r="O16" s="3541"/>
      <c r="P16" s="3542"/>
    </row>
    <row r="17" spans="1:19" ht="15">
      <c r="A17" s="1650" t="s">
        <v>1136</v>
      </c>
      <c r="B17" s="1651" t="s">
        <v>1137</v>
      </c>
      <c r="C17" s="1652" t="s">
        <v>1138</v>
      </c>
      <c r="D17" s="1653" t="s">
        <v>1126</v>
      </c>
      <c r="E17" s="1654" t="s">
        <v>1127</v>
      </c>
      <c r="F17" s="1655"/>
      <c r="G17" s="1656"/>
      <c r="H17" s="1657" t="s">
        <v>1139</v>
      </c>
      <c r="I17" s="1658" t="s">
        <v>1124</v>
      </c>
      <c r="J17" s="1139"/>
      <c r="K17" s="3537" t="s">
        <v>1140</v>
      </c>
      <c r="L17" s="3538"/>
      <c r="M17" s="3539"/>
      <c r="N17" s="3537" t="s">
        <v>1141</v>
      </c>
      <c r="O17" s="3538"/>
      <c r="P17" s="353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9" t="s">
        <v>3381</v>
      </c>
      <c r="D19" s="45">
        <f>ROUND($D$3*E19/$E$3,2)</f>
        <v>0</v>
      </c>
      <c r="E19" s="53">
        <f t="shared" ref="E19:E26" si="1">SUM(F19:G19)</f>
        <v>275.49</v>
      </c>
      <c r="F19" s="2795">
        <f>'数据-基础表'!I13</f>
        <v>275.49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275.49</v>
      </c>
    </row>
    <row r="20" spans="1:19">
      <c r="A20" s="1670"/>
      <c r="B20" s="47" t="s">
        <v>1153</v>
      </c>
      <c r="C20" s="3419"/>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9"/>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20"/>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20"/>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20"/>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20"/>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275.49</v>
      </c>
      <c r="F27" s="1140">
        <f>IF(SUM(F19:F26)=E8,SUM(F19:F26),"地上面积有误")</f>
        <v>275.49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275.49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275.49</v>
      </c>
      <c r="F31" s="677">
        <f>F27+F30</f>
        <v>275.49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Q6" activePane="bottomRight" state="frozen"/>
      <selection activeCell="C50" sqref="C50"/>
      <selection pane="topRight" activeCell="C50" sqref="C50"/>
      <selection pane="bottomLeft" activeCell="C50" sqref="C50"/>
      <selection pane="bottomRight" activeCell="AL26" sqref="AL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44930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IF(B6="","",SUMIF(项目基本情况!C$12:H$12,C6,项目基本情况!C$13:H$13))</f>
        <v>51136</v>
      </c>
      <c r="F6" s="64">
        <f>SUMIF(项目基本情况!C$12:I$12,C6,项目基本情况!C$15:I$15)</f>
        <v>17</v>
      </c>
      <c r="G6" s="65">
        <f>IF(ISERROR(ROUND(POWER(1+H6,D6-F6)*(POWER(1+H6,F6)-1)/(POWER(1+H6,D6)-1),3)),0,ROUND(POWER(1+H6,D6-F6)*(POWER(1+H6,F6)-1)/(POWER(1+H6,D6)-1),3))</f>
        <v>0.67700000000000005</v>
      </c>
      <c r="H6" s="732">
        <v>5.5E-2</v>
      </c>
      <c r="I6" s="732">
        <v>0.06</v>
      </c>
      <c r="J6" s="66">
        <v>7.4999999999999997E-2</v>
      </c>
      <c r="K6" s="1030">
        <f>SUMIF('数据-汇总表'!C$19:C$33,A6,'数据-汇总表'!E$19:E$33)</f>
        <v>275.49</v>
      </c>
      <c r="L6" s="733">
        <v>2500</v>
      </c>
      <c r="M6" s="67">
        <f t="shared" ref="M6:M14" si="0">ROUND(K6*L6/10000,0)</f>
        <v>69</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30">
        <v>2.7</v>
      </c>
      <c r="V6" s="70">
        <v>2.5000000000000001E-2</v>
      </c>
      <c r="W6" s="70">
        <v>0.1</v>
      </c>
      <c r="X6" s="1040"/>
      <c r="Y6" s="71">
        <f>N6</f>
        <v>0.7</v>
      </c>
      <c r="Z6" s="72"/>
      <c r="AA6" s="66"/>
      <c r="AB6" s="66"/>
      <c r="AC6" s="1040"/>
      <c r="AD6" s="73"/>
      <c r="AE6" s="1041">
        <f ca="1">IF(AN6="",0,SUMIF(INDIRECT("'"&amp;AN6&amp;"'"&amp;"!E:E"),$AE$5,INDIRECT("'"&amp;AN6&amp;"'"&amp;"!F:F")))</f>
        <v>17</v>
      </c>
      <c r="AF6" s="1348"/>
      <c r="AG6" s="138">
        <f>IF(AF6="",0,AE6-AF6)</f>
        <v>0</v>
      </c>
      <c r="AH6" s="74"/>
      <c r="AI6" s="76">
        <v>365</v>
      </c>
      <c r="AJ6" s="77"/>
      <c r="AK6" s="78">
        <v>0.01</v>
      </c>
      <c r="AL6" s="79">
        <v>1E-3</v>
      </c>
      <c r="AM6" s="80">
        <v>0.01</v>
      </c>
      <c r="AN6" s="1715" t="s">
        <v>3384</v>
      </c>
      <c r="AO6" s="52">
        <f ca="1">SUMIF(INDIRECT("'"&amp;AN6&amp;"'"&amp;"!A:A"),"总价",INDIRECT("'"&amp;AN6&amp;"'"&amp;"!B:B"))</f>
        <v>278.19670000000002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3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3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3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3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3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0.67700000000000005</v>
      </c>
      <c r="H16" s="90">
        <f>ROUND(SUMPRODUCT(H6:H13,K6:K13)/SUMPRODUCT((H6:H13&gt;0)*(K6:K13)),3)</f>
        <v>5.5E-2</v>
      </c>
      <c r="I16" s="91"/>
      <c r="J16" s="91"/>
      <c r="K16" s="92">
        <f>SUM(K6:K15)</f>
        <v>275.49</v>
      </c>
      <c r="L16" s="93">
        <f>ROUND(M16*10000/SUM(K6:K14),0)</f>
        <v>2505</v>
      </c>
      <c r="M16" s="93">
        <f>SUM(M6:M14)</f>
        <v>69</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v>1</v>
      </c>
      <c r="V20" s="2671">
        <v>3.5</v>
      </c>
      <c r="W20" s="2671">
        <v>1</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v>2002</v>
      </c>
      <c r="O21" s="2671"/>
      <c r="P21" s="2671"/>
      <c r="Q21" s="2671"/>
      <c r="R21" s="2671"/>
      <c r="S21" s="2671"/>
      <c r="T21" s="2671"/>
      <c r="U21" s="2671">
        <v>2</v>
      </c>
      <c r="V21" s="2671">
        <f>W21*V20</f>
        <v>2.4499999999999997</v>
      </c>
      <c r="W21" s="2671">
        <v>0.7</v>
      </c>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f>ROUND(1-(1-2%)*(2023-N21)/60,2)</f>
        <v>0.66</v>
      </c>
      <c r="O22" s="2671"/>
      <c r="P22" s="2671"/>
      <c r="Q22" s="2671"/>
      <c r="R22" s="2671"/>
      <c r="S22" s="2671"/>
      <c r="T22" s="2671"/>
      <c r="U22" s="2671">
        <v>3</v>
      </c>
      <c r="V22" s="2671">
        <f>W22*V20</f>
        <v>2.1</v>
      </c>
      <c r="W22" s="2671">
        <v>0.6</v>
      </c>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f>(V20+V21+V22)/3</f>
        <v>2.6833333333333331</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3382</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2" t="s">
        <v>2286</v>
      </c>
      <c r="B1" s="3553"/>
      <c r="C1" s="3553"/>
      <c r="D1" s="3553"/>
      <c r="E1" s="3553"/>
      <c r="F1" s="3553"/>
      <c r="G1" s="355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0" sqref="C3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275.49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44930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369</v>
      </c>
      <c r="C5" s="2512">
        <f ca="1">IF(B5=D14,结果表!H102,ROUND(B5*10000/$B$1,0))</f>
        <v>13411</v>
      </c>
      <c r="D5" s="2512" t="e">
        <f ca="1">ROUND(B5*10000/$B$2,0)</f>
        <v>#DIV/0!</v>
      </c>
      <c r="E5" s="2686"/>
      <c r="F5" s="2687"/>
      <c r="G5" s="2687"/>
      <c r="H5" s="2688"/>
      <c r="I5" s="2688"/>
      <c r="J5" s="2688"/>
      <c r="K5" s="2688"/>
    </row>
    <row r="6" spans="1:11" ht="16.5">
      <c r="A6" s="2512" t="s">
        <v>656</v>
      </c>
      <c r="B6" s="2512">
        <f>SUM(G14:G23)</f>
        <v>0</v>
      </c>
      <c r="C6" s="2512">
        <f ca="1">IF(B6=G14,结果表!H108,ROUND(B6*10000/$B$1,0))</f>
        <v>13411</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3367</v>
      </c>
      <c r="D10" s="2512" t="s">
        <v>3368</v>
      </c>
      <c r="E10" s="3443"/>
      <c r="F10" s="3447" t="s">
        <v>3369</v>
      </c>
      <c r="G10" s="3444"/>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'比较法-商业'!D3</f>
        <v>275.49</v>
      </c>
      <c r="C14" s="2518"/>
      <c r="D14" s="2518">
        <f ca="1">结果表!H118</f>
        <v>369</v>
      </c>
      <c r="E14" s="2518">
        <f ca="1">结果表!I118</f>
        <v>13411</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H29" sqref="H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8" t="str">
        <f>项目基本情况!S2</f>
        <v>北京市房地产</v>
      </c>
      <c r="B2" s="3589"/>
      <c r="C2" s="3589"/>
      <c r="D2" s="3589"/>
      <c r="E2" s="3589"/>
      <c r="F2" s="3589"/>
      <c r="G2" s="3589"/>
      <c r="H2" s="3589"/>
      <c r="I2" s="3590"/>
    </row>
    <row r="3" spans="1:12" ht="12.75">
      <c r="A3" s="3592" t="s">
        <v>1264</v>
      </c>
      <c r="B3" s="3593"/>
      <c r="C3" s="3593"/>
      <c r="D3" s="3593"/>
      <c r="E3" s="3593"/>
      <c r="F3" s="3593"/>
      <c r="G3" s="3593"/>
      <c r="H3" s="3593"/>
      <c r="I3" s="3593"/>
    </row>
    <row r="4" spans="1:12" ht="14.25">
      <c r="A4" s="1754" t="s">
        <v>1265</v>
      </c>
      <c r="B4" s="1755" t="s">
        <v>1266</v>
      </c>
      <c r="C4" s="1756" t="s">
        <v>3423</v>
      </c>
      <c r="D4" s="1756" t="s">
        <v>3384</v>
      </c>
      <c r="E4" s="3594" t="s">
        <v>1267</v>
      </c>
      <c r="F4" s="3595"/>
      <c r="G4" s="3595"/>
      <c r="H4" s="3595"/>
      <c r="I4" s="359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555">
        <v>25</v>
      </c>
      <c r="C5" s="3571"/>
      <c r="D5" s="3591"/>
      <c r="E5" s="131" t="s">
        <v>1269</v>
      </c>
      <c r="F5" s="1757"/>
      <c r="G5" s="1757"/>
      <c r="H5" s="1757"/>
      <c r="I5" s="1373"/>
    </row>
    <row r="6" spans="1:12" ht="12.75">
      <c r="A6" s="3568"/>
      <c r="B6" s="3555"/>
      <c r="C6" s="3572"/>
      <c r="D6" s="3591"/>
      <c r="E6" s="131" t="s">
        <v>1270</v>
      </c>
      <c r="F6" s="1757"/>
      <c r="G6" s="1757"/>
      <c r="H6" s="1757"/>
      <c r="I6" s="1373"/>
    </row>
    <row r="7" spans="1:12" ht="12.75">
      <c r="A7" s="3568"/>
      <c r="B7" s="3555"/>
      <c r="C7" s="3573"/>
      <c r="D7" s="3591"/>
      <c r="E7" s="131" t="s">
        <v>1271</v>
      </c>
      <c r="F7" s="1757"/>
      <c r="G7" s="1757"/>
      <c r="H7" s="1757"/>
      <c r="I7" s="1373"/>
    </row>
    <row r="8" spans="1:12" ht="12.75">
      <c r="A8" s="3568" t="s">
        <v>1272</v>
      </c>
      <c r="B8" s="3555">
        <v>15</v>
      </c>
      <c r="C8" s="3571"/>
      <c r="D8" s="3591"/>
      <c r="E8" s="131" t="s">
        <v>1273</v>
      </c>
      <c r="F8" s="1757"/>
      <c r="G8" s="1757"/>
      <c r="H8" s="1757"/>
      <c r="I8" s="1373"/>
    </row>
    <row r="9" spans="1:12" ht="12.75">
      <c r="A9" s="3568"/>
      <c r="B9" s="3555"/>
      <c r="C9" s="3573"/>
      <c r="D9" s="3591"/>
      <c r="E9" s="131" t="s">
        <v>1274</v>
      </c>
      <c r="F9" s="1757"/>
      <c r="G9" s="1757"/>
      <c r="H9" s="1757"/>
      <c r="I9" s="1373"/>
    </row>
    <row r="10" spans="1:12" ht="12.75">
      <c r="A10" s="3568" t="s">
        <v>1275</v>
      </c>
      <c r="B10" s="3555">
        <v>15</v>
      </c>
      <c r="C10" s="3571"/>
      <c r="D10" s="3591"/>
      <c r="E10" s="131" t="s">
        <v>1276</v>
      </c>
      <c r="F10" s="1757"/>
      <c r="G10" s="1757"/>
      <c r="H10" s="1757"/>
      <c r="I10" s="1373"/>
    </row>
    <row r="11" spans="1:12" ht="12.75">
      <c r="A11" s="3568"/>
      <c r="B11" s="3555"/>
      <c r="C11" s="3573"/>
      <c r="D11" s="3591"/>
      <c r="E11" s="131" t="s">
        <v>1277</v>
      </c>
      <c r="F11" s="1757"/>
      <c r="G11" s="1757"/>
      <c r="H11" s="1757"/>
      <c r="I11" s="1373"/>
    </row>
    <row r="12" spans="1:12" ht="12.75">
      <c r="A12" s="3568" t="s">
        <v>1278</v>
      </c>
      <c r="B12" s="3555">
        <v>15</v>
      </c>
      <c r="C12" s="3571"/>
      <c r="D12" s="3591"/>
      <c r="E12" s="131" t="s">
        <v>1279</v>
      </c>
      <c r="F12" s="1757"/>
      <c r="G12" s="1757"/>
      <c r="H12" s="1757"/>
      <c r="I12" s="1373"/>
    </row>
    <row r="13" spans="1:12" ht="12.75">
      <c r="A13" s="3568"/>
      <c r="B13" s="3555"/>
      <c r="C13" s="3573"/>
      <c r="D13" s="3591"/>
      <c r="E13" s="131" t="s">
        <v>1280</v>
      </c>
      <c r="F13" s="1757"/>
      <c r="G13" s="1757"/>
      <c r="H13" s="1757"/>
      <c r="I13" s="1373"/>
    </row>
    <row r="14" spans="1:12" ht="12.75">
      <c r="A14" s="3568" t="s">
        <v>1281</v>
      </c>
      <c r="B14" s="3555">
        <v>30</v>
      </c>
      <c r="C14" s="3571">
        <v>4</v>
      </c>
      <c r="D14" s="3591">
        <v>6</v>
      </c>
      <c r="E14" s="131" t="s">
        <v>1282</v>
      </c>
      <c r="F14" s="1757"/>
      <c r="G14" s="1757"/>
      <c r="H14" s="1757"/>
      <c r="I14" s="1373"/>
    </row>
    <row r="15" spans="1:12" ht="12.75">
      <c r="A15" s="3568"/>
      <c r="B15" s="3555"/>
      <c r="C15" s="3572"/>
      <c r="D15" s="3591"/>
      <c r="E15" s="131" t="s">
        <v>1283</v>
      </c>
      <c r="F15" s="1757"/>
      <c r="G15" s="1757"/>
      <c r="H15" s="1757"/>
      <c r="I15" s="1373"/>
    </row>
    <row r="16" spans="1:12" ht="12.75">
      <c r="A16" s="3568"/>
      <c r="B16" s="3555"/>
      <c r="C16" s="3573"/>
      <c r="D16" s="359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78" t="s">
        <v>2131</v>
      </c>
      <c r="F18" s="3579"/>
      <c r="G18" s="3579"/>
      <c r="H18" s="3579"/>
      <c r="I18" s="3579"/>
      <c r="K18" s="302" t="s">
        <v>1289</v>
      </c>
      <c r="L18" s="302">
        <f>IF(C1="",'数据-汇总表'!E3,SUMIF(项目类型,C1,'数据-汇总表'!E17:E26)+SUMIF(项目类型,C1,'数据-汇总表'!I17:I26))</f>
        <v>275.49</v>
      </c>
      <c r="M18" s="302">
        <f>IF(C1="",'数据-汇总表'!E3,SUMIF(项目类型,C1,'数据-汇总表'!E17:E26))</f>
        <v>275.49</v>
      </c>
    </row>
    <row r="19" spans="1:36" ht="15">
      <c r="A19" s="1761" t="s">
        <v>1290</v>
      </c>
      <c r="B19" s="1762" t="s">
        <v>1291</v>
      </c>
      <c r="C19" s="134">
        <f ca="1">SUMIF(INDIRECT("'"&amp;C4&amp;"'"&amp;"!A:A"),结果表!B19,INDIRECT("'"&amp;C4&amp;"'"&amp;"!B:B"))</f>
        <v>506.35059999999999</v>
      </c>
      <c r="D19" s="135">
        <f ca="1">SUMIF(INDIRECT("'"&amp;D4&amp;"'"&amp;"!A:A"),结果表!B19,INDIRECT("'"&amp;D4&amp;"'"&amp;"!B:B"))</f>
        <v>278.19670000000002</v>
      </c>
      <c r="E19" s="1761" t="s">
        <v>1292</v>
      </c>
      <c r="F19" s="1762" t="s">
        <v>1291</v>
      </c>
      <c r="G19" s="136">
        <f ca="1">ROUND(C19*$C$18+D19*$D$18,0)</f>
        <v>369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18380</v>
      </c>
      <c r="D20" s="138">
        <f ca="1">SUMIF(INDIRECT("'"&amp;D4&amp;"'"&amp;"!A:A"),结果表!B20,INDIRECT("'"&amp;D4&amp;"'"&amp;"!B:B"))</f>
        <v>10098</v>
      </c>
      <c r="E20" s="1764"/>
      <c r="F20" s="1026" t="s">
        <v>1295</v>
      </c>
      <c r="G20" s="139">
        <f ca="1">ROUND(C20*$C$18+D20*$D$18,0)</f>
        <v>13411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0.82011720484103501</v>
      </c>
      <c r="E22" s="129"/>
      <c r="F22" s="129"/>
      <c r="G22" s="129"/>
      <c r="H22" s="129"/>
      <c r="I22" s="129"/>
    </row>
    <row r="23" spans="1:36" ht="13.5" thickBot="1">
      <c r="A23" s="1747"/>
      <c r="B23" s="1747"/>
      <c r="C23" s="1747"/>
      <c r="D23" s="1747"/>
      <c r="E23" s="129"/>
      <c r="F23" s="129"/>
      <c r="G23" s="129"/>
      <c r="H23" s="129"/>
      <c r="I23" s="129"/>
    </row>
    <row r="24" spans="1:36" ht="14.25">
      <c r="A24" s="3562" t="s">
        <v>1299</v>
      </c>
      <c r="B24" s="1762" t="s">
        <v>1291</v>
      </c>
      <c r="C24" s="136">
        <f>IF(B30=0,0,D30)</f>
        <v>0</v>
      </c>
      <c r="D24" s="1769"/>
      <c r="E24" s="129"/>
      <c r="F24" s="129"/>
      <c r="G24" s="129"/>
      <c r="H24" s="129"/>
      <c r="I24" s="129"/>
    </row>
    <row r="25" spans="1:36" ht="14.25">
      <c r="A25" s="356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13411</v>
      </c>
      <c r="D32" s="1775" t="s">
        <v>3422</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2" t="s">
        <v>1312</v>
      </c>
      <c r="B36" s="1787" t="s">
        <v>1313</v>
      </c>
      <c r="C36" s="145"/>
      <c r="D36" s="1788"/>
      <c r="E36" s="1789"/>
      <c r="F36" s="1790"/>
      <c r="G36" s="129"/>
      <c r="H36" s="129"/>
      <c r="I36" s="129"/>
    </row>
    <row r="37" spans="1:15" ht="15.75" thickBot="1">
      <c r="A37" s="3583"/>
      <c r="B37" s="1674" t="s">
        <v>1314</v>
      </c>
      <c r="C37" s="147"/>
      <c r="D37" s="1139"/>
      <c r="E37" s="1139"/>
      <c r="F37" s="1790"/>
      <c r="G37" s="129"/>
      <c r="H37" s="129"/>
      <c r="I37" s="129"/>
    </row>
    <row r="38" spans="1:15" ht="15.75" thickBot="1">
      <c r="A38" s="358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9" t="s">
        <v>1326</v>
      </c>
      <c r="B45" s="3560"/>
      <c r="C45" s="3561"/>
      <c r="D45" s="155">
        <f ca="1">ROUND(H101*F45,0)</f>
        <v>369</v>
      </c>
      <c r="E45" s="156" t="s">
        <v>1327</v>
      </c>
      <c r="F45" s="157">
        <v>1</v>
      </c>
      <c r="G45" s="158" t="s">
        <v>1328</v>
      </c>
      <c r="H45" s="129"/>
      <c r="I45" s="129"/>
      <c r="J45" s="3637" t="s">
        <v>1329</v>
      </c>
      <c r="K45" s="3637"/>
      <c r="L45" s="3637"/>
      <c r="M45" s="3637"/>
      <c r="N45" s="3637"/>
      <c r="O45" s="3637"/>
    </row>
    <row r="46" spans="1:15" ht="14.25" customHeight="1">
      <c r="A46" s="3556" t="s">
        <v>1330</v>
      </c>
      <c r="B46" s="3557"/>
      <c r="C46" s="3557"/>
      <c r="D46" s="3557"/>
      <c r="E46" s="3557"/>
      <c r="F46" s="3557"/>
      <c r="G46" s="3558"/>
      <c r="H46" s="1806"/>
      <c r="I46" s="159"/>
      <c r="J46" s="2523">
        <v>1</v>
      </c>
      <c r="K46" s="3618" t="s">
        <v>1331</v>
      </c>
      <c r="L46" s="3618"/>
      <c r="M46" s="3638"/>
      <c r="N46" s="3638"/>
      <c r="O46" s="3638"/>
    </row>
    <row r="47" spans="1:15" ht="12" customHeight="1">
      <c r="A47" s="160" t="s">
        <v>1332</v>
      </c>
      <c r="B47" s="161"/>
      <c r="C47" s="162"/>
      <c r="D47" s="1087" t="s">
        <v>1333</v>
      </c>
      <c r="E47" s="302" t="s">
        <v>1334</v>
      </c>
      <c r="F47" s="163" t="s">
        <v>1335</v>
      </c>
      <c r="G47" s="2546" t="s">
        <v>1336</v>
      </c>
      <c r="H47" s="2547"/>
      <c r="I47" s="159"/>
      <c r="J47" s="2523">
        <v>2</v>
      </c>
      <c r="K47" s="3618" t="s">
        <v>1337</v>
      </c>
      <c r="L47" s="3618"/>
      <c r="M47" s="3639">
        <f>'数据-取费表'!B2</f>
        <v>44930</v>
      </c>
      <c r="N47" s="3639"/>
      <c r="O47" s="3639"/>
    </row>
    <row r="48" spans="1:15" ht="25.5">
      <c r="A48" s="3587" t="s">
        <v>1338</v>
      </c>
      <c r="B48" s="3570"/>
      <c r="C48" s="357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8" t="s">
        <v>1340</v>
      </c>
      <c r="L48" s="3618"/>
      <c r="M48" s="3640">
        <f ca="1">H101</f>
        <v>369</v>
      </c>
      <c r="N48" s="3640"/>
      <c r="O48" s="3640"/>
    </row>
    <row r="49" spans="1:35" ht="25.5" customHeight="1">
      <c r="A49" s="2333" t="s">
        <v>1341</v>
      </c>
      <c r="B49" s="3554" t="s">
        <v>1342</v>
      </c>
      <c r="C49" s="3554"/>
      <c r="D49" s="1590">
        <v>0</v>
      </c>
      <c r="E49" s="324" t="s">
        <v>1343</v>
      </c>
      <c r="F49" s="2424" t="s">
        <v>28</v>
      </c>
      <c r="G49" s="3624"/>
      <c r="H49" s="2310" t="s">
        <v>2134</v>
      </c>
      <c r="I49" s="2311"/>
      <c r="J49" s="2523">
        <v>4</v>
      </c>
      <c r="K49" s="3618" t="str">
        <f>IF(项目基本情况!E8="房地产抵押价值","房地产抵押价值","抵押担保权已注销时的房地产抵押价值")</f>
        <v>房地产抵押价值</v>
      </c>
      <c r="L49" s="3618"/>
      <c r="M49" s="3640">
        <f ca="1">IF(项目基本情况!E8="房地产抵押价值",H107,H109)</f>
        <v>369</v>
      </c>
      <c r="N49" s="3640"/>
      <c r="O49" s="3640"/>
    </row>
    <row r="50" spans="1:35" ht="25.5" customHeight="1">
      <c r="A50" s="2551"/>
      <c r="B50" s="3554" t="s">
        <v>1344</v>
      </c>
      <c r="C50" s="3554"/>
      <c r="D50" s="2552"/>
      <c r="E50" s="332"/>
      <c r="F50" s="2424"/>
      <c r="G50" s="3625"/>
      <c r="H50" s="2312" t="s">
        <v>2135</v>
      </c>
      <c r="I50" s="2311"/>
      <c r="J50" s="3637" t="s">
        <v>1345</v>
      </c>
      <c r="K50" s="3637"/>
      <c r="L50" s="3637"/>
      <c r="M50" s="3637"/>
      <c r="N50" s="3637"/>
      <c r="O50" s="3637"/>
    </row>
    <row r="51" spans="1:35" ht="20.45" customHeight="1">
      <c r="A51" s="2553"/>
      <c r="B51" s="3554" t="s">
        <v>1346</v>
      </c>
      <c r="C51" s="3554"/>
      <c r="D51" s="1087"/>
      <c r="E51" s="327"/>
      <c r="F51" s="2424"/>
      <c r="G51" s="3626"/>
      <c r="H51" s="2312" t="s">
        <v>2136</v>
      </c>
      <c r="I51" s="2311"/>
      <c r="J51" s="2524" t="s">
        <v>1347</v>
      </c>
      <c r="K51" s="3618" t="s">
        <v>1348</v>
      </c>
      <c r="L51" s="3618"/>
      <c r="M51" s="2524" t="s">
        <v>1349</v>
      </c>
      <c r="N51" s="2524" t="s">
        <v>1350</v>
      </c>
      <c r="O51" s="2524" t="s">
        <v>1351</v>
      </c>
    </row>
    <row r="52" spans="1:35" ht="24" customHeight="1">
      <c r="A52" s="2335" t="s">
        <v>1352</v>
      </c>
      <c r="B52" s="3554" t="s">
        <v>1353</v>
      </c>
      <c r="C52" s="3554"/>
      <c r="D52" s="1087">
        <f ca="1">ROUND(D45*'数据-取费表'!B41/(1+'数据-取费表'!C42),0)</f>
        <v>19</v>
      </c>
      <c r="E52" s="2334" t="s">
        <v>1354</v>
      </c>
      <c r="F52" s="2554">
        <f>'数据-取费表'!B41</f>
        <v>5.5000000000000007E-2</v>
      </c>
      <c r="G52" s="2555"/>
      <c r="H52" s="2544"/>
      <c r="I52" s="1807"/>
      <c r="J52" s="2523">
        <v>1</v>
      </c>
      <c r="K52" s="3619" t="s">
        <v>1355</v>
      </c>
      <c r="L52" s="3619"/>
      <c r="M52" s="2525" t="b">
        <f>D48</f>
        <v>0</v>
      </c>
      <c r="N52" s="2523" t="str">
        <f>E48</f>
        <v>销售额×税（费）率</v>
      </c>
      <c r="O52" s="2526">
        <f>F48</f>
        <v>5.5000000000000007E-2</v>
      </c>
    </row>
    <row r="53" spans="1:35" ht="12" customHeight="1">
      <c r="A53" s="2335" t="s">
        <v>1356</v>
      </c>
      <c r="B53" s="3580" t="s">
        <v>2291</v>
      </c>
      <c r="C53" s="3581"/>
      <c r="D53" s="1087">
        <f ca="1">ROUND(D45*'数据-取费表'!B41/(1+'数据-取费表'!C42),0)</f>
        <v>19</v>
      </c>
      <c r="E53" s="2334" t="s">
        <v>1354</v>
      </c>
      <c r="F53" s="2554">
        <f>'数据-取费表'!B41</f>
        <v>5.5000000000000007E-2</v>
      </c>
      <c r="G53" s="2555"/>
      <c r="H53" s="2544"/>
      <c r="I53" s="1807"/>
      <c r="J53" s="2523">
        <v>2</v>
      </c>
      <c r="K53" s="3619" t="s">
        <v>1357</v>
      </c>
      <c r="L53" s="3619"/>
      <c r="M53" s="2525">
        <f t="shared" ref="M53:O54" ca="1" si="0">D55</f>
        <v>0</v>
      </c>
      <c r="N53" s="2523" t="str">
        <f t="shared" si="0"/>
        <v>销售额×税（费）率</v>
      </c>
      <c r="O53" s="2526" t="str">
        <f t="shared" si="0"/>
        <v>免征</v>
      </c>
    </row>
    <row r="54" spans="1:35" ht="12" customHeight="1">
      <c r="A54" s="2335" t="s">
        <v>1358</v>
      </c>
      <c r="B54" s="3580" t="s">
        <v>2292</v>
      </c>
      <c r="C54" s="3581"/>
      <c r="D54" s="1087">
        <f ca="1">C68</f>
        <v>19</v>
      </c>
      <c r="E54" s="327" t="s">
        <v>1359</v>
      </c>
      <c r="F54" s="2554">
        <f>'数据-取费表'!B41</f>
        <v>5.5000000000000007E-2</v>
      </c>
      <c r="G54" s="2555"/>
      <c r="H54" s="2556"/>
      <c r="I54" s="1807"/>
      <c r="J54" s="2523">
        <v>3</v>
      </c>
      <c r="K54" s="3619" t="s">
        <v>1360</v>
      </c>
      <c r="L54" s="3619"/>
      <c r="M54" s="2525">
        <f t="shared" ca="1" si="0"/>
        <v>209</v>
      </c>
      <c r="N54" s="2523" t="str">
        <f t="shared" si="0"/>
        <v>增值额×税（费）率</v>
      </c>
      <c r="O54" s="2527" t="str">
        <f t="shared" si="0"/>
        <v>免征</v>
      </c>
    </row>
    <row r="55" spans="1:35" ht="24" customHeight="1">
      <c r="A55" s="3569" t="s">
        <v>1361</v>
      </c>
      <c r="B55" s="3570"/>
      <c r="C55" s="3570"/>
      <c r="D55" s="2324">
        <f ca="1">IF(H55="个人住宅",0,ROUND(D45*I55,0))</f>
        <v>0</v>
      </c>
      <c r="E55" s="2334" t="s">
        <v>1362</v>
      </c>
      <c r="F55" s="2554" t="str">
        <f>IF(H55="正常",I55,"免征")</f>
        <v>免征</v>
      </c>
      <c r="G55" s="2555"/>
      <c r="H55" s="2550"/>
      <c r="I55" s="165">
        <f>'数据-取费表'!B49</f>
        <v>5.0000000000000001E-4</v>
      </c>
      <c r="J55" s="2523">
        <f>IF(H59="非个人房产","",4)</f>
        <v>4</v>
      </c>
      <c r="K55" s="3619" t="str">
        <f>IF(H59="非个人房产","——","个人所得税")</f>
        <v>个人所得税</v>
      </c>
      <c r="L55" s="3619"/>
      <c r="M55" s="2528">
        <f ca="1">D59</f>
        <v>4</v>
      </c>
      <c r="N55" s="2040" t="str">
        <f>E59</f>
        <v>差额计税</v>
      </c>
      <c r="O55" s="2529">
        <f>F59</f>
        <v>0.01</v>
      </c>
    </row>
    <row r="56" spans="1:35" ht="24.75">
      <c r="A56" s="3569" t="s">
        <v>1363</v>
      </c>
      <c r="B56" s="3570"/>
      <c r="C56" s="3570"/>
      <c r="D56" s="2324">
        <f ca="1">IF(H56="个人住宅",D57,D58)</f>
        <v>209</v>
      </c>
      <c r="E56" s="2334" t="s">
        <v>1364</v>
      </c>
      <c r="F56" s="2554" t="str">
        <f>IF(H56="正常",F58,"免征")</f>
        <v>免征</v>
      </c>
      <c r="G56" s="2557" t="s">
        <v>1365</v>
      </c>
      <c r="H56" s="2558"/>
      <c r="I56" s="1808"/>
      <c r="J56" s="2523" t="str">
        <f>IF(项目基本情况!K6="上海银行",IF(J55="",4,J55+1),"")</f>
        <v/>
      </c>
      <c r="K56" s="3642" t="str">
        <f>IF(项目基本情况!K6="上海银行","其他处置费用","")</f>
        <v/>
      </c>
      <c r="L56" s="3643"/>
      <c r="M56" s="2525" t="str">
        <f>IF(项目基本情况!K6="上海银行",M69,"")</f>
        <v/>
      </c>
      <c r="N56" s="3642" t="str">
        <f>IF(项目基本情况!K6="上海银行","包含处置中涉及的律师、诉讼、拍卖、评估等费用","")</f>
        <v/>
      </c>
      <c r="O56" s="3645"/>
    </row>
    <row r="57" spans="1:35" ht="12.75">
      <c r="A57" s="2335" t="s">
        <v>1341</v>
      </c>
      <c r="B57" s="3580" t="s">
        <v>1366</v>
      </c>
      <c r="C57" s="3581"/>
      <c r="D57" s="1590">
        <v>0</v>
      </c>
      <c r="E57" s="324" t="s">
        <v>1343</v>
      </c>
      <c r="F57" s="302"/>
      <c r="G57" s="2555"/>
      <c r="H57" s="2559"/>
      <c r="I57" s="1808"/>
      <c r="J57" s="3619">
        <f>IF(AND(J55="",J56=""),4,IF(项目基本情况!K6="上海银行",结果表!J56+1,结果表!J55+1))</f>
        <v>5</v>
      </c>
      <c r="K57" s="3619" t="s">
        <v>1367</v>
      </c>
      <c r="L57" s="2530" t="s">
        <v>1368</v>
      </c>
      <c r="M57" s="2531"/>
      <c r="N57" s="2532">
        <f ca="1">SUMIF(M52:M56,"&lt;9e307")</f>
        <v>213</v>
      </c>
      <c r="O57" s="2533"/>
      <c r="P57" s="2690">
        <f ca="1">N57/M49</f>
        <v>0.57723577235772361</v>
      </c>
    </row>
    <row r="58" spans="1:35" ht="24.75">
      <c r="A58" s="2335" t="s">
        <v>1352</v>
      </c>
      <c r="B58" s="3580" t="s">
        <v>1369</v>
      </c>
      <c r="C58" s="3554"/>
      <c r="D58" s="2324">
        <f ca="1">IF(H58="转让取得",C81,C97)</f>
        <v>209</v>
      </c>
      <c r="E58" s="2334" t="s">
        <v>1364</v>
      </c>
      <c r="F58" s="302" t="s">
        <v>28</v>
      </c>
      <c r="G58" s="2555"/>
      <c r="H58" s="2558"/>
      <c r="I58" s="1808"/>
      <c r="J58" s="3619"/>
      <c r="K58" s="3619"/>
      <c r="L58" s="2530" t="s">
        <v>1370</v>
      </c>
      <c r="M58" s="2534"/>
      <c r="N58" s="2535" t="str">
        <f ca="1">NUMBERSTRING(INT(N57*10000),2)&amp;"元整"</f>
        <v>贰佰壹拾叁万元整</v>
      </c>
      <c r="O58" s="2536"/>
    </row>
    <row r="59" spans="1:35" ht="24.75" thickBot="1">
      <c r="A59" s="3622" t="s">
        <v>1371</v>
      </c>
      <c r="B59" s="3623"/>
      <c r="C59" s="3623"/>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0">
        <f>J57+1</f>
        <v>6</v>
      </c>
      <c r="K59" s="3619" t="s">
        <v>1372</v>
      </c>
      <c r="L59" s="2523" t="s">
        <v>1368</v>
      </c>
      <c r="M59" s="2537"/>
      <c r="N59" s="2538">
        <f ca="1">M49-N57</f>
        <v>156</v>
      </c>
      <c r="O59" s="2539"/>
    </row>
    <row r="60" spans="1:35" ht="12" customHeight="1">
      <c r="A60" s="1809"/>
      <c r="B60" s="1747"/>
      <c r="C60" s="1747"/>
      <c r="D60" s="1747"/>
      <c r="E60" s="1578"/>
      <c r="F60" s="1808"/>
      <c r="G60" s="1808"/>
      <c r="H60" s="1810"/>
      <c r="I60" s="129"/>
      <c r="J60" s="3621"/>
      <c r="K60" s="3619"/>
      <c r="L60" s="2530" t="s">
        <v>1370</v>
      </c>
      <c r="M60" s="2534"/>
      <c r="N60" s="2535" t="str">
        <f ca="1">NUMBERSTRING(INT(N59*10000),2)&amp;"元整"</f>
        <v>壹佰伍拾陆万元整</v>
      </c>
      <c r="O60" s="2536"/>
    </row>
    <row r="61" spans="1:35" ht="13.5" thickBot="1">
      <c r="A61" s="3567" t="s">
        <v>1373</v>
      </c>
      <c r="B61" s="3567"/>
      <c r="C61" s="3567"/>
      <c r="D61" s="3567"/>
      <c r="E61" s="3567"/>
      <c r="F61" s="1808"/>
      <c r="G61" s="1808"/>
      <c r="H61" s="1810"/>
      <c r="I61" s="129"/>
      <c r="J61" s="2523">
        <f>J59+1</f>
        <v>7</v>
      </c>
      <c r="K61" s="3619" t="s">
        <v>1374</v>
      </c>
      <c r="L61" s="3619"/>
      <c r="M61" s="2540"/>
      <c r="N61" s="2541">
        <f ca="1">ROUND(N59*10000/'数据-汇总表'!E3,0)</f>
        <v>5663</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351</v>
      </c>
      <c r="D63" s="167"/>
      <c r="E63" s="168"/>
      <c r="F63" s="1808"/>
      <c r="G63" s="1808"/>
      <c r="H63" s="1810"/>
      <c r="I63" s="129"/>
      <c r="J63" s="3644" t="s">
        <v>1379</v>
      </c>
      <c r="K63" s="1332" t="s">
        <v>1380</v>
      </c>
      <c r="L63" s="1332">
        <f ca="1">IF(M49&gt;10000,M49*0.5%,IF(AND(M49&gt;1000,M49&lt;=10000),M49*1%,IF(AND(M49&gt;100,M49&lt;=1000),M49*3%,IF(AND(M49&gt;10,M49&lt;=100),M49*5%,M49*8%))))</f>
        <v>11.07</v>
      </c>
      <c r="M63" s="302">
        <f ca="1">ROUND(L63,1)</f>
        <v>11.1</v>
      </c>
      <c r="N63" s="2543"/>
      <c r="Z63" s="1752"/>
      <c r="AI63" s="1753"/>
    </row>
    <row r="64" spans="1:35" ht="14.25" customHeight="1">
      <c r="A64" s="169" t="s">
        <v>325</v>
      </c>
      <c r="B64" s="170" t="s">
        <v>1381</v>
      </c>
      <c r="C64" s="2565">
        <f ca="1">D45</f>
        <v>369</v>
      </c>
      <c r="D64" s="170" t="s">
        <v>26</v>
      </c>
      <c r="E64" s="172"/>
      <c r="F64" s="1808"/>
      <c r="G64" s="1808"/>
      <c r="H64" s="1810"/>
      <c r="I64" s="129"/>
      <c r="J64" s="3644"/>
      <c r="K64" s="1332" t="s">
        <v>1382</v>
      </c>
      <c r="L64" s="1332">
        <f ca="1">IF(M49&gt;2000,M49*0.5%,IF(AND(M49&gt;1000,M49&lt;=2000),M49*0.6%,IF(AND(M49&gt;500,M49&lt;=1000),M49*0.7%,IF(AND(M49&gt;200,M49&lt;=500),M49*0.8%,IF(AND(M49&gt;100,M49&lt;=200),M49*0.9%,IF(AND(M49&gt;50,M49&lt;=100),M49*1%,IF(AND(M49&gt;20,M49&lt;=50),M49*1.5%,IF(AND(M49&gt;10,M49&lt;=20),M49*2%,IF(AND(M49&gt;1,M49&lt;=10),M49*2.5%)))))))))</f>
        <v>2.952</v>
      </c>
      <c r="M64" s="302">
        <f t="shared" ref="M64:M65" ca="1" si="1">ROUND(L64,1)</f>
        <v>3</v>
      </c>
      <c r="N64" s="2544" t="s">
        <v>1383</v>
      </c>
      <c r="Z64" s="1752"/>
      <c r="AI64" s="1753"/>
    </row>
    <row r="65" spans="1:35" ht="14.25" customHeight="1">
      <c r="A65" s="169" t="s">
        <v>326</v>
      </c>
      <c r="B65" s="170" t="s">
        <v>1384</v>
      </c>
      <c r="C65" s="2566"/>
      <c r="D65" s="170"/>
      <c r="E65" s="172"/>
      <c r="F65" s="1808"/>
      <c r="G65" s="1808"/>
      <c r="H65" s="1810"/>
      <c r="I65" s="129"/>
      <c r="J65" s="3644"/>
      <c r="K65" s="1332" t="s">
        <v>1385</v>
      </c>
      <c r="L65" s="1332">
        <f ca="1">IF(M49&gt;1000,M49*0.1%,IF(AND(M49&gt;500,M49&lt;=1000),M49*0.5%,IF(AND(M49&gt;50,M49&lt;=500),M49*1%,IF(AND(M49&gt;1,M49&lt;=50),M49*1.5%))))</f>
        <v>3.69</v>
      </c>
      <c r="M65" s="302">
        <f t="shared" ca="1" si="1"/>
        <v>3.7</v>
      </c>
      <c r="N65" s="2544" t="s">
        <v>1383</v>
      </c>
      <c r="Z65" s="1752"/>
      <c r="AI65" s="1753"/>
    </row>
    <row r="66" spans="1:35" ht="14.25" customHeight="1">
      <c r="A66" s="173" t="s">
        <v>327</v>
      </c>
      <c r="B66" s="174" t="s">
        <v>1386</v>
      </c>
      <c r="C66" s="2567"/>
      <c r="D66" s="174" t="s">
        <v>26</v>
      </c>
      <c r="E66" s="1338" t="s">
        <v>671</v>
      </c>
      <c r="F66" s="1808"/>
      <c r="G66" s="1808"/>
      <c r="H66" s="1810"/>
      <c r="I66" s="129"/>
      <c r="J66" s="3644"/>
      <c r="K66" s="1332" t="s">
        <v>1387</v>
      </c>
      <c r="L66" s="1332">
        <f ca="1">M49*0.5%</f>
        <v>1.845</v>
      </c>
      <c r="M66" s="302">
        <f ca="1">IF(L66&gt;0.5,0.5,ROUND(L66,0))</f>
        <v>0.5</v>
      </c>
      <c r="N66" s="2544" t="s">
        <v>1388</v>
      </c>
      <c r="Z66" s="1752"/>
      <c r="AI66" s="1753"/>
    </row>
    <row r="67" spans="1:35" ht="14.25" customHeight="1">
      <c r="A67" s="173" t="s">
        <v>328</v>
      </c>
      <c r="B67" s="174" t="s">
        <v>1389</v>
      </c>
      <c r="C67" s="2568">
        <f ca="1">C63-C66</f>
        <v>351</v>
      </c>
      <c r="D67" s="170" t="s">
        <v>26</v>
      </c>
      <c r="E67" s="172"/>
      <c r="F67" s="1808"/>
      <c r="G67" s="1808"/>
      <c r="H67" s="1810"/>
      <c r="I67" s="129"/>
      <c r="J67" s="3644"/>
      <c r="K67" s="1332" t="s">
        <v>1390</v>
      </c>
      <c r="L67" s="1332">
        <f ca="1">IF(M49&gt;=10000,(8.25+(M49-10000)*0.01%),IF(AND(M49&gt;=8000,M49&lt;10000),(7.85+(M49-8000)*0.02%),IF(AND(M49&gt;=5000,M49&lt;8000),(6.65+(M49-5000)*0.04%),IF(AND(M49&gt;=2000,M49&lt;5000),(4.25+(PM49-2000)*0.08%),IF(AND(M49&gt;=1000,M49&lt;2000),(2.75+(M49-1000)*0.15%),IF(AND(M49&gt;=100,M49&lt;1000),(0.5+(M49-100)*0.25%),IF(AND(M49&gt;0,M49&lt;100),M49*0.5%)))))))</f>
        <v>1.1724999999999999</v>
      </c>
      <c r="M67" s="302">
        <f ca="1">ROUND(L67*0.9,1)</f>
        <v>1.1000000000000001</v>
      </c>
      <c r="N67" s="2543"/>
      <c r="Z67" s="1752"/>
      <c r="AI67" s="1753"/>
    </row>
    <row r="68" spans="1:35" ht="14.25" customHeight="1" thickBot="1">
      <c r="A68" s="176" t="s">
        <v>329</v>
      </c>
      <c r="B68" s="177" t="s">
        <v>1391</v>
      </c>
      <c r="C68" s="2569">
        <f ca="1">IF(C67&lt;=0,0,ROUND(C67*D68,0))</f>
        <v>19</v>
      </c>
      <c r="D68" s="2570">
        <f>'数据-取费表'!B41</f>
        <v>5.5000000000000007E-2</v>
      </c>
      <c r="E68" s="178"/>
      <c r="F68" s="1808"/>
      <c r="G68" s="1808"/>
      <c r="H68" s="1810"/>
      <c r="I68" s="129"/>
      <c r="J68" s="3644"/>
      <c r="K68" s="1332" t="s">
        <v>1392</v>
      </c>
      <c r="L68" s="1332">
        <f ca="1">IF(M49&gt;10000,M49*0.5%,IF(AND(M49&gt;5000,M49&lt;=10000),M49*1%,IF(AND(M49&gt;1000,M49&lt;=5000),M49*2%,IF(AND(M49&gt;200,M49&lt;=1000),M49*3%,M49*5%))))</f>
        <v>11.07</v>
      </c>
      <c r="M68" s="302">
        <f ca="1">ROUND(L68,1)</f>
        <v>11.1</v>
      </c>
      <c r="N68" s="2543"/>
      <c r="Z68" s="1752"/>
      <c r="AI68" s="1753"/>
    </row>
    <row r="69" spans="1:35" s="1772" customFormat="1" ht="16.5" customHeight="1">
      <c r="A69" s="1811"/>
      <c r="B69" s="1812"/>
      <c r="C69" s="1813"/>
      <c r="D69" s="1814"/>
      <c r="E69" s="1815"/>
      <c r="F69" s="1578"/>
      <c r="G69" s="1578"/>
      <c r="H69" s="1577"/>
      <c r="I69" s="1747"/>
      <c r="J69" s="3644"/>
      <c r="K69" s="1332" t="s">
        <v>1393</v>
      </c>
      <c r="L69" s="1332"/>
      <c r="M69" s="302">
        <f ca="1">ROUND(SUM(M63:M68),0)</f>
        <v>31</v>
      </c>
      <c r="N69" s="2545">
        <f ca="1">M69/M49</f>
        <v>8.4010840108401083E-2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351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0" t="s">
        <v>1402</v>
      </c>
      <c r="F76" s="3554"/>
      <c r="G76" s="3554"/>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64" t="s">
        <v>1406</v>
      </c>
      <c r="F78" s="3565"/>
      <c r="G78" s="3565"/>
      <c r="H78" s="357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349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174.5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209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6" t="s">
        <v>2129</v>
      </c>
      <c r="H90" s="364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4" t="s">
        <v>1419</v>
      </c>
      <c r="F91" s="3565"/>
      <c r="G91" s="356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4" t="s">
        <v>1422</v>
      </c>
      <c r="F92" s="3565"/>
      <c r="G92" s="3565"/>
      <c r="H92" s="357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64" t="s">
        <v>1406</v>
      </c>
      <c r="F93" s="3565"/>
      <c r="G93" s="3565"/>
      <c r="H93" s="357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5" t="s">
        <v>1426</v>
      </c>
      <c r="F94" s="3576"/>
      <c r="G94" s="3576"/>
      <c r="H94" s="357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349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174.5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209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8" t="s">
        <v>1428</v>
      </c>
      <c r="B100" s="3549"/>
      <c r="C100" s="3549"/>
      <c r="D100" s="3566"/>
      <c r="E100" s="3549" t="s">
        <v>1429</v>
      </c>
      <c r="F100" s="3549"/>
      <c r="G100" s="3549"/>
      <c r="H100" s="3566"/>
      <c r="I100" s="129"/>
    </row>
    <row r="101" spans="1:35" ht="18.75" customHeight="1">
      <c r="A101" s="3627" t="s">
        <v>1430</v>
      </c>
      <c r="B101" s="3628"/>
      <c r="C101" s="2585" t="str">
        <f>C4</f>
        <v>比较法-商业</v>
      </c>
      <c r="D101" s="2586" t="str">
        <f>D4</f>
        <v>收益法 (元)</v>
      </c>
      <c r="E101" s="3641" t="s">
        <v>1431</v>
      </c>
      <c r="F101" s="3598"/>
      <c r="G101" s="1827" t="s">
        <v>1432</v>
      </c>
      <c r="H101" s="2595">
        <f ca="1">H118</f>
        <v>369</v>
      </c>
      <c r="I101" s="129"/>
    </row>
    <row r="102" spans="1:35" ht="18.75" customHeight="1">
      <c r="A102" s="3600" t="s">
        <v>1433</v>
      </c>
      <c r="B102" s="2584" t="s">
        <v>1432</v>
      </c>
      <c r="C102" s="2585">
        <f ca="1">IF(D32="楼面单价",ROUND(C19,0),C19)</f>
        <v>506</v>
      </c>
      <c r="D102" s="2586">
        <f ca="1">IF(D32="楼面单价",ROUND(D19,0),D19)</f>
        <v>278</v>
      </c>
      <c r="E102" s="3641"/>
      <c r="F102" s="3598"/>
      <c r="G102" s="1827" t="s">
        <v>1434</v>
      </c>
      <c r="H102" s="2555">
        <f ca="1">I118</f>
        <v>13411</v>
      </c>
      <c r="I102" s="129"/>
    </row>
    <row r="103" spans="1:35" ht="42.75" customHeight="1">
      <c r="A103" s="3600"/>
      <c r="B103" s="2584" t="s">
        <v>1434</v>
      </c>
      <c r="C103" s="2587">
        <f ca="1">C20</f>
        <v>18380</v>
      </c>
      <c r="D103" s="2588">
        <f ca="1">D20</f>
        <v>10098</v>
      </c>
      <c r="E103" s="3635" t="s">
        <v>1435</v>
      </c>
      <c r="F103" s="3636"/>
      <c r="G103" s="1828" t="s">
        <v>1436</v>
      </c>
      <c r="H103" s="2595">
        <f>IF(D36="正常操作",H104+H105+H106,H105+H106)</f>
        <v>0</v>
      </c>
      <c r="I103" s="129"/>
    </row>
    <row r="104" spans="1:35" ht="18.75" customHeight="1">
      <c r="A104" s="3600" t="s">
        <v>1437</v>
      </c>
      <c r="B104" s="2589" t="s">
        <v>1432</v>
      </c>
      <c r="C104" s="2590">
        <f ca="1">H118</f>
        <v>369</v>
      </c>
      <c r="D104" s="2591"/>
      <c r="E104" s="1674" t="s">
        <v>1438</v>
      </c>
      <c r="F104" s="1666"/>
      <c r="G104" s="1828" t="s">
        <v>1436</v>
      </c>
      <c r="H104" s="2596">
        <f>IF(D36="同一抵押权人同一抵押物续贷",C36&amp;"（续贷，未扣减，详见特别提示）",C36)</f>
        <v>0</v>
      </c>
      <c r="I104" s="129"/>
    </row>
    <row r="105" spans="1:35" ht="18.75" customHeight="1" thickBot="1">
      <c r="A105" s="3601"/>
      <c r="B105" s="2592" t="s">
        <v>1434</v>
      </c>
      <c r="C105" s="2593">
        <f ca="1">I118</f>
        <v>13411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3.房地产抵押价值</v>
      </c>
      <c r="F107" s="3598"/>
      <c r="G107" s="1827" t="s">
        <v>1432</v>
      </c>
      <c r="H107" s="2595">
        <f ca="1">IF(E107="——","——",H101-H103)</f>
        <v>369</v>
      </c>
      <c r="I107" s="129"/>
    </row>
    <row r="108" spans="1:35" ht="18.75" customHeight="1">
      <c r="A108" s="129"/>
      <c r="B108" s="129"/>
      <c r="C108" s="129"/>
      <c r="D108" s="129"/>
      <c r="E108" s="3597"/>
      <c r="F108" s="3598"/>
      <c r="G108" s="1827" t="s">
        <v>1434</v>
      </c>
      <c r="H108" s="2555">
        <f ca="1">IF(H107=H101,H102,ROUND(H107*10000/'数据-汇总表'!E3,0))</f>
        <v>13411</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98"/>
      <c r="G109" s="1827" t="s">
        <v>1432</v>
      </c>
      <c r="H109" s="2598" t="str">
        <f>IF(E109="——","——",H101-H105-H106)</f>
        <v>——</v>
      </c>
      <c r="I109" s="129"/>
    </row>
    <row r="110" spans="1:35" ht="18.75" customHeight="1">
      <c r="A110" s="129"/>
      <c r="B110" s="129"/>
      <c r="C110" s="129"/>
      <c r="D110" s="129"/>
      <c r="E110" s="3597"/>
      <c r="F110" s="3598"/>
      <c r="G110" s="1827" t="s">
        <v>1434</v>
      </c>
      <c r="H110" s="2555"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30"/>
      <c r="F112" s="3631"/>
      <c r="G112" s="1830" t="s">
        <v>1434</v>
      </c>
      <c r="H112" s="2599" t="str">
        <f>IF(E111="——","——",N61)</f>
        <v>——</v>
      </c>
      <c r="I112" s="129"/>
    </row>
    <row r="113" spans="1:27" ht="18.75" customHeight="1">
      <c r="A113" s="129"/>
      <c r="B113" s="129"/>
      <c r="C113" s="129"/>
      <c r="D113" s="129"/>
      <c r="E113" s="3602" t="s">
        <v>1440</v>
      </c>
      <c r="F113" s="3602"/>
      <c r="G113" s="3602"/>
      <c r="H113" s="3602"/>
      <c r="I113" s="129"/>
    </row>
    <row r="114" spans="1:27" ht="3.75" customHeight="1">
      <c r="A114" s="1747"/>
      <c r="B114" s="1747"/>
      <c r="C114" s="1747"/>
      <c r="D114" s="1747"/>
      <c r="E114" s="1809"/>
      <c r="F114" s="1809"/>
      <c r="G114" s="1809"/>
      <c r="H114" s="1809"/>
      <c r="I114" s="1747"/>
    </row>
    <row r="115" spans="1:27" ht="18.75" customHeight="1">
      <c r="A115" s="3612" t="s">
        <v>1442</v>
      </c>
      <c r="B115" s="3613"/>
      <c r="C115" s="3613"/>
      <c r="D115" s="3613"/>
      <c r="E115" s="3613"/>
      <c r="F115" s="3613"/>
      <c r="G115" s="3613"/>
      <c r="H115" s="3613"/>
      <c r="I115" s="3614"/>
    </row>
    <row r="116" spans="1:27" ht="27" customHeight="1">
      <c r="A116" s="3568" t="s">
        <v>1443</v>
      </c>
      <c r="B116" s="3603" t="s">
        <v>1444</v>
      </c>
      <c r="C116" s="3603" t="s">
        <v>1445</v>
      </c>
      <c r="D116" s="3616" t="s">
        <v>1446</v>
      </c>
      <c r="E116" s="3617"/>
      <c r="F116" s="3611" t="s">
        <v>1447</v>
      </c>
      <c r="G116" s="3611"/>
      <c r="H116" s="3568" t="s">
        <v>1448</v>
      </c>
      <c r="I116" s="3568"/>
    </row>
    <row r="117" spans="1:27" ht="18.75" customHeight="1">
      <c r="A117" s="3568"/>
      <c r="B117" s="3604"/>
      <c r="C117" s="360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275.49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369</v>
      </c>
      <c r="I118" s="2329">
        <f ca="1">ROUND(IF(D32="楼面单价",C32,H118*10000/B118),0)</f>
        <v>13411</v>
      </c>
    </row>
    <row r="119" spans="1:27" ht="18.75" customHeight="1">
      <c r="A119" s="3568" t="s">
        <v>1452</v>
      </c>
      <c r="B119" s="3568"/>
      <c r="C119" s="3568"/>
      <c r="D119" s="3608" t="e">
        <f ca="1">NUMBERSTRING(INT(D118*10000),2)&amp;"元整"</f>
        <v>#REF!</v>
      </c>
      <c r="E119" s="3610"/>
      <c r="F119" s="3608" t="e">
        <f ca="1">NUMBERSTRING(INT(F118*10000),2)&amp;"元整"</f>
        <v>#REF!</v>
      </c>
      <c r="G119" s="3610"/>
      <c r="H119" s="3608" t="str">
        <f ca="1">NUMBERSTRING(INT(H118*10000),2)&amp;"元整"</f>
        <v>叁佰陆拾玖万元整</v>
      </c>
      <c r="I119" s="3610"/>
    </row>
    <row r="120" spans="1:27" ht="18.75" customHeight="1">
      <c r="A120" s="3632" t="str">
        <f>IF(项目基本情况!B9="房地产市场价值","",MID(E103,3,LEN(E103)-2))</f>
        <v>估价师知悉的法定优先受偿款</v>
      </c>
      <c r="B120" s="3633"/>
      <c r="C120" s="3634"/>
      <c r="D120" s="3632">
        <f>H103</f>
        <v>0</v>
      </c>
      <c r="E120" s="3633"/>
      <c r="F120" s="3633"/>
      <c r="G120" s="3633"/>
      <c r="H120" s="3633"/>
      <c r="I120" s="363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8" t="s">
        <v>1452</v>
      </c>
      <c r="B121" s="3609"/>
      <c r="C121" s="3610"/>
      <c r="D121" s="3608" t="str">
        <f>IF(D120=0,"零元整",NUMBERSTRING(INT(D120*10000),2)&amp;"元整")</f>
        <v>零元整</v>
      </c>
      <c r="E121" s="3609"/>
      <c r="F121" s="3609"/>
      <c r="G121" s="3609"/>
      <c r="H121" s="3609"/>
      <c r="I121" s="3610"/>
      <c r="AA121" s="725"/>
    </row>
    <row r="122" spans="1:27" ht="18.75" customHeight="1">
      <c r="A122" s="3599" t="str">
        <f>IF(项目基本情况!B9="房地产市场价值","",MID(E107,3,LEN(E107)-2))</f>
        <v>房地产抵押价值</v>
      </c>
      <c r="B122" s="3599"/>
      <c r="C122" s="3599"/>
      <c r="D122" s="3632">
        <f ca="1">H107</f>
        <v>369</v>
      </c>
      <c r="E122" s="3633"/>
      <c r="F122" s="3633"/>
      <c r="G122" s="3633"/>
      <c r="H122" s="3633"/>
      <c r="I122" s="3634"/>
      <c r="AA122" s="725"/>
    </row>
    <row r="123" spans="1:27" ht="18.75" customHeight="1">
      <c r="A123" s="3568" t="s">
        <v>1452</v>
      </c>
      <c r="B123" s="3568"/>
      <c r="C123" s="3568"/>
      <c r="D123" s="3608" t="str">
        <f ca="1">NUMBERSTRING(INT(D122*10000),2)&amp;"元整"</f>
        <v>叁佰陆拾玖万元整</v>
      </c>
      <c r="E123" s="3609"/>
      <c r="F123" s="3609"/>
      <c r="G123" s="3609"/>
      <c r="H123" s="3609"/>
      <c r="I123" s="3610"/>
      <c r="AA123" s="725"/>
    </row>
    <row r="124" spans="1:27" ht="18.75" customHeight="1">
      <c r="A124" s="3599" t="str">
        <f>IF(项目基本情况!B9="房地产市场价值","",MID(E109,3,LEN(E109)-2))</f>
        <v/>
      </c>
      <c r="B124" s="3599"/>
      <c r="C124" s="3599"/>
      <c r="D124" s="3632" t="str">
        <f>H109</f>
        <v>——</v>
      </c>
      <c r="E124" s="3633"/>
      <c r="F124" s="3633"/>
      <c r="G124" s="3633"/>
      <c r="H124" s="3633"/>
      <c r="I124" s="3634"/>
      <c r="AA124" s="725"/>
    </row>
    <row r="125" spans="1:27" ht="18.75" customHeight="1">
      <c r="A125" s="3568" t="s">
        <v>1452</v>
      </c>
      <c r="B125" s="3568"/>
      <c r="C125" s="3568"/>
      <c r="D125" s="3608" t="e">
        <f>NUMBERSTRING(INT(D124*10000),2)&amp;"元整"</f>
        <v>#VALUE!</v>
      </c>
      <c r="E125" s="3609"/>
      <c r="F125" s="3609"/>
      <c r="G125" s="3609"/>
      <c r="H125" s="3609"/>
      <c r="I125" s="3610"/>
      <c r="AA125" s="725"/>
    </row>
    <row r="126" spans="1:27" ht="18.75" customHeight="1">
      <c r="A126" s="3599" t="str">
        <f>IF(项目基本情况!B9="房地产市场价值","",MID(E111,3,LEN(E111)-2))</f>
        <v/>
      </c>
      <c r="B126" s="3599"/>
      <c r="C126" s="3599"/>
      <c r="D126" s="3632" t="str">
        <f>H111</f>
        <v>——</v>
      </c>
      <c r="E126" s="3633"/>
      <c r="F126" s="3633"/>
      <c r="G126" s="3633"/>
      <c r="H126" s="3633"/>
      <c r="I126" s="3634"/>
      <c r="AA126" s="725"/>
    </row>
    <row r="127" spans="1:27" ht="18.75" customHeight="1">
      <c r="A127" s="3568" t="s">
        <v>1452</v>
      </c>
      <c r="B127" s="3568"/>
      <c r="C127" s="3568"/>
      <c r="D127" s="3608" t="e">
        <f>NUMBERSTRING(INT(D126*10000),2)&amp;"元整"</f>
        <v>#VALUE!</v>
      </c>
      <c r="E127" s="3609"/>
      <c r="F127" s="3609"/>
      <c r="G127" s="3609"/>
      <c r="H127" s="3609"/>
      <c r="I127" s="3610"/>
      <c r="AA127" s="725"/>
    </row>
    <row r="128" spans="1:27" ht="21.75" customHeight="1">
      <c r="A128" s="3615" t="s">
        <v>1453</v>
      </c>
      <c r="B128" s="3615"/>
      <c r="C128" s="3615"/>
      <c r="D128" s="3615"/>
      <c r="E128" s="3615"/>
      <c r="F128" s="3615"/>
      <c r="G128" s="3615"/>
      <c r="H128" s="3615"/>
      <c r="I128" s="361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2940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6</v>
      </c>
      <c r="D10" s="845">
        <f ca="1">IF(B1="",'数据-汇总表'!E6,IF(INDIRECT("'数据-取费表'!c"&amp;$G$1)="住宅",INDIRECT("'数据-取费表'!s"&amp;$G$1),INDIRECT("'数据-取费表'!k"&amp;$G$1)+INDIRECT("'数据-取费表'!s"&amp;$G$1)))</f>
        <v>275.49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275.49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69</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6</v>
      </c>
      <c r="D37" s="217">
        <f ca="1">D19</f>
        <v>275.49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8.0000000000000004E-4</v>
      </c>
      <c r="D44" s="238"/>
      <c r="E44" s="238"/>
      <c r="F44" s="239"/>
      <c r="G44" s="3650"/>
    </row>
    <row r="45" spans="1:7" s="214" customFormat="1" ht="13.5" customHeight="1">
      <c r="A45" s="255" t="s">
        <v>1547</v>
      </c>
      <c r="B45" s="244" t="s">
        <v>1513</v>
      </c>
      <c r="C45" s="245">
        <f ca="1">C46</f>
        <v>12</v>
      </c>
      <c r="D45" s="235">
        <f ca="1">C47</f>
        <v>3.0000000000000001E-3</v>
      </c>
      <c r="E45" s="236" t="s">
        <v>1539</v>
      </c>
      <c r="F45" s="246">
        <f ca="1">F27</f>
        <v>0.15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103</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72</v>
      </c>
      <c r="D51" s="232"/>
      <c r="E51" s="232"/>
      <c r="F51" s="264"/>
      <c r="G51" s="234" t="s">
        <v>1560</v>
      </c>
    </row>
    <row r="52" spans="1:7" s="208" customFormat="1" ht="16.5" thickBot="1">
      <c r="A52" s="265" t="s">
        <v>1561</v>
      </c>
      <c r="B52" s="266"/>
      <c r="C52" s="267">
        <f ca="1">C31+C51</f>
        <v>81</v>
      </c>
      <c r="D52" s="266"/>
      <c r="E52" s="266"/>
      <c r="F52" s="266"/>
      <c r="G52" s="268"/>
    </row>
    <row r="55" spans="1:7" ht="15">
      <c r="B55" s="270" t="s">
        <v>1562</v>
      </c>
      <c r="C55" s="271"/>
    </row>
    <row r="56" spans="1:7">
      <c r="B56" s="273" t="s">
        <v>802</v>
      </c>
      <c r="C56" s="275">
        <f ca="1">1-C57</f>
        <v>0.11099999999999999</v>
      </c>
    </row>
    <row r="57" spans="1:7">
      <c r="B57" s="273" t="s">
        <v>803</v>
      </c>
      <c r="C57" s="274">
        <f ca="1">ROUND(C51/C52,3)</f>
        <v>0.88900000000000001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6">
        <f ca="1">ROUND(IF(D2="——",C52/10000,C52/10000-E2),4)</f>
        <v>86.365799999999993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3135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55098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55098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55098</v>
      </c>
      <c r="D10" s="845">
        <f ca="1">IF(B1="",'数据-汇总表'!E6,IF(INDIRECT("'数据-取费表'!c"&amp;$G$1)="住宅",INDIRECT("'数据-取费表'!s"&amp;$G$1),INDIRECT("'数据-取费表'!k"&amp;$G$1)+INDIRECT("'数据-取费表'!s"&amp;$G$1)))</f>
        <v>275.49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55098</v>
      </c>
      <c r="D19" s="849">
        <f ca="1">D9+D10</f>
        <v>275.49</v>
      </c>
      <c r="E19" s="211">
        <f>'数据-取费表'!B31</f>
        <v>200</v>
      </c>
      <c r="F19" s="231"/>
      <c r="G19" s="1856"/>
    </row>
    <row r="20" spans="1:7" s="214" customFormat="1" ht="13.5" customHeight="1">
      <c r="A20" s="255" t="s">
        <v>1574</v>
      </c>
      <c r="B20" s="210" t="s">
        <v>1575</v>
      </c>
      <c r="C20" s="232">
        <f ca="1">ROUND((C5+C19)*F20,0)</f>
        <v>2204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9427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4668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4668</v>
      </c>
      <c r="D24" s="238"/>
      <c r="E24" s="238"/>
      <c r="F24" s="239"/>
      <c r="G24" s="240" t="s">
        <v>1586</v>
      </c>
    </row>
    <row r="25" spans="1:7" s="214" customFormat="1" ht="24">
      <c r="A25" s="780" t="s">
        <v>1476</v>
      </c>
      <c r="B25" s="215" t="s">
        <v>1587</v>
      </c>
      <c r="C25" s="1128">
        <f ca="1">ROUND(IF('数据-取费表'!B22&lt;=1,C20*F22*'数据-取费表'!B22/2,C20*(POWER((1+F22),'数据-取费表'!B22/2)-1)),0)</f>
        <v>91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16860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16860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150127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774816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688725</v>
      </c>
      <c r="D34" s="217"/>
      <c r="E34" s="220"/>
      <c r="F34" s="257"/>
      <c r="G34" s="219"/>
    </row>
    <row r="35" spans="1:7" ht="13.5" customHeight="1">
      <c r="A35" s="780" t="s">
        <v>351</v>
      </c>
      <c r="B35" s="215" t="s">
        <v>1527</v>
      </c>
      <c r="C35" s="220">
        <f ca="1">ROUND(C34*F35,0)</f>
        <v>20662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55098</v>
      </c>
      <c r="D37" s="217">
        <f ca="1">D19</f>
        <v>275.49</v>
      </c>
      <c r="E37" s="249">
        <f>'数据-取费表'!B35</f>
        <v>200</v>
      </c>
      <c r="F37" s="259"/>
      <c r="G37" s="261"/>
    </row>
    <row r="38" spans="1:7" ht="13.5" customHeight="1">
      <c r="A38" s="780" t="s">
        <v>354</v>
      </c>
      <c r="B38" s="215" t="s">
        <v>1533</v>
      </c>
      <c r="C38" s="220">
        <f ca="1">ROUND(C34*F38,0)</f>
        <v>10331</v>
      </c>
      <c r="D38" s="220"/>
      <c r="E38" s="220"/>
      <c r="F38" s="259">
        <f>'数据-取费表'!B36</f>
        <v>1.4999999999999999E-2</v>
      </c>
      <c r="G38" s="219" t="s">
        <v>1528</v>
      </c>
    </row>
    <row r="39" spans="1:7" s="214" customFormat="1" ht="13.5" customHeight="1">
      <c r="A39" s="255" t="s">
        <v>1534</v>
      </c>
      <c r="B39" s="210" t="s">
        <v>1535</v>
      </c>
      <c r="C39" s="232">
        <f ca="1">ROUND(C33*F20,0)</f>
        <v>15496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32798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32155</v>
      </c>
      <c r="D42" s="238"/>
      <c r="E42" s="238"/>
      <c r="F42" s="239"/>
      <c r="G42" s="3648" t="s">
        <v>1591</v>
      </c>
    </row>
    <row r="43" spans="1:7" ht="13.5" customHeight="1">
      <c r="A43" s="780" t="s">
        <v>347</v>
      </c>
      <c r="B43" s="215" t="s">
        <v>1545</v>
      </c>
      <c r="C43" s="238">
        <f ca="1">ROUND(IF('数据-取费表'!B22&lt;=1,C39*F22*'数据-取费表'!B20/2,C39*(POWER((1+F22),'数据-取费表'!B20/2)-1)),0)</f>
        <v>643</v>
      </c>
      <c r="D43" s="238"/>
      <c r="E43" s="238"/>
      <c r="F43" s="239"/>
      <c r="G43" s="3649"/>
    </row>
    <row r="44" spans="1:7" ht="13.5" customHeight="1">
      <c r="A44" s="780" t="s">
        <v>348</v>
      </c>
      <c r="B44" s="215" t="s">
        <v>1546</v>
      </c>
      <c r="C44" s="238">
        <f ca="1">ROUND(IF('数据-取费表'!B22&lt;=1,C40*F22*'数据-取费表'!B20/2,C40*(POWER((1+F22),'数据-取费表'!B20/2)-1)),4)</f>
        <v>8.0000000000000004E-4</v>
      </c>
      <c r="D44" s="238"/>
      <c r="E44" s="238"/>
      <c r="F44" s="239"/>
      <c r="G44" s="3650"/>
    </row>
    <row r="45" spans="1:7" s="214" customFormat="1" ht="13.5" customHeight="1">
      <c r="A45" s="255" t="s">
        <v>1547</v>
      </c>
      <c r="B45" s="244" t="s">
        <v>1513</v>
      </c>
      <c r="C45" s="245">
        <f ca="1">C46</f>
        <v>118547</v>
      </c>
      <c r="D45" s="235">
        <f ca="1">C47</f>
        <v>3.0000000000000001E-3</v>
      </c>
      <c r="E45" s="236" t="s">
        <v>1539</v>
      </c>
      <c r="F45" s="246">
        <f ca="1">F27</f>
        <v>0.15</v>
      </c>
      <c r="G45" s="247" t="s">
        <v>1548</v>
      </c>
    </row>
    <row r="46" spans="1:7" s="214" customFormat="1" ht="13.5" customHeight="1">
      <c r="A46" s="780" t="s">
        <v>346</v>
      </c>
      <c r="B46" s="248" t="s">
        <v>1549</v>
      </c>
      <c r="C46" s="249">
        <f ca="1">ROUND((C33+C39)*F27,0)</f>
        <v>118547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1019330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713531</v>
      </c>
      <c r="D51" s="232"/>
      <c r="E51" s="232"/>
      <c r="F51" s="264"/>
      <c r="G51" s="234" t="s">
        <v>1560</v>
      </c>
    </row>
    <row r="52" spans="1:7" s="208" customFormat="1" ht="16.5" thickBot="1">
      <c r="A52" s="265" t="s">
        <v>1561</v>
      </c>
      <c r="B52" s="266"/>
      <c r="C52" s="267">
        <f ca="1">C31+C51</f>
        <v>863658</v>
      </c>
      <c r="D52" s="266"/>
      <c r="E52" s="266"/>
      <c r="F52" s="266"/>
      <c r="G52" s="268"/>
    </row>
    <row r="55" spans="1:7" ht="15">
      <c r="B55" s="270" t="s">
        <v>1562</v>
      </c>
      <c r="C55" s="271"/>
    </row>
    <row r="56" spans="1:7">
      <c r="B56" s="273" t="s">
        <v>802</v>
      </c>
      <c r="C56" s="275">
        <f ca="1">1-C57</f>
        <v>0.17400000000000004</v>
      </c>
    </row>
    <row r="57" spans="1:7">
      <c r="B57" s="273" t="s">
        <v>803</v>
      </c>
      <c r="C57" s="274">
        <f ca="1">ROUND(C51/C52,3)</f>
        <v>0.82599999999999996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-7</v>
      </c>
      <c r="C2" s="276" t="s">
        <v>1595</v>
      </c>
      <c r="D2" s="276"/>
      <c r="E2" s="2806"/>
      <c r="F2" s="2806"/>
      <c r="G2" s="2806"/>
      <c r="H2" s="2806"/>
      <c r="I2" s="2806"/>
      <c r="J2" s="2806"/>
      <c r="K2" s="2806"/>
    </row>
    <row r="3" spans="1:33" ht="18" customHeight="1" thickBot="1">
      <c r="A3" s="203" t="s">
        <v>1464</v>
      </c>
      <c r="B3" s="204">
        <f ca="1">ROUND(B2*10000/IF(C1="",'数据-汇总表'!E3,INDIRECT("'数据-取费表'!K"&amp;$K$1)),0)</f>
        <v>-254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275.49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275.49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v>
      </c>
      <c r="D20" s="846">
        <f ca="1">IF(C1="",'数据-汇总表'!E6,IF(INDIRECT("'数据-取费表'!c"&amp;$K$1)="住宅",INDIRECT("'数据-取费表'!s"&amp;$K$1),INDIRECT("'数据-取费表'!k"&amp;$K$1)+INDIRECT("'数据-取费表'!s"&amp;$K$1)))</f>
        <v>275.49</v>
      </c>
      <c r="E20" s="21">
        <f>'数据-取费表'!B28</f>
        <v>200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3" t="s">
        <v>694</v>
      </c>
      <c r="C6" s="1074">
        <f ca="1">ROUND(F6*F8*F7*(1-F9)/10000,0)</f>
        <v>0</v>
      </c>
      <c r="D6" s="155" t="s">
        <v>2109</v>
      </c>
      <c r="E6" s="302" t="s">
        <v>696</v>
      </c>
      <c r="F6" s="303">
        <f ca="1">INDIRECT("'数据-取费表'!u"&amp;$G$1)</f>
        <v>0</v>
      </c>
      <c r="G6" s="1384"/>
      <c r="H6" s="1069" t="s">
        <v>398</v>
      </c>
      <c r="I6" s="3653" t="s">
        <v>694</v>
      </c>
      <c r="J6" s="301">
        <f ca="1">ROUND(M6*M8*M7*(1-M9)/10000,0)</f>
        <v>0</v>
      </c>
      <c r="K6" s="155" t="s">
        <v>2108</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0</v>
      </c>
      <c r="G7" s="1384"/>
      <c r="H7" s="304"/>
      <c r="I7" s="3654"/>
      <c r="J7" s="306"/>
      <c r="K7" s="307"/>
      <c r="L7" s="302" t="s">
        <v>697</v>
      </c>
      <c r="M7" s="303">
        <f ca="1">F7</f>
        <v>0</v>
      </c>
    </row>
    <row r="8" spans="1:37" ht="18" customHeight="1">
      <c r="A8" s="304"/>
      <c r="B8" s="3654"/>
      <c r="C8" s="306"/>
      <c r="D8" s="307"/>
      <c r="E8" s="302" t="s">
        <v>698</v>
      </c>
      <c r="F8" s="303">
        <f ca="1">INDIRECT("'数据-取费表'!ai"&amp;$G$1)</f>
        <v>0</v>
      </c>
      <c r="G8" s="1384"/>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1" t="s">
        <v>837</v>
      </c>
      <c r="L53" s="3652"/>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5" t="s">
        <v>3370</v>
      </c>
      <c r="E2" s="3446"/>
      <c r="F2" s="2846"/>
      <c r="G2" s="2847"/>
      <c r="H2" s="2848"/>
      <c r="I2" s="2849"/>
      <c r="J2" s="3662" t="s">
        <v>2320</v>
      </c>
      <c r="K2" s="366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4" t="s">
        <v>2330</v>
      </c>
      <c r="K3" s="366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4" t="s">
        <v>2332</v>
      </c>
      <c r="K4" s="366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0" t="s">
        <v>2336</v>
      </c>
      <c r="B6" s="3671"/>
      <c r="C6" s="3672"/>
      <c r="D6" s="2870"/>
      <c r="E6" s="2871"/>
      <c r="F6" s="2872"/>
      <c r="G6" s="2873"/>
      <c r="H6" s="2848"/>
      <c r="I6" s="2849"/>
      <c r="J6" s="3656">
        <v>1</v>
      </c>
      <c r="K6" s="365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6"/>
      <c r="K7" s="365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3" t="s">
        <v>2350</v>
      </c>
      <c r="C8" s="3674"/>
      <c r="D8" s="2889" t="s">
        <v>2351</v>
      </c>
      <c r="E8" s="2890" t="s">
        <v>2352</v>
      </c>
      <c r="F8" s="2891" t="s">
        <v>2353</v>
      </c>
      <c r="G8" s="2892"/>
      <c r="H8" s="2848"/>
      <c r="I8" s="2849"/>
      <c r="J8" s="3656"/>
      <c r="K8" s="365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3" t="s">
        <v>2356</v>
      </c>
      <c r="C9" s="3674"/>
      <c r="D9" s="2889">
        <f>ROUND(D6*E9,0)</f>
        <v>0</v>
      </c>
      <c r="E9" s="2893"/>
      <c r="F9" s="2894" t="s">
        <v>2357</v>
      </c>
      <c r="G9" s="2873"/>
      <c r="H9" s="2848"/>
      <c r="I9" s="2849"/>
      <c r="J9" s="3656"/>
      <c r="K9" s="3658"/>
      <c r="L9" s="2883" t="s">
        <v>2358</v>
      </c>
      <c r="M9" s="2884"/>
      <c r="N9" s="2860"/>
      <c r="O9" s="2885"/>
      <c r="P9" s="2885"/>
      <c r="Q9" s="2886">
        <v>365</v>
      </c>
      <c r="R9" s="2887">
        <f t="shared" si="0"/>
        <v>0</v>
      </c>
      <c r="S9" s="2841"/>
      <c r="T9" s="2841"/>
      <c r="U9" s="2841"/>
      <c r="V9" s="2849"/>
    </row>
    <row r="10" spans="1:22" s="2853" customFormat="1" ht="13.15" customHeight="1">
      <c r="A10" s="2888">
        <v>2</v>
      </c>
      <c r="B10" s="3673" t="s">
        <v>2359</v>
      </c>
      <c r="C10" s="3674"/>
      <c r="D10" s="2889">
        <f>ROUND(D6*E10,0)</f>
        <v>0</v>
      </c>
      <c r="E10" s="2893"/>
      <c r="F10" s="2894" t="s">
        <v>2360</v>
      </c>
      <c r="G10" s="2873"/>
      <c r="H10" s="2848"/>
      <c r="I10" s="2849"/>
      <c r="J10" s="3656"/>
      <c r="K10" s="3658"/>
      <c r="L10" s="2883" t="s">
        <v>2361</v>
      </c>
      <c r="M10" s="2884"/>
      <c r="N10" s="2860"/>
      <c r="O10" s="2885"/>
      <c r="P10" s="2885"/>
      <c r="Q10" s="2886">
        <v>365</v>
      </c>
      <c r="R10" s="2887">
        <f t="shared" si="0"/>
        <v>0</v>
      </c>
      <c r="S10" s="2841"/>
      <c r="T10" s="2841"/>
      <c r="U10" s="2841"/>
      <c r="V10" s="2849"/>
    </row>
    <row r="11" spans="1:22" s="2853" customFormat="1" ht="13.15" customHeight="1">
      <c r="A11" s="2888">
        <v>3</v>
      </c>
      <c r="B11" s="3673" t="s">
        <v>2362</v>
      </c>
      <c r="C11" s="3674"/>
      <c r="D11" s="2889">
        <f>D12+D14+D15+D16</f>
        <v>0</v>
      </c>
      <c r="E11" s="2895" t="e">
        <f>D11/D6</f>
        <v>#DIV/0!</v>
      </c>
      <c r="F11" s="2891"/>
      <c r="G11" s="2892"/>
      <c r="H11" s="2848"/>
      <c r="I11" s="2849"/>
      <c r="J11" s="3656"/>
      <c r="K11" s="365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6" t="s">
        <v>2365</v>
      </c>
      <c r="C12" s="3667"/>
      <c r="D12" s="2897">
        <f>ROUND(D13*1.2%*(1-30%),0)</f>
        <v>0</v>
      </c>
      <c r="E12" s="2898">
        <v>1.2E-2</v>
      </c>
      <c r="F12" s="2891" t="s">
        <v>2366</v>
      </c>
      <c r="G12" s="2892"/>
      <c r="H12" s="2848"/>
      <c r="I12" s="2849"/>
      <c r="J12" s="3656"/>
      <c r="K12" s="365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6"/>
      <c r="K13" s="365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6" t="s">
        <v>2371</v>
      </c>
      <c r="C14" s="3667"/>
      <c r="D14" s="2897">
        <f>ROUND(E14*B5/10000,0)</f>
        <v>0</v>
      </c>
      <c r="E14" s="2886"/>
      <c r="F14" s="2891" t="s">
        <v>2372</v>
      </c>
      <c r="G14" s="2892"/>
      <c r="H14" s="2848"/>
      <c r="I14" s="2849"/>
      <c r="J14" s="3656"/>
      <c r="K14" s="365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6" t="s">
        <v>2375</v>
      </c>
      <c r="C15" s="3667"/>
      <c r="D15" s="2897">
        <f>ROUND(D6*E15,0)</f>
        <v>0</v>
      </c>
      <c r="E15" s="2898">
        <v>5.5E-2</v>
      </c>
      <c r="F15" s="2891" t="s">
        <v>2376</v>
      </c>
      <c r="G15" s="2873"/>
      <c r="H15" s="2848"/>
      <c r="I15" s="2849"/>
      <c r="J15" s="3656">
        <v>2</v>
      </c>
      <c r="K15" s="365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6" t="s">
        <v>2384</v>
      </c>
      <c r="C16" s="3667"/>
      <c r="D16" s="2908">
        <f>D6*E16</f>
        <v>0</v>
      </c>
      <c r="E16" s="2909"/>
      <c r="F16" s="2894" t="s">
        <v>2385</v>
      </c>
      <c r="G16" s="2873"/>
      <c r="H16" s="2848"/>
      <c r="I16" s="2849"/>
      <c r="J16" s="3656"/>
      <c r="K16" s="365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8" t="s">
        <v>2387</v>
      </c>
      <c r="C17" s="3669"/>
      <c r="D17" s="2911">
        <f>ROUND(D6*E17,0)</f>
        <v>0</v>
      </c>
      <c r="E17" s="2912"/>
      <c r="F17" s="2913" t="s">
        <v>2388</v>
      </c>
      <c r="G17" s="2873"/>
      <c r="H17" s="2848"/>
      <c r="I17" s="2849"/>
      <c r="J17" s="3656"/>
      <c r="K17" s="365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6"/>
      <c r="K18" s="365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6"/>
      <c r="K19" s="365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6">
        <v>3</v>
      </c>
      <c r="K20" s="365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6"/>
      <c r="K21" s="365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6"/>
      <c r="K22" s="365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6"/>
      <c r="K23" s="365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6"/>
      <c r="K24" s="365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2" t="s">
        <v>2320</v>
      </c>
      <c r="K32" s="366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4" t="s">
        <v>2330</v>
      </c>
      <c r="K33" s="366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4" t="s">
        <v>2332</v>
      </c>
      <c r="K34" s="366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6">
        <v>1</v>
      </c>
      <c r="K36" s="365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6"/>
      <c r="K37" s="365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6"/>
      <c r="K38" s="365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6"/>
      <c r="K39" s="365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6"/>
      <c r="K40" s="365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278.19670000000002</v>
      </c>
      <c r="C2" s="1872" t="s">
        <v>1651</v>
      </c>
      <c r="D2" s="1873" t="s">
        <v>1652</v>
      </c>
      <c r="E2" s="2607">
        <f>SUM(E6:E13)</f>
        <v>275.49</v>
      </c>
      <c r="F2" s="2707"/>
      <c r="G2" s="1489"/>
      <c r="H2" s="1489"/>
      <c r="I2" s="1489"/>
      <c r="J2" s="1489"/>
      <c r="K2" s="1489"/>
      <c r="L2" s="1489"/>
      <c r="M2" s="1489"/>
      <c r="N2" s="1489"/>
      <c r="O2" s="1489"/>
      <c r="P2" s="1489"/>
      <c r="Q2" s="1489"/>
      <c r="R2" s="1489"/>
      <c r="S2" s="1489"/>
    </row>
    <row r="3" spans="1:22" ht="15.75">
      <c r="A3" s="1870" t="s">
        <v>686</v>
      </c>
      <c r="B3" s="2601">
        <f ca="1">ROUND(B2*10000/E2,0)</f>
        <v>10098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5" t="s">
        <v>1654</v>
      </c>
      <c r="C5" s="367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278.19670000000002</v>
      </c>
      <c r="C6" s="1872" t="s">
        <v>1651</v>
      </c>
      <c r="D6" s="2709"/>
      <c r="E6" s="2606">
        <f>IF(OR(A6=0,F6="否"),0,'数据-取费表'!K6+'数据-取费表'!S6)</f>
        <v>275.49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8"/>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275.49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5" t="s">
        <v>1667</v>
      </c>
      <c r="D4" s="3696"/>
      <c r="E4" s="3697" t="s">
        <v>1668</v>
      </c>
      <c r="F4" s="3698"/>
      <c r="G4" s="3695" t="s">
        <v>1669</v>
      </c>
      <c r="H4" s="3696"/>
      <c r="I4" s="3695" t="s">
        <v>1670</v>
      </c>
      <c r="J4" s="3696"/>
      <c r="K4" s="1889" t="s">
        <v>1671</v>
      </c>
      <c r="L4" s="2715"/>
      <c r="M4" s="2716"/>
      <c r="N4" s="2716"/>
      <c r="O4" s="2716"/>
      <c r="P4" s="3699" t="s">
        <v>1672</v>
      </c>
      <c r="Q4" s="3700"/>
      <c r="R4" s="3705" t="s">
        <v>1668</v>
      </c>
      <c r="S4" s="3706"/>
      <c r="T4" s="3705" t="s">
        <v>1669</v>
      </c>
      <c r="U4" s="3706"/>
      <c r="V4" s="3711" t="s">
        <v>1670</v>
      </c>
      <c r="W4" s="3711"/>
      <c r="X4" s="1355"/>
      <c r="Y4" s="3705" t="s">
        <v>1672</v>
      </c>
      <c r="Z4" s="3706"/>
      <c r="AA4" s="3692" t="s">
        <v>1668</v>
      </c>
      <c r="AB4" s="3692" t="s">
        <v>1669</v>
      </c>
      <c r="AC4" s="3692" t="s">
        <v>1670</v>
      </c>
    </row>
    <row r="5" spans="1:29" ht="15">
      <c r="A5" s="358"/>
      <c r="B5" s="359"/>
      <c r="C5" s="3714" t="s">
        <v>1673</v>
      </c>
      <c r="D5" s="3715"/>
      <c r="E5" s="3721" t="s">
        <v>1674</v>
      </c>
      <c r="F5" s="3722"/>
      <c r="G5" s="3714" t="s">
        <v>1675</v>
      </c>
      <c r="H5" s="3715"/>
      <c r="I5" s="3714" t="s">
        <v>1676</v>
      </c>
      <c r="J5" s="3715"/>
      <c r="K5" s="1890"/>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1890"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44930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6" t="s">
        <v>1680</v>
      </c>
      <c r="Q7" s="3718"/>
      <c r="R7" s="701" t="s">
        <v>20</v>
      </c>
      <c r="S7" s="702">
        <f t="shared" ref="S7:S15" si="0">F7</f>
        <v>0</v>
      </c>
      <c r="T7" s="701" t="s">
        <v>20</v>
      </c>
      <c r="U7" s="702">
        <f t="shared" ref="U7:U15" si="1">H7</f>
        <v>0</v>
      </c>
      <c r="V7" s="701" t="s">
        <v>20</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6" t="s">
        <v>1683</v>
      </c>
      <c r="Q8" s="3717"/>
      <c r="R8" s="701" t="s">
        <v>20</v>
      </c>
      <c r="S8" s="702">
        <f t="shared" si="0"/>
        <v>100</v>
      </c>
      <c r="T8" s="701" t="s">
        <v>20</v>
      </c>
      <c r="U8" s="702">
        <f t="shared" si="1"/>
        <v>100</v>
      </c>
      <c r="V8" s="701" t="s">
        <v>20</v>
      </c>
      <c r="W8" s="702">
        <f t="shared" si="2"/>
        <v>100</v>
      </c>
      <c r="X8" s="703"/>
      <c r="Y8" s="3716" t="s">
        <v>1683</v>
      </c>
      <c r="Z8" s="371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7"/>
      <c r="F10" s="376">
        <f>SUMIF(65:65,E10,66:66)-SUMIF(65:65,C10,66:66)+100</f>
        <v>100</v>
      </c>
      <c r="G10" s="3436"/>
      <c r="H10" s="127">
        <f>SUMIF(65:65,G10,66:66)-SUMIF(65:65,C10,66:66)+100</f>
        <v>100</v>
      </c>
      <c r="I10" s="3436"/>
      <c r="J10" s="127">
        <f>SUMIF(65:65,I10,66:66)-SUMIF(65:65,C10,66:66)+100</f>
        <v>100</v>
      </c>
      <c r="K10" s="1891"/>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1"/>
      <c r="Q11" s="1343" t="str">
        <f t="shared" si="6"/>
        <v>容积率</v>
      </c>
      <c r="R11" s="701" t="s">
        <v>18</v>
      </c>
      <c r="S11" s="702" t="e">
        <f t="shared" si="0"/>
        <v>#N/A</v>
      </c>
      <c r="T11" s="701" t="s">
        <v>18</v>
      </c>
      <c r="U11" s="702" t="e">
        <f t="shared" si="1"/>
        <v>#N/A</v>
      </c>
      <c r="V11" s="701" t="s">
        <v>18</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1"/>
      <c r="Q12" s="1343">
        <f t="shared" si="6"/>
        <v>111</v>
      </c>
      <c r="R12" s="701" t="s">
        <v>18</v>
      </c>
      <c r="S12" s="702">
        <f t="shared" si="0"/>
        <v>100</v>
      </c>
      <c r="T12" s="701" t="s">
        <v>18</v>
      </c>
      <c r="U12" s="702">
        <f t="shared" si="1"/>
        <v>100</v>
      </c>
      <c r="V12" s="701" t="s">
        <v>18</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1"/>
      <c r="Q13" s="1343">
        <f t="shared" si="6"/>
        <v>111</v>
      </c>
      <c r="R13" s="701" t="s">
        <v>18</v>
      </c>
      <c r="S13" s="702">
        <f t="shared" si="0"/>
        <v>100</v>
      </c>
      <c r="T13" s="701" t="s">
        <v>18</v>
      </c>
      <c r="U13" s="702">
        <f t="shared" si="1"/>
        <v>100</v>
      </c>
      <c r="V13" s="701" t="s">
        <v>18</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1"/>
      <c r="Q14" s="1343">
        <f t="shared" si="6"/>
        <v>111</v>
      </c>
      <c r="R14" s="701" t="s">
        <v>18</v>
      </c>
      <c r="S14" s="702">
        <f t="shared" si="0"/>
        <v>100</v>
      </c>
      <c r="T14" s="701" t="s">
        <v>18</v>
      </c>
      <c r="U14" s="702">
        <f t="shared" si="1"/>
        <v>100</v>
      </c>
      <c r="V14" s="701" t="s">
        <v>18</v>
      </c>
      <c r="W14" s="702">
        <f t="shared" si="2"/>
        <v>100</v>
      </c>
      <c r="X14" s="703"/>
      <c r="Y14" s="355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9" t="s">
        <v>1691</v>
      </c>
      <c r="Q15" s="1352" t="str">
        <f t="shared" si="6"/>
        <v>居住社区成熟度</v>
      </c>
      <c r="R15" s="705" t="s">
        <v>18</v>
      </c>
      <c r="S15" s="706">
        <f t="shared" si="0"/>
        <v>100</v>
      </c>
      <c r="T15" s="705" t="s">
        <v>18</v>
      </c>
      <c r="U15" s="706">
        <f t="shared" si="1"/>
        <v>100</v>
      </c>
      <c r="V15" s="705" t="s">
        <v>18</v>
      </c>
      <c r="W15" s="706">
        <f t="shared" si="2"/>
        <v>100</v>
      </c>
      <c r="X15" s="1355"/>
      <c r="Y15" s="368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0"/>
      <c r="Q16" s="1352"/>
      <c r="R16" s="705"/>
      <c r="S16" s="706"/>
      <c r="T16" s="705"/>
      <c r="U16" s="706"/>
      <c r="V16" s="705"/>
      <c r="W16" s="706"/>
      <c r="X16" s="1355"/>
      <c r="Y16" s="368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0"/>
      <c r="Q17" s="1352" t="str">
        <f>B17</f>
        <v>交通便捷度</v>
      </c>
      <c r="R17" s="705" t="s">
        <v>18</v>
      </c>
      <c r="S17" s="706">
        <f>F17</f>
        <v>100</v>
      </c>
      <c r="T17" s="705" t="s">
        <v>18</v>
      </c>
      <c r="U17" s="706">
        <f>H17</f>
        <v>100</v>
      </c>
      <c r="V17" s="705" t="s">
        <v>18</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0"/>
      <c r="Q18" s="1352"/>
      <c r="R18" s="705"/>
      <c r="S18" s="706"/>
      <c r="T18" s="705"/>
      <c r="U18" s="706"/>
      <c r="V18" s="705"/>
      <c r="W18" s="706"/>
      <c r="X18" s="1355"/>
      <c r="Y18" s="368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0"/>
      <c r="Q19" s="1352" t="str">
        <f>B19</f>
        <v>公共配套设施</v>
      </c>
      <c r="R19" s="705" t="s">
        <v>18</v>
      </c>
      <c r="S19" s="706">
        <f>F19</f>
        <v>100</v>
      </c>
      <c r="T19" s="705" t="s">
        <v>18</v>
      </c>
      <c r="U19" s="706">
        <f>H19</f>
        <v>100</v>
      </c>
      <c r="V19" s="705" t="s">
        <v>18</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0"/>
      <c r="Q20" s="1352"/>
      <c r="R20" s="705"/>
      <c r="S20" s="706"/>
      <c r="T20" s="705"/>
      <c r="U20" s="706"/>
      <c r="V20" s="705"/>
      <c r="W20" s="706"/>
      <c r="X20" s="1355"/>
      <c r="Y20" s="368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0"/>
      <c r="Q22" s="1352"/>
      <c r="R22" s="705"/>
      <c r="S22" s="706"/>
      <c r="T22" s="705"/>
      <c r="U22" s="706"/>
      <c r="V22" s="705"/>
      <c r="W22" s="706"/>
      <c r="X22" s="1355"/>
      <c r="Y22" s="368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0"/>
      <c r="Q23" s="1352" t="str">
        <f>B23</f>
        <v>自然及人文环境</v>
      </c>
      <c r="R23" s="705" t="s">
        <v>18</v>
      </c>
      <c r="S23" s="706">
        <f>F23</f>
        <v>100</v>
      </c>
      <c r="T23" s="705" t="s">
        <v>18</v>
      </c>
      <c r="U23" s="706">
        <f>H23</f>
        <v>100</v>
      </c>
      <c r="V23" s="705" t="s">
        <v>18</v>
      </c>
      <c r="W23" s="706">
        <f>J23</f>
        <v>100</v>
      </c>
      <c r="X23" s="1355"/>
      <c r="Y23" s="368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0"/>
      <c r="Q24" s="1352"/>
      <c r="R24" s="705"/>
      <c r="S24" s="706"/>
      <c r="T24" s="705"/>
      <c r="U24" s="706"/>
      <c r="V24" s="705"/>
      <c r="W24" s="706"/>
      <c r="X24" s="1355"/>
      <c r="Y24" s="368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0"/>
      <c r="Q26" s="1352" t="str">
        <f t="shared" si="11"/>
        <v>朝向</v>
      </c>
      <c r="R26" s="705" t="s">
        <v>18</v>
      </c>
      <c r="S26" s="706">
        <f t="shared" si="12"/>
        <v>100</v>
      </c>
      <c r="T26" s="705" t="s">
        <v>18</v>
      </c>
      <c r="U26" s="706">
        <f t="shared" si="13"/>
        <v>100</v>
      </c>
      <c r="V26" s="705" t="s">
        <v>18</v>
      </c>
      <c r="W26" s="706">
        <f t="shared" si="14"/>
        <v>100</v>
      </c>
      <c r="X26" s="1355"/>
      <c r="Y26" s="368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0"/>
      <c r="Q27" s="1343">
        <f t="shared" si="11"/>
        <v>111</v>
      </c>
      <c r="R27" s="701" t="s">
        <v>18</v>
      </c>
      <c r="S27" s="702">
        <f t="shared" si="12"/>
        <v>100</v>
      </c>
      <c r="T27" s="701" t="s">
        <v>18</v>
      </c>
      <c r="U27" s="702">
        <f t="shared" si="13"/>
        <v>100</v>
      </c>
      <c r="V27" s="701" t="s">
        <v>18</v>
      </c>
      <c r="W27" s="702">
        <f t="shared" si="14"/>
        <v>100</v>
      </c>
      <c r="X27" s="703"/>
      <c r="Y27" s="368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0"/>
      <c r="Q28" s="1352">
        <f t="shared" si="11"/>
        <v>111</v>
      </c>
      <c r="R28" s="705" t="s">
        <v>18</v>
      </c>
      <c r="S28" s="706">
        <f t="shared" si="12"/>
        <v>100</v>
      </c>
      <c r="T28" s="705" t="s">
        <v>18</v>
      </c>
      <c r="U28" s="706">
        <f t="shared" si="13"/>
        <v>100</v>
      </c>
      <c r="V28" s="705" t="s">
        <v>18</v>
      </c>
      <c r="W28" s="706">
        <f t="shared" si="14"/>
        <v>100</v>
      </c>
      <c r="X28" s="1355"/>
      <c r="Y28" s="368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0"/>
      <c r="Q29" s="1352">
        <f t="shared" si="11"/>
        <v>111</v>
      </c>
      <c r="R29" s="705" t="s">
        <v>18</v>
      </c>
      <c r="S29" s="706">
        <f t="shared" si="12"/>
        <v>100</v>
      </c>
      <c r="T29" s="705" t="s">
        <v>18</v>
      </c>
      <c r="U29" s="706">
        <f t="shared" si="13"/>
        <v>100</v>
      </c>
      <c r="V29" s="705" t="s">
        <v>18</v>
      </c>
      <c r="W29" s="706">
        <f t="shared" si="14"/>
        <v>100</v>
      </c>
      <c r="X29" s="1355"/>
      <c r="Y29" s="368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0"/>
      <c r="Q30" s="1352">
        <f t="shared" si="11"/>
        <v>111</v>
      </c>
      <c r="R30" s="705" t="s">
        <v>18</v>
      </c>
      <c r="S30" s="706">
        <f t="shared" si="12"/>
        <v>100</v>
      </c>
      <c r="T30" s="705" t="s">
        <v>18</v>
      </c>
      <c r="U30" s="706">
        <f t="shared" si="13"/>
        <v>100</v>
      </c>
      <c r="V30" s="705" t="s">
        <v>18</v>
      </c>
      <c r="W30" s="706">
        <f t="shared" si="14"/>
        <v>100</v>
      </c>
      <c r="X30" s="1355"/>
      <c r="Y30" s="368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0"/>
      <c r="Q31" s="1352">
        <f t="shared" si="11"/>
        <v>111</v>
      </c>
      <c r="R31" s="705" t="s">
        <v>18</v>
      </c>
      <c r="S31" s="706">
        <f t="shared" si="12"/>
        <v>100</v>
      </c>
      <c r="T31" s="705" t="s">
        <v>18</v>
      </c>
      <c r="U31" s="706">
        <f t="shared" si="13"/>
        <v>100</v>
      </c>
      <c r="V31" s="705" t="s">
        <v>18</v>
      </c>
      <c r="W31" s="706">
        <f t="shared" si="14"/>
        <v>100</v>
      </c>
      <c r="X31" s="1355"/>
      <c r="Y31" s="368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4" t="s">
        <v>1696</v>
      </c>
      <c r="Q32" s="1352" t="str">
        <f t="shared" si="11"/>
        <v>建筑类型</v>
      </c>
      <c r="R32" s="705" t="s">
        <v>18</v>
      </c>
      <c r="S32" s="706">
        <f t="shared" si="12"/>
        <v>100</v>
      </c>
      <c r="T32" s="705" t="s">
        <v>18</v>
      </c>
      <c r="U32" s="706">
        <f t="shared" si="13"/>
        <v>100</v>
      </c>
      <c r="V32" s="705" t="s">
        <v>18</v>
      </c>
      <c r="W32" s="706">
        <f t="shared" si="14"/>
        <v>100</v>
      </c>
      <c r="X32" s="1355"/>
      <c r="Y32" s="368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5"/>
      <c r="Q33" s="707" t="str">
        <f t="shared" si="11"/>
        <v>项目建筑规模</v>
      </c>
      <c r="R33" s="708" t="s">
        <v>18</v>
      </c>
      <c r="S33" s="709" t="e">
        <f t="shared" si="12"/>
        <v>#N/A</v>
      </c>
      <c r="T33" s="708" t="s">
        <v>18</v>
      </c>
      <c r="U33" s="709" t="e">
        <f t="shared" si="13"/>
        <v>#N/A</v>
      </c>
      <c r="V33" s="708" t="s">
        <v>18</v>
      </c>
      <c r="W33" s="709" t="e">
        <f t="shared" si="14"/>
        <v>#N/A</v>
      </c>
      <c r="X33" s="710"/>
      <c r="Y33" s="368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5"/>
      <c r="Q34" s="1352" t="str">
        <f t="shared" si="11"/>
        <v>建筑结构</v>
      </c>
      <c r="R34" s="705" t="s">
        <v>18</v>
      </c>
      <c r="S34" s="706">
        <f t="shared" si="12"/>
        <v>100</v>
      </c>
      <c r="T34" s="705" t="s">
        <v>18</v>
      </c>
      <c r="U34" s="706">
        <f t="shared" si="13"/>
        <v>100</v>
      </c>
      <c r="V34" s="705" t="s">
        <v>18</v>
      </c>
      <c r="W34" s="706">
        <f t="shared" si="14"/>
        <v>100</v>
      </c>
      <c r="X34" s="1355"/>
      <c r="Y34" s="368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5"/>
      <c r="Q35" s="1352" t="str">
        <f t="shared" si="11"/>
        <v>建筑品质</v>
      </c>
      <c r="R35" s="705" t="s">
        <v>18</v>
      </c>
      <c r="S35" s="706">
        <f t="shared" si="12"/>
        <v>100</v>
      </c>
      <c r="T35" s="705" t="s">
        <v>18</v>
      </c>
      <c r="U35" s="706">
        <f t="shared" si="13"/>
        <v>100</v>
      </c>
      <c r="V35" s="705" t="s">
        <v>18</v>
      </c>
      <c r="W35" s="706">
        <f t="shared" si="14"/>
        <v>100</v>
      </c>
      <c r="X35" s="1355"/>
      <c r="Y35" s="368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5"/>
      <c r="Q36" s="1352" t="str">
        <f t="shared" si="11"/>
        <v>公共部分装修</v>
      </c>
      <c r="R36" s="705" t="s">
        <v>18</v>
      </c>
      <c r="S36" s="706">
        <f t="shared" si="12"/>
        <v>100</v>
      </c>
      <c r="T36" s="705" t="s">
        <v>18</v>
      </c>
      <c r="U36" s="706">
        <f t="shared" si="13"/>
        <v>100</v>
      </c>
      <c r="V36" s="705" t="s">
        <v>18</v>
      </c>
      <c r="W36" s="706">
        <f t="shared" si="14"/>
        <v>100</v>
      </c>
      <c r="X36" s="1355"/>
      <c r="Y36" s="368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5"/>
      <c r="Q37" s="1343" t="str">
        <f t="shared" si="11"/>
        <v>成新度</v>
      </c>
      <c r="R37" s="701" t="s">
        <v>18</v>
      </c>
      <c r="S37" s="702" t="e">
        <f t="shared" si="12"/>
        <v>#N/A</v>
      </c>
      <c r="T37" s="701" t="s">
        <v>18</v>
      </c>
      <c r="U37" s="702" t="e">
        <f t="shared" si="13"/>
        <v>#N/A</v>
      </c>
      <c r="V37" s="701" t="s">
        <v>18</v>
      </c>
      <c r="W37" s="702" t="e">
        <f t="shared" si="14"/>
        <v>#N/A</v>
      </c>
      <c r="X37" s="703"/>
      <c r="Y37" s="368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5" t="s">
        <v>1696</v>
      </c>
      <c r="Q38" s="1352" t="str">
        <f t="shared" si="11"/>
        <v>物业管理</v>
      </c>
      <c r="R38" s="705" t="s">
        <v>18</v>
      </c>
      <c r="S38" s="706">
        <f t="shared" si="12"/>
        <v>100</v>
      </c>
      <c r="T38" s="705" t="s">
        <v>18</v>
      </c>
      <c r="U38" s="706">
        <f t="shared" si="13"/>
        <v>100</v>
      </c>
      <c r="V38" s="705" t="s">
        <v>18</v>
      </c>
      <c r="W38" s="706">
        <f t="shared" si="14"/>
        <v>100</v>
      </c>
      <c r="X38" s="1355"/>
      <c r="Y38" s="368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5"/>
      <c r="Q39" s="1352" t="str">
        <f t="shared" si="11"/>
        <v>市政基础设施</v>
      </c>
      <c r="R39" s="705" t="s">
        <v>18</v>
      </c>
      <c r="S39" s="706">
        <f t="shared" si="12"/>
        <v>100</v>
      </c>
      <c r="T39" s="705" t="s">
        <v>18</v>
      </c>
      <c r="U39" s="706">
        <f t="shared" si="13"/>
        <v>100</v>
      </c>
      <c r="V39" s="705" t="s">
        <v>18</v>
      </c>
      <c r="W39" s="706">
        <f t="shared" si="14"/>
        <v>100</v>
      </c>
      <c r="X39" s="1355"/>
      <c r="Y39" s="368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5"/>
      <c r="Q40" s="1352" t="str">
        <f t="shared" si="11"/>
        <v>房型</v>
      </c>
      <c r="R40" s="705" t="s">
        <v>18</v>
      </c>
      <c r="S40" s="706">
        <f t="shared" si="12"/>
        <v>100</v>
      </c>
      <c r="T40" s="705" t="s">
        <v>18</v>
      </c>
      <c r="U40" s="706">
        <f t="shared" si="13"/>
        <v>100</v>
      </c>
      <c r="V40" s="705" t="s">
        <v>18</v>
      </c>
      <c r="W40" s="706">
        <f t="shared" si="14"/>
        <v>100</v>
      </c>
      <c r="X40" s="1355"/>
      <c r="Y40" s="368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5"/>
      <c r="Q41" s="707" t="str">
        <f t="shared" si="11"/>
        <v>单套/主力户型建筑面积</v>
      </c>
      <c r="R41" s="708" t="s">
        <v>18</v>
      </c>
      <c r="S41" s="709">
        <f t="shared" si="12"/>
        <v>100</v>
      </c>
      <c r="T41" s="708" t="s">
        <v>18</v>
      </c>
      <c r="U41" s="709">
        <f t="shared" si="13"/>
        <v>100</v>
      </c>
      <c r="V41" s="708" t="s">
        <v>18</v>
      </c>
      <c r="W41" s="709">
        <f t="shared" si="14"/>
        <v>100</v>
      </c>
      <c r="X41" s="710"/>
      <c r="Y41" s="368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5"/>
      <c r="Q42" s="1352" t="str">
        <f t="shared" si="11"/>
        <v>内部装修</v>
      </c>
      <c r="R42" s="705" t="s">
        <v>18</v>
      </c>
      <c r="S42" s="706">
        <f t="shared" si="12"/>
        <v>100</v>
      </c>
      <c r="T42" s="705" t="s">
        <v>18</v>
      </c>
      <c r="U42" s="706">
        <f t="shared" si="13"/>
        <v>100</v>
      </c>
      <c r="V42" s="705" t="s">
        <v>18</v>
      </c>
      <c r="W42" s="706">
        <f t="shared" si="14"/>
        <v>100</v>
      </c>
      <c r="X42" s="1355"/>
      <c r="Y42" s="368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5"/>
      <c r="Q43" s="1352" t="str">
        <f t="shared" si="11"/>
        <v>内部装修维护情况</v>
      </c>
      <c r="R43" s="705" t="s">
        <v>18</v>
      </c>
      <c r="S43" s="706">
        <f t="shared" si="12"/>
        <v>100</v>
      </c>
      <c r="T43" s="705" t="s">
        <v>18</v>
      </c>
      <c r="U43" s="706">
        <f t="shared" si="13"/>
        <v>100</v>
      </c>
      <c r="V43" s="705" t="s">
        <v>18</v>
      </c>
      <c r="W43" s="706">
        <f t="shared" si="14"/>
        <v>100</v>
      </c>
      <c r="X43" s="1355"/>
      <c r="Y43" s="368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5"/>
      <c r="Q44" s="1343">
        <f t="shared" si="11"/>
        <v>111</v>
      </c>
      <c r="R44" s="701" t="s">
        <v>18</v>
      </c>
      <c r="S44" s="702">
        <f t="shared" si="12"/>
        <v>100</v>
      </c>
      <c r="T44" s="701" t="s">
        <v>18</v>
      </c>
      <c r="U44" s="702">
        <f t="shared" si="13"/>
        <v>100</v>
      </c>
      <c r="V44" s="701" t="s">
        <v>18</v>
      </c>
      <c r="W44" s="702">
        <f t="shared" si="14"/>
        <v>100</v>
      </c>
      <c r="X44" s="703"/>
      <c r="Y44" s="368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5"/>
      <c r="Q45" s="1352">
        <f t="shared" si="11"/>
        <v>111</v>
      </c>
      <c r="R45" s="705" t="s">
        <v>18</v>
      </c>
      <c r="S45" s="706">
        <f t="shared" si="12"/>
        <v>100</v>
      </c>
      <c r="T45" s="705" t="s">
        <v>18</v>
      </c>
      <c r="U45" s="706">
        <f t="shared" si="13"/>
        <v>100</v>
      </c>
      <c r="V45" s="705" t="s">
        <v>18</v>
      </c>
      <c r="W45" s="706">
        <f t="shared" si="14"/>
        <v>100</v>
      </c>
      <c r="X45" s="1355"/>
      <c r="Y45" s="368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6"/>
      <c r="Q46" s="1352">
        <f t="shared" si="11"/>
        <v>111</v>
      </c>
      <c r="R46" s="705" t="s">
        <v>17</v>
      </c>
      <c r="S46" s="706">
        <f t="shared" si="12"/>
        <v>100</v>
      </c>
      <c r="T46" s="705" t="s">
        <v>17</v>
      </c>
      <c r="U46" s="706">
        <f t="shared" si="13"/>
        <v>100</v>
      </c>
      <c r="V46" s="705" t="s">
        <v>17</v>
      </c>
      <c r="W46" s="706">
        <f t="shared" si="14"/>
        <v>100</v>
      </c>
      <c r="X46" s="1355"/>
      <c r="Y46" s="368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0" t="str">
        <f>A47</f>
        <v>成交单价（元/平方米）</v>
      </c>
      <c r="Q47" s="3680"/>
      <c r="R47" s="3681">
        <f>E47</f>
        <v>0</v>
      </c>
      <c r="S47" s="3681"/>
      <c r="T47" s="3681">
        <f>G47</f>
        <v>0</v>
      </c>
      <c r="U47" s="3681"/>
      <c r="V47" s="3681">
        <f>I47</f>
        <v>0</v>
      </c>
      <c r="W47" s="368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0" t="str">
        <f>A48</f>
        <v>比较价值（元/平方米）</v>
      </c>
      <c r="Q48" s="3680"/>
      <c r="R48" s="3681" t="e">
        <f>IF(F1="售价",ROUND(PRODUCT(R47,AA7:AA46),0),ROUND(PRODUCT(R47,AA7:AA46),1))</f>
        <v>#DIV/0!</v>
      </c>
      <c r="S48" s="3681"/>
      <c r="T48" s="3681" t="e">
        <f>IF(F1="售价",ROUND(PRODUCT(T47,AB7:AB46),0),ROUND(PRODUCT(T47,AB7:AB46),1))</f>
        <v>#DIV/0!</v>
      </c>
      <c r="U48" s="3681"/>
      <c r="V48" s="3681" t="e">
        <f>IF(F1="售价",ROUND(PRODUCT(V47,AC7:AC46),0),ROUND(PRODUCT(V47,AC7:AC46),1))</f>
        <v>#DIV/0!</v>
      </c>
      <c r="W48" s="368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7" t="str">
        <f>A49</f>
        <v>估价对象XX用房的比较价值（楼面单价，元/平方米）</v>
      </c>
      <c r="Q49" s="3678"/>
      <c r="R49" s="3679" t="e">
        <f>IF(F1="售价",ROUND(IF(D48="简单平均",AVERAGE(R48:V48),R48*F48+T48*H48+V48*J48),0),ROUND(IF(D48="简单平均",AVERAGE(R48:V48),R48*F48+T48*H48+V48*J48),1))</f>
        <v>#DIV/0!</v>
      </c>
      <c r="S49" s="3679"/>
      <c r="T49" s="3679"/>
      <c r="U49" s="3679"/>
      <c r="V49" s="3679"/>
      <c r="W49" s="367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50" sqref="N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8" t="s">
        <v>3389</v>
      </c>
      <c r="F1" s="1879" t="s">
        <v>3390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506.35059999999999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18380</v>
      </c>
      <c r="C3" s="354" t="s">
        <v>1768</v>
      </c>
      <c r="D3" s="353">
        <f>IF(D1="",'数据-汇总表'!E3,SUMIF('数据-汇总表'!$C19:$C33,D1,'数据-汇总表'!$E19:$E33))</f>
        <v>275.49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711" t="s">
        <v>1772</v>
      </c>
      <c r="AC4" s="3692" t="s">
        <v>1773</v>
      </c>
    </row>
    <row r="5" spans="1:29" ht="15">
      <c r="A5" s="358"/>
      <c r="B5" s="359"/>
      <c r="C5" s="3714" t="s">
        <v>1673</v>
      </c>
      <c r="D5" s="3715"/>
      <c r="E5" s="3724" t="s">
        <v>3406</v>
      </c>
      <c r="F5" s="3722"/>
      <c r="G5" s="3723" t="s">
        <v>3407</v>
      </c>
      <c r="H5" s="3715"/>
      <c r="I5" s="3723" t="s">
        <v>3408</v>
      </c>
      <c r="J5" s="3715"/>
      <c r="K5" s="559"/>
      <c r="L5" s="2715"/>
      <c r="M5" s="2716"/>
      <c r="N5" s="2716"/>
      <c r="O5" s="2716"/>
      <c r="P5" s="3701"/>
      <c r="Q5" s="3702"/>
      <c r="R5" s="3707"/>
      <c r="S5" s="3708"/>
      <c r="T5" s="3707"/>
      <c r="U5" s="3708"/>
      <c r="V5" s="3711"/>
      <c r="W5" s="3711"/>
      <c r="X5" s="1355"/>
      <c r="Y5" s="3707"/>
      <c r="Z5" s="3708"/>
      <c r="AA5" s="3693"/>
      <c r="AB5" s="3711"/>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711"/>
      <c r="AC6" s="3694"/>
    </row>
    <row r="7" spans="1:29" s="108" customFormat="1" ht="15.75" thickBot="1">
      <c r="A7" s="362" t="s">
        <v>1679</v>
      </c>
      <c r="B7" s="363"/>
      <c r="C7" s="364">
        <f>'数据-取费表'!B2</f>
        <v>44930</v>
      </c>
      <c r="D7" s="365">
        <v>100</v>
      </c>
      <c r="E7" s="366">
        <f>C7</f>
        <v>44930</v>
      </c>
      <c r="F7" s="367">
        <f>SUMIF(58:58,YEAR(E7)&amp;"-"&amp;MONTH(E7),59:59)</f>
        <v>100</v>
      </c>
      <c r="G7" s="366">
        <f>C7</f>
        <v>44930</v>
      </c>
      <c r="H7" s="365">
        <f>SUMIF(58:58,YEAR(G7)&amp;"-"&amp;MONTH(G7),59:59)</f>
        <v>100</v>
      </c>
      <c r="I7" s="366">
        <f>C7</f>
        <v>44930</v>
      </c>
      <c r="J7" s="365">
        <f>SUMIF(58:58,YEAR(I7)&amp;"-"&amp;MONTH(I7),59:59)</f>
        <v>100</v>
      </c>
      <c r="K7" s="560"/>
      <c r="L7" s="2717"/>
      <c r="M7" s="2718"/>
      <c r="N7" s="2718"/>
      <c r="O7" s="2718"/>
      <c r="P7" s="3716" t="s">
        <v>1680</v>
      </c>
      <c r="Q7" s="3718"/>
      <c r="R7" s="701" t="s">
        <v>14</v>
      </c>
      <c r="S7" s="702">
        <f t="shared" ref="S7:S15" si="0">F7</f>
        <v>100</v>
      </c>
      <c r="T7" s="701" t="s">
        <v>14</v>
      </c>
      <c r="U7" s="702">
        <f t="shared" ref="U7:U15" si="1">H7</f>
        <v>100</v>
      </c>
      <c r="V7" s="701" t="s">
        <v>14</v>
      </c>
      <c r="W7" s="702">
        <f t="shared" ref="W7:W15" si="2">J7</f>
        <v>100</v>
      </c>
      <c r="X7" s="703"/>
      <c r="Y7" s="3716" t="s">
        <v>1680</v>
      </c>
      <c r="Z7" s="3717"/>
      <c r="AA7" s="704">
        <f>D7/F7</f>
        <v>1</v>
      </c>
      <c r="AB7" s="704">
        <f>D7/H7</f>
        <v>1</v>
      </c>
      <c r="AC7" s="704">
        <f>D7/J7</f>
        <v>1</v>
      </c>
    </row>
    <row r="8" spans="1:29" s="108" customFormat="1" ht="15.75" thickBot="1">
      <c r="A8" s="362" t="s">
        <v>1681</v>
      </c>
      <c r="B8" s="363"/>
      <c r="C8" s="3448" t="s">
        <v>3391</v>
      </c>
      <c r="D8" s="365">
        <v>100</v>
      </c>
      <c r="E8" s="3448" t="s">
        <v>3392</v>
      </c>
      <c r="F8" s="367">
        <f>SUMIF(61:61,E8,62:62)-SUMIF(61:61,C8,62:62)+100</f>
        <v>100</v>
      </c>
      <c r="G8" s="3448" t="s">
        <v>3393</v>
      </c>
      <c r="H8" s="365">
        <f>SUMIF(61:61,G8,62:62)-SUMIF(61:61,C8,62:62)+100</f>
        <v>100</v>
      </c>
      <c r="I8" s="3448" t="s">
        <v>3393</v>
      </c>
      <c r="J8" s="365">
        <f>SUMIF(61:61,I8,62:62)-SUMIF(61:61,C8,62:62)+100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46" si="3">D8/F8</f>
        <v>1</v>
      </c>
      <c r="AB8" s="704">
        <f t="shared" ref="AB8:AB46" si="4">D8/H8</f>
        <v>1</v>
      </c>
      <c r="AC8" s="704">
        <f t="shared" ref="AC8:AC46" si="5">D8/J8</f>
        <v>1</v>
      </c>
    </row>
    <row r="9" spans="1:29" s="108" customFormat="1">
      <c r="A9" s="369" t="s">
        <v>1684</v>
      </c>
      <c r="B9" s="63" t="s">
        <v>1685</v>
      </c>
      <c r="C9" s="3449" t="s">
        <v>3394</v>
      </c>
      <c r="D9" s="126">
        <v>100</v>
      </c>
      <c r="E9" s="3450" t="s">
        <v>3394</v>
      </c>
      <c r="F9" s="372">
        <f>SUMIF(63:63,E9,64:64)-SUMIF(63:63,C9,64:64)+100</f>
        <v>100</v>
      </c>
      <c r="G9" s="3450" t="s">
        <v>3394</v>
      </c>
      <c r="H9" s="126">
        <f>SUMIF(63:63,G9,64:64)-SUMIF(63:63,C9,64:64)+100</f>
        <v>100</v>
      </c>
      <c r="I9" s="3450" t="s">
        <v>3394</v>
      </c>
      <c r="J9" s="126">
        <f>SUMIF(63:63,I9,64:64)-SUMIF(63:63,C9,64:64)+100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6" t="s">
        <v>3418</v>
      </c>
      <c r="D10" s="127">
        <v>100</v>
      </c>
      <c r="E10" s="3436" t="s">
        <v>3420</v>
      </c>
      <c r="F10" s="376">
        <f>SUMIF(65:65,E10,66:66)-SUMIF(65:65,C10,66:66)+100</f>
        <v>100</v>
      </c>
      <c r="G10" s="3436" t="s">
        <v>3419</v>
      </c>
      <c r="H10" s="127">
        <f>SUMIF(65:65,G10,66:66)-SUMIF(65:65,C10,66:66)+100</f>
        <v>100</v>
      </c>
      <c r="I10" s="3436" t="s">
        <v>3419</v>
      </c>
      <c r="J10" s="127">
        <f>SUMIF(65:65,I10,66:66)-SUMIF(65:65,C10,66:66)+100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1"/>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9" t="s">
        <v>1691</v>
      </c>
      <c r="Q15" s="1352" t="str">
        <f t="shared" si="6"/>
        <v>商业繁华度</v>
      </c>
      <c r="R15" s="705" t="s">
        <v>14</v>
      </c>
      <c r="S15" s="706">
        <f t="shared" si="0"/>
        <v>100</v>
      </c>
      <c r="T15" s="705" t="s">
        <v>14</v>
      </c>
      <c r="U15" s="706">
        <f t="shared" si="1"/>
        <v>100</v>
      </c>
      <c r="V15" s="705" t="s">
        <v>14</v>
      </c>
      <c r="W15" s="706">
        <f t="shared" si="2"/>
        <v>100</v>
      </c>
      <c r="X15" s="1355"/>
      <c r="Y15" s="3682" t="s">
        <v>1691</v>
      </c>
      <c r="Z15" s="1356" t="str">
        <f t="shared" si="7"/>
        <v>商业繁华度</v>
      </c>
      <c r="AA15" s="1353">
        <f t="shared" si="3"/>
        <v>1</v>
      </c>
      <c r="AB15" s="1353">
        <f t="shared" si="4"/>
        <v>1</v>
      </c>
      <c r="AC15" s="1353">
        <f t="shared" si="5"/>
        <v>1</v>
      </c>
    </row>
    <row r="16" spans="1:29" ht="15">
      <c r="A16" s="379"/>
      <c r="B16" s="397"/>
      <c r="C16" s="3451" t="s">
        <v>3395</v>
      </c>
      <c r="D16" s="399"/>
      <c r="E16" s="3451" t="s">
        <v>3395</v>
      </c>
      <c r="F16" s="400"/>
      <c r="G16" s="3451" t="s">
        <v>3395</v>
      </c>
      <c r="H16" s="401"/>
      <c r="I16" s="3451" t="s">
        <v>3395</v>
      </c>
      <c r="J16" s="399"/>
      <c r="K16" s="564"/>
      <c r="L16" s="2722"/>
      <c r="M16" s="2716"/>
      <c r="N16" s="2716"/>
      <c r="O16" s="2716"/>
      <c r="P16" s="3690"/>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0"/>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3452" t="s">
        <v>3395</v>
      </c>
      <c r="D18" s="401"/>
      <c r="E18" s="3453" t="s">
        <v>3395</v>
      </c>
      <c r="F18" s="404"/>
      <c r="G18" s="3454" t="s">
        <v>3395</v>
      </c>
      <c r="H18" s="399"/>
      <c r="I18" s="3453" t="s">
        <v>3395</v>
      </c>
      <c r="J18" s="399"/>
      <c r="K18" s="564"/>
      <c r="L18" s="2722"/>
      <c r="M18" s="2716"/>
      <c r="N18" s="2716"/>
      <c r="O18" s="2716"/>
      <c r="P18" s="3690"/>
      <c r="Q18" s="1352"/>
      <c r="R18" s="705"/>
      <c r="S18" s="706"/>
      <c r="T18" s="705"/>
      <c r="U18" s="706"/>
      <c r="V18" s="705"/>
      <c r="W18" s="706"/>
      <c r="X18" s="1355"/>
      <c r="Y18" s="368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0"/>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451" t="s">
        <v>3395</v>
      </c>
      <c r="D20" s="399"/>
      <c r="E20" s="3455" t="s">
        <v>3395</v>
      </c>
      <c r="F20" s="400"/>
      <c r="G20" s="3456" t="s">
        <v>3396</v>
      </c>
      <c r="H20" s="399"/>
      <c r="I20" s="3455" t="s">
        <v>3395</v>
      </c>
      <c r="J20" s="399"/>
      <c r="K20" s="564"/>
      <c r="L20" s="2722"/>
      <c r="M20" s="2716"/>
      <c r="N20" s="2716"/>
      <c r="O20" s="2716"/>
      <c r="P20" s="3690"/>
      <c r="Q20" s="1352"/>
      <c r="R20" s="705"/>
      <c r="S20" s="706"/>
      <c r="T20" s="705"/>
      <c r="U20" s="706"/>
      <c r="V20" s="705"/>
      <c r="W20" s="706"/>
      <c r="X20" s="1355"/>
      <c r="Y20" s="368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3452" t="s">
        <v>3397</v>
      </c>
      <c r="D22" s="399"/>
      <c r="E22" s="3451" t="s">
        <v>3398</v>
      </c>
      <c r="F22" s="400"/>
      <c r="G22" s="3451" t="s">
        <v>3398</v>
      </c>
      <c r="H22" s="399"/>
      <c r="I22" s="3451" t="s">
        <v>3397</v>
      </c>
      <c r="J22" s="399"/>
      <c r="K22" s="1130"/>
      <c r="L22" s="2722"/>
      <c r="M22" s="2716"/>
      <c r="N22" s="2716"/>
      <c r="O22" s="2716"/>
      <c r="P22" s="3690"/>
      <c r="Q22" s="1352"/>
      <c r="R22" s="705"/>
      <c r="S22" s="706"/>
      <c r="T22" s="705"/>
      <c r="U22" s="706"/>
      <c r="V22" s="705"/>
      <c r="W22" s="706"/>
      <c r="X22" s="1355"/>
      <c r="Y22" s="368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0"/>
      <c r="Q23" s="1352" t="str">
        <f>B23</f>
        <v>自然及人文环境</v>
      </c>
      <c r="R23" s="705" t="s">
        <v>14</v>
      </c>
      <c r="S23" s="706">
        <f>F23</f>
        <v>100</v>
      </c>
      <c r="T23" s="705" t="s">
        <v>14</v>
      </c>
      <c r="U23" s="706">
        <f>H23</f>
        <v>100</v>
      </c>
      <c r="V23" s="705" t="s">
        <v>14</v>
      </c>
      <c r="W23" s="706">
        <f>J23</f>
        <v>100</v>
      </c>
      <c r="X23" s="1355"/>
      <c r="Y23" s="3683"/>
      <c r="Z23" s="1356" t="str">
        <f>Q23</f>
        <v>自然及人文环境</v>
      </c>
      <c r="AA23" s="1353">
        <f t="shared" si="3"/>
        <v>1</v>
      </c>
      <c r="AB23" s="1353">
        <f t="shared" si="4"/>
        <v>1</v>
      </c>
      <c r="AC23" s="1353">
        <f t="shared" si="5"/>
        <v>1</v>
      </c>
    </row>
    <row r="24" spans="1:29" ht="15">
      <c r="A24" s="379"/>
      <c r="B24" s="407"/>
      <c r="C24" s="3451" t="s">
        <v>3395</v>
      </c>
      <c r="D24" s="399"/>
      <c r="E24" s="3455" t="s">
        <v>3395</v>
      </c>
      <c r="F24" s="400"/>
      <c r="G24" s="3456" t="s">
        <v>3395</v>
      </c>
      <c r="H24" s="399"/>
      <c r="I24" s="3455" t="s">
        <v>3395</v>
      </c>
      <c r="J24" s="399"/>
      <c r="K24" s="564"/>
      <c r="L24" s="2722"/>
      <c r="M24" s="2716"/>
      <c r="N24" s="2716"/>
      <c r="O24" s="2716"/>
      <c r="P24" s="3690"/>
      <c r="Q24" s="1352"/>
      <c r="R24" s="705"/>
      <c r="S24" s="706"/>
      <c r="T24" s="705"/>
      <c r="U24" s="706"/>
      <c r="V24" s="705"/>
      <c r="W24" s="706"/>
      <c r="X24" s="1355"/>
      <c r="Y24" s="368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0"/>
      <c r="Q25" s="1352" t="str">
        <f t="shared" ref="Q25:Q46" si="11">B25</f>
        <v>临街状况</v>
      </c>
      <c r="R25" s="705" t="s">
        <v>14</v>
      </c>
      <c r="S25" s="706">
        <f>F25</f>
        <v>100</v>
      </c>
      <c r="T25" s="705" t="s">
        <v>14</v>
      </c>
      <c r="U25" s="706">
        <f>H25</f>
        <v>100</v>
      </c>
      <c r="V25" s="705" t="s">
        <v>14</v>
      </c>
      <c r="W25" s="706">
        <f>J25</f>
        <v>100</v>
      </c>
      <c r="X25" s="1355"/>
      <c r="Y25" s="3683"/>
      <c r="Z25" s="1356" t="str">
        <f>Q25</f>
        <v>临街状况</v>
      </c>
      <c r="AA25" s="1353">
        <f t="shared" si="3"/>
        <v>1</v>
      </c>
      <c r="AB25" s="1353">
        <f t="shared" si="4"/>
        <v>1</v>
      </c>
      <c r="AC25" s="1353">
        <f t="shared" si="5"/>
        <v>1</v>
      </c>
    </row>
    <row r="26" spans="1:29" ht="15">
      <c r="A26" s="379"/>
      <c r="B26" s="1133" t="s">
        <v>1781</v>
      </c>
      <c r="C26" s="3458" t="s">
        <v>3400</v>
      </c>
      <c r="D26" s="386">
        <v>100</v>
      </c>
      <c r="E26" s="3458" t="s">
        <v>3400</v>
      </c>
      <c r="F26" s="412">
        <f>SUMIF(88:88,E26,89:89)-SUMIF(88:88,C26,89:89)+100</f>
        <v>100</v>
      </c>
      <c r="G26" s="3458" t="s">
        <v>3395</v>
      </c>
      <c r="H26" s="386">
        <f>SUMIF(88:88,G26,89:89)-SUMIF(88:88,C26,89:89)+100</f>
        <v>105</v>
      </c>
      <c r="I26" s="3458" t="s">
        <v>3395</v>
      </c>
      <c r="J26" s="386">
        <f>SUMIF(88:88,I26,89:89)-SUMIF(88:88,C26,89:89)+100</f>
        <v>105</v>
      </c>
      <c r="K26" s="562"/>
      <c r="L26" s="2722"/>
      <c r="M26" s="2716"/>
      <c r="N26" s="2716"/>
      <c r="O26" s="2716"/>
      <c r="P26" s="3690"/>
      <c r="Q26" s="1352" t="str">
        <f t="shared" si="11"/>
        <v>平面位置/可视性</v>
      </c>
      <c r="R26" s="705" t="s">
        <v>14</v>
      </c>
      <c r="S26" s="706">
        <f>F26</f>
        <v>100</v>
      </c>
      <c r="T26" s="705" t="s">
        <v>14</v>
      </c>
      <c r="U26" s="706">
        <f>H26</f>
        <v>105</v>
      </c>
      <c r="V26" s="705" t="s">
        <v>14</v>
      </c>
      <c r="W26" s="706">
        <f>J26</f>
        <v>105</v>
      </c>
      <c r="X26" s="1355"/>
      <c r="Y26" s="3683"/>
      <c r="Z26" s="1356" t="str">
        <f>Q26</f>
        <v>平面位置/可视性</v>
      </c>
      <c r="AA26" s="1353">
        <f t="shared" si="3"/>
        <v>1</v>
      </c>
      <c r="AB26" s="1353">
        <f t="shared" si="4"/>
        <v>0.95238095238095233</v>
      </c>
      <c r="AC26" s="1353">
        <f t="shared" si="5"/>
        <v>0.95238095238095233</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0"/>
      <c r="Q27" s="1343" t="str">
        <f t="shared" si="11"/>
        <v>人流量</v>
      </c>
      <c r="R27" s="701" t="s">
        <v>14</v>
      </c>
      <c r="S27" s="702">
        <f>F27</f>
        <v>100</v>
      </c>
      <c r="T27" s="701" t="s">
        <v>14</v>
      </c>
      <c r="U27" s="702">
        <f>H27</f>
        <v>100</v>
      </c>
      <c r="V27" s="701" t="s">
        <v>14</v>
      </c>
      <c r="W27" s="702">
        <f>J27</f>
        <v>100</v>
      </c>
      <c r="X27" s="703"/>
      <c r="Y27" s="3683"/>
      <c r="Z27" s="52" t="str">
        <f>Q27</f>
        <v>人流量</v>
      </c>
      <c r="AA27" s="1353">
        <f>D27/F27</f>
        <v>1</v>
      </c>
      <c r="AB27" s="1353">
        <f>D27/H27</f>
        <v>1</v>
      </c>
      <c r="AC27" s="1353">
        <f>D27/J27</f>
        <v>1</v>
      </c>
    </row>
    <row r="28" spans="1:29" ht="15">
      <c r="A28" s="379"/>
      <c r="B28" s="375" t="s">
        <v>1783</v>
      </c>
      <c r="C28" s="3457" t="s">
        <v>3399</v>
      </c>
      <c r="D28" s="386">
        <v>100</v>
      </c>
      <c r="E28" s="565">
        <v>1</v>
      </c>
      <c r="F28" s="412">
        <f>SUMIF(92:92,E28,93:93)-SUMIF(92:92,C28,93:93)+100</f>
        <v>120</v>
      </c>
      <c r="G28" s="565">
        <v>1</v>
      </c>
      <c r="H28" s="386">
        <f>SUMIF(92:92,G28,93:93)-SUMIF(92:92,C28,93:93)+100</f>
        <v>120</v>
      </c>
      <c r="I28" s="565">
        <v>1</v>
      </c>
      <c r="J28" s="386">
        <f>SUMIF(92:92,I28,93:93)-SUMIF(92:92,C28,93:93)+100</f>
        <v>120</v>
      </c>
      <c r="K28" s="562"/>
      <c r="L28" s="2722"/>
      <c r="M28" s="2716"/>
      <c r="N28" s="2716"/>
      <c r="O28" s="2716"/>
      <c r="P28" s="3690"/>
      <c r="Q28" s="1352" t="str">
        <f t="shared" si="11"/>
        <v>楼层</v>
      </c>
      <c r="R28" s="705" t="s">
        <v>14</v>
      </c>
      <c r="S28" s="706">
        <f t="shared" ref="S28:S46" si="12">F28</f>
        <v>120</v>
      </c>
      <c r="T28" s="705" t="s">
        <v>14</v>
      </c>
      <c r="U28" s="706">
        <f t="shared" ref="U28:U46" si="13">H28</f>
        <v>120</v>
      </c>
      <c r="V28" s="705" t="s">
        <v>14</v>
      </c>
      <c r="W28" s="706">
        <f t="shared" ref="W28:W46" si="14">J28</f>
        <v>120</v>
      </c>
      <c r="X28" s="1355"/>
      <c r="Y28" s="3683"/>
      <c r="Z28" s="1356" t="str">
        <f t="shared" ref="Z28:Z46" si="15">Q28</f>
        <v>楼层</v>
      </c>
      <c r="AA28" s="1353">
        <f t="shared" si="3"/>
        <v>0.83333333333333337</v>
      </c>
      <c r="AB28" s="1353">
        <f t="shared" si="4"/>
        <v>0.83333333333333337</v>
      </c>
      <c r="AC28" s="1353">
        <f t="shared" si="5"/>
        <v>0.83333333333333337</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0"/>
      <c r="Q29" s="1352">
        <f t="shared" si="11"/>
        <v>111</v>
      </c>
      <c r="R29" s="705" t="s">
        <v>14</v>
      </c>
      <c r="S29" s="706">
        <f t="shared" si="12"/>
        <v>100</v>
      </c>
      <c r="T29" s="705" t="s">
        <v>14</v>
      </c>
      <c r="U29" s="706">
        <f t="shared" si="13"/>
        <v>100</v>
      </c>
      <c r="V29" s="705" t="s">
        <v>14</v>
      </c>
      <c r="W29" s="706">
        <f t="shared" si="14"/>
        <v>100</v>
      </c>
      <c r="X29" s="1355"/>
      <c r="Y29" s="368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0"/>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0"/>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353">
        <f t="shared" si="5"/>
        <v>1</v>
      </c>
    </row>
    <row r="32" spans="1:29" ht="15">
      <c r="A32" s="391" t="s">
        <v>1694</v>
      </c>
      <c r="B32" s="63" t="s">
        <v>1784</v>
      </c>
      <c r="C32" s="3460" t="s">
        <v>3403</v>
      </c>
      <c r="D32" s="418">
        <v>100</v>
      </c>
      <c r="E32" s="3460" t="s">
        <v>3421</v>
      </c>
      <c r="F32" s="412">
        <f>SUMIF(100:100,E32,101:101)-SUMIF(100:100,C32,101:101)+100</f>
        <v>95</v>
      </c>
      <c r="G32" s="3460" t="s">
        <v>3403</v>
      </c>
      <c r="H32" s="386">
        <f>SUMIF(100:100,G32,101:101)-SUMIF(100:100,C32,101:101)+100</f>
        <v>100</v>
      </c>
      <c r="I32" s="3460" t="s">
        <v>3404</v>
      </c>
      <c r="J32" s="418">
        <f>SUMIF(100:100,I32,101:101)-SUMIF(100:100,C32,101:101)+100</f>
        <v>95</v>
      </c>
      <c r="K32" s="561">
        <v>5</v>
      </c>
      <c r="L32" s="2722"/>
      <c r="M32" s="2716"/>
      <c r="N32" s="2716"/>
      <c r="O32" s="2716"/>
      <c r="P32" s="3684" t="s">
        <v>1696</v>
      </c>
      <c r="Q32" s="1352" t="str">
        <f t="shared" si="11"/>
        <v>商业类型</v>
      </c>
      <c r="R32" s="705" t="s">
        <v>14</v>
      </c>
      <c r="S32" s="706">
        <f t="shared" si="12"/>
        <v>95</v>
      </c>
      <c r="T32" s="705" t="s">
        <v>14</v>
      </c>
      <c r="U32" s="706">
        <f t="shared" si="13"/>
        <v>100</v>
      </c>
      <c r="V32" s="705" t="s">
        <v>14</v>
      </c>
      <c r="W32" s="706">
        <f t="shared" si="14"/>
        <v>95</v>
      </c>
      <c r="X32" s="1355"/>
      <c r="Y32" s="3687" t="s">
        <v>1696</v>
      </c>
      <c r="Z32" s="1356" t="str">
        <f t="shared" si="15"/>
        <v>商业类型</v>
      </c>
      <c r="AA32" s="1353">
        <f t="shared" si="3"/>
        <v>1.0526315789473684</v>
      </c>
      <c r="AB32" s="1353">
        <f t="shared" si="4"/>
        <v>1</v>
      </c>
      <c r="AC32" s="1353">
        <f t="shared" si="5"/>
        <v>1.0526315789473684</v>
      </c>
    </row>
    <row r="33" spans="1:29" s="422" customFormat="1" ht="15">
      <c r="A33" s="419"/>
      <c r="B33" s="375" t="s">
        <v>1697</v>
      </c>
      <c r="C33" s="420">
        <f>D3</f>
        <v>275.49</v>
      </c>
      <c r="D33" s="127">
        <v>100</v>
      </c>
      <c r="E33" s="381">
        <v>80</v>
      </c>
      <c r="F33" s="376">
        <f>LOOKUP(E33,103:103,104:104)-LOOKUP(C33,103:103,104:104)+100</f>
        <v>103</v>
      </c>
      <c r="G33" s="380">
        <v>109.03</v>
      </c>
      <c r="H33" s="127">
        <f>LOOKUP(G33,103:103,104:104)-LOOKUP(C33,103:103,104:104)+100</f>
        <v>102</v>
      </c>
      <c r="I33" s="380">
        <v>62</v>
      </c>
      <c r="J33" s="127">
        <f>LOOKUP(I33,103:103,104:104)-LOOKUP(C33,103:103,104:104)+100</f>
        <v>103</v>
      </c>
      <c r="K33" s="562"/>
      <c r="L33" s="2721"/>
      <c r="M33" s="2723"/>
      <c r="N33" s="2723"/>
      <c r="O33" s="2723"/>
      <c r="P33" s="3685"/>
      <c r="Q33" s="707" t="str">
        <f t="shared" si="11"/>
        <v>项目建筑规模</v>
      </c>
      <c r="R33" s="708" t="s">
        <v>14</v>
      </c>
      <c r="S33" s="709">
        <f t="shared" si="12"/>
        <v>103</v>
      </c>
      <c r="T33" s="708" t="s">
        <v>14</v>
      </c>
      <c r="U33" s="709">
        <f t="shared" si="13"/>
        <v>102</v>
      </c>
      <c r="V33" s="708" t="s">
        <v>14</v>
      </c>
      <c r="W33" s="709">
        <f t="shared" si="14"/>
        <v>103</v>
      </c>
      <c r="X33" s="710"/>
      <c r="Y33" s="3687"/>
      <c r="Z33" s="711" t="str">
        <f t="shared" si="15"/>
        <v>项目建筑规模</v>
      </c>
      <c r="AA33" s="1353">
        <f t="shared" si="3"/>
        <v>0.970873786407767</v>
      </c>
      <c r="AB33" s="1353">
        <f t="shared" si="4"/>
        <v>0.98039215686274506</v>
      </c>
      <c r="AC33" s="1353">
        <f t="shared" si="5"/>
        <v>0.970873786407767</v>
      </c>
    </row>
    <row r="34" spans="1:29" ht="15">
      <c r="A34" s="423"/>
      <c r="B34" s="375" t="s">
        <v>1698</v>
      </c>
      <c r="C34" s="3463" t="s">
        <v>3409</v>
      </c>
      <c r="D34" s="386">
        <v>100</v>
      </c>
      <c r="E34" s="3463" t="s">
        <v>3410</v>
      </c>
      <c r="F34" s="412">
        <f>SUMIF(105:105,E34,106:106)-SUMIF(105:105,C34,106:106)+100</f>
        <v>102</v>
      </c>
      <c r="G34" s="3463" t="s">
        <v>3410</v>
      </c>
      <c r="H34" s="386">
        <f>SUMIF(105:105,G34,106:106)-SUMIF(105:105,C34,106:106)+100</f>
        <v>102</v>
      </c>
      <c r="I34" s="3463" t="s">
        <v>3410</v>
      </c>
      <c r="J34" s="386">
        <f>SUMIF(105:105,I34,106:106)-SUMIF(105:105,C34,106:106)+100</f>
        <v>102</v>
      </c>
      <c r="K34" s="561">
        <v>2</v>
      </c>
      <c r="L34" s="2722"/>
      <c r="M34" s="2716"/>
      <c r="N34" s="2716"/>
      <c r="O34" s="2716"/>
      <c r="P34" s="3685"/>
      <c r="Q34" s="1352" t="str">
        <f t="shared" si="11"/>
        <v>建筑结构</v>
      </c>
      <c r="R34" s="705" t="s">
        <v>14</v>
      </c>
      <c r="S34" s="706">
        <f t="shared" si="12"/>
        <v>102</v>
      </c>
      <c r="T34" s="705" t="s">
        <v>14</v>
      </c>
      <c r="U34" s="706">
        <f t="shared" si="13"/>
        <v>102</v>
      </c>
      <c r="V34" s="705" t="s">
        <v>14</v>
      </c>
      <c r="W34" s="706">
        <f t="shared" si="14"/>
        <v>102</v>
      </c>
      <c r="X34" s="1355"/>
      <c r="Y34" s="3687"/>
      <c r="Z34" s="1356" t="str">
        <f t="shared" si="15"/>
        <v>建筑结构</v>
      </c>
      <c r="AA34" s="1353">
        <f t="shared" si="3"/>
        <v>0.98039215686274506</v>
      </c>
      <c r="AB34" s="1353">
        <f t="shared" si="4"/>
        <v>0.98039215686274506</v>
      </c>
      <c r="AC34" s="1353">
        <f t="shared" si="5"/>
        <v>0.98039215686274506</v>
      </c>
    </row>
    <row r="35" spans="1:29" ht="15">
      <c r="A35" s="423"/>
      <c r="B35" s="375" t="s">
        <v>1785</v>
      </c>
      <c r="C35" s="3464" t="s">
        <v>3411</v>
      </c>
      <c r="D35" s="386">
        <v>100</v>
      </c>
      <c r="E35" s="3464" t="s">
        <v>3412</v>
      </c>
      <c r="F35" s="412">
        <f>SUMIF(107:107,E35,108:108)-SUMIF(107:107,C35,108:108)+100</f>
        <v>102</v>
      </c>
      <c r="G35" s="3464" t="s">
        <v>3412</v>
      </c>
      <c r="H35" s="386">
        <f>SUMIF(107:107,G35,108:108)-SUMIF(107:107,C35,108:108)+100</f>
        <v>102</v>
      </c>
      <c r="I35" s="3464" t="s">
        <v>3412</v>
      </c>
      <c r="J35" s="386">
        <f>SUMIF(107:107,I35,108:108)-SUMIF(107:107,C35,108:108)+100</f>
        <v>102</v>
      </c>
      <c r="K35" s="561">
        <v>2</v>
      </c>
      <c r="L35" s="2722"/>
      <c r="M35" s="2716"/>
      <c r="N35" s="2716"/>
      <c r="O35" s="2716"/>
      <c r="P35" s="3685"/>
      <c r="Q35" s="1352" t="str">
        <f t="shared" si="11"/>
        <v>公共部分装修</v>
      </c>
      <c r="R35" s="705" t="s">
        <v>14</v>
      </c>
      <c r="S35" s="706">
        <f t="shared" si="12"/>
        <v>102</v>
      </c>
      <c r="T35" s="705" t="s">
        <v>14</v>
      </c>
      <c r="U35" s="706">
        <f t="shared" si="13"/>
        <v>102</v>
      </c>
      <c r="V35" s="705" t="s">
        <v>14</v>
      </c>
      <c r="W35" s="706">
        <f t="shared" si="14"/>
        <v>102</v>
      </c>
      <c r="X35" s="1355"/>
      <c r="Y35" s="3687"/>
      <c r="Z35" s="1356" t="str">
        <f t="shared" si="15"/>
        <v>公共部分装修</v>
      </c>
      <c r="AA35" s="1353">
        <f t="shared" si="3"/>
        <v>0.98039215686274506</v>
      </c>
      <c r="AB35" s="1353">
        <f t="shared" si="4"/>
        <v>0.98039215686274506</v>
      </c>
      <c r="AC35" s="1353">
        <f t="shared" si="5"/>
        <v>0.98039215686274506</v>
      </c>
    </row>
    <row r="36" spans="1:29" ht="15">
      <c r="A36" s="423"/>
      <c r="B36" s="375" t="s">
        <v>1786</v>
      </c>
      <c r="C36" s="425">
        <v>0.7</v>
      </c>
      <c r="D36" s="386">
        <v>100</v>
      </c>
      <c r="E36" s="425">
        <f>ROUND(1-(2023-E50)/60,2)</f>
        <v>0.72</v>
      </c>
      <c r="F36" s="412">
        <f>LOOKUP(E36,110:110,111:111)-LOOKUP(C36,110:110,111:111)+100</f>
        <v>100</v>
      </c>
      <c r="G36" s="425">
        <f>ROUND(1-(2023-G50)/60,2)</f>
        <v>0.87</v>
      </c>
      <c r="H36" s="412">
        <f>LOOKUP(G36,110:110,111:111)-LOOKUP(C36,110:110,111:111)+100</f>
        <v>102</v>
      </c>
      <c r="I36" s="425">
        <f>G36</f>
        <v>0.87</v>
      </c>
      <c r="J36" s="386">
        <f>LOOKUP(I36,110:110,111:111)-LOOKUP(C36,110:110,111:111)+100</f>
        <v>102</v>
      </c>
      <c r="K36" s="561">
        <v>2</v>
      </c>
      <c r="L36" s="2722"/>
      <c r="M36" s="2716"/>
      <c r="N36" s="2716"/>
      <c r="O36" s="2716"/>
      <c r="P36" s="3685"/>
      <c r="Q36" s="1352" t="str">
        <f t="shared" si="11"/>
        <v>成新度</v>
      </c>
      <c r="R36" s="705" t="s">
        <v>14</v>
      </c>
      <c r="S36" s="706">
        <f t="shared" si="12"/>
        <v>100</v>
      </c>
      <c r="T36" s="705" t="s">
        <v>14</v>
      </c>
      <c r="U36" s="706">
        <f t="shared" si="13"/>
        <v>102</v>
      </c>
      <c r="V36" s="705" t="s">
        <v>14</v>
      </c>
      <c r="W36" s="706">
        <f t="shared" si="14"/>
        <v>102</v>
      </c>
      <c r="X36" s="1355"/>
      <c r="Y36" s="3687"/>
      <c r="Z36" s="1356" t="str">
        <f t="shared" si="15"/>
        <v>成新度</v>
      </c>
      <c r="AA36" s="1353">
        <f t="shared" si="3"/>
        <v>1</v>
      </c>
      <c r="AB36" s="1353">
        <f t="shared" si="4"/>
        <v>0.98039215686274506</v>
      </c>
      <c r="AC36" s="1353">
        <f t="shared" si="5"/>
        <v>0.98039215686274506</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5"/>
      <c r="Q37" s="1343" t="str">
        <f t="shared" si="11"/>
        <v>市政基础设施</v>
      </c>
      <c r="R37" s="701" t="s">
        <v>14</v>
      </c>
      <c r="S37" s="702">
        <f t="shared" si="12"/>
        <v>100</v>
      </c>
      <c r="T37" s="701" t="s">
        <v>14</v>
      </c>
      <c r="U37" s="702">
        <f t="shared" si="13"/>
        <v>100</v>
      </c>
      <c r="V37" s="701" t="s">
        <v>14</v>
      </c>
      <c r="W37" s="702">
        <f t="shared" si="14"/>
        <v>100</v>
      </c>
      <c r="X37" s="703"/>
      <c r="Y37" s="3687"/>
      <c r="Z37" s="52" t="str">
        <f t="shared" si="15"/>
        <v>市政基础设施</v>
      </c>
      <c r="AA37" s="704">
        <f t="shared" si="3"/>
        <v>1</v>
      </c>
      <c r="AB37" s="704">
        <f t="shared" si="4"/>
        <v>1</v>
      </c>
      <c r="AC37" s="704">
        <f t="shared" si="5"/>
        <v>1</v>
      </c>
    </row>
    <row r="38" spans="1:29" ht="15">
      <c r="A38" s="423"/>
      <c r="B38" s="375" t="s">
        <v>1788</v>
      </c>
      <c r="C38" s="3464" t="s">
        <v>3413</v>
      </c>
      <c r="D38" s="386">
        <v>100</v>
      </c>
      <c r="E38" s="3464" t="s">
        <v>3415</v>
      </c>
      <c r="F38" s="412">
        <f>SUMIF(114:114,E38,115:115)-SUMIF(114:114,C38,115:115)+100</f>
        <v>90</v>
      </c>
      <c r="G38" s="3464" t="s">
        <v>3415</v>
      </c>
      <c r="H38" s="386">
        <f>SUMIF(114:114,G38,115:115)-SUMIF(114:114,C38,115:115)+100</f>
        <v>90</v>
      </c>
      <c r="I38" s="3464" t="s">
        <v>3415</v>
      </c>
      <c r="J38" s="386">
        <f>SUMIF(114:114,I38,115:115)-SUMIF(114:114,C38,115:115)+100</f>
        <v>90</v>
      </c>
      <c r="K38" s="561">
        <v>10</v>
      </c>
      <c r="L38" s="2722"/>
      <c r="M38" s="2716"/>
      <c r="N38" s="2716"/>
      <c r="O38" s="2716"/>
      <c r="P38" s="3685" t="s">
        <v>1696</v>
      </c>
      <c r="Q38" s="1352" t="str">
        <f t="shared" si="11"/>
        <v>业态</v>
      </c>
      <c r="R38" s="705" t="s">
        <v>14</v>
      </c>
      <c r="S38" s="706">
        <f t="shared" si="12"/>
        <v>90</v>
      </c>
      <c r="T38" s="705" t="s">
        <v>14</v>
      </c>
      <c r="U38" s="706">
        <f t="shared" si="13"/>
        <v>90</v>
      </c>
      <c r="V38" s="705" t="s">
        <v>14</v>
      </c>
      <c r="W38" s="706">
        <f t="shared" si="14"/>
        <v>90</v>
      </c>
      <c r="X38" s="1355"/>
      <c r="Y38" s="3687" t="s">
        <v>1696</v>
      </c>
      <c r="Z38" s="1356" t="str">
        <f t="shared" si="15"/>
        <v>业态</v>
      </c>
      <c r="AA38" s="1353">
        <f t="shared" si="3"/>
        <v>1.1111111111111112</v>
      </c>
      <c r="AB38" s="1353">
        <f t="shared" si="4"/>
        <v>1.1111111111111112</v>
      </c>
      <c r="AC38" s="1353">
        <f t="shared" si="5"/>
        <v>1.1111111111111112</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5"/>
      <c r="Q39" s="1352" t="str">
        <f t="shared" si="11"/>
        <v>层高</v>
      </c>
      <c r="R39" s="705" t="s">
        <v>14</v>
      </c>
      <c r="S39" s="706">
        <f t="shared" si="12"/>
        <v>100</v>
      </c>
      <c r="T39" s="705" t="s">
        <v>14</v>
      </c>
      <c r="U39" s="706">
        <f t="shared" si="13"/>
        <v>100</v>
      </c>
      <c r="V39" s="705" t="s">
        <v>14</v>
      </c>
      <c r="W39" s="706">
        <f t="shared" si="14"/>
        <v>100</v>
      </c>
      <c r="X39" s="1355"/>
      <c r="Y39" s="368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5"/>
      <c r="Q40" s="1352" t="str">
        <f t="shared" si="11"/>
        <v>单套建筑面积</v>
      </c>
      <c r="R40" s="705" t="s">
        <v>14</v>
      </c>
      <c r="S40" s="706">
        <f t="shared" si="12"/>
        <v>100</v>
      </c>
      <c r="T40" s="705" t="s">
        <v>14</v>
      </c>
      <c r="U40" s="706">
        <f t="shared" si="13"/>
        <v>100</v>
      </c>
      <c r="V40" s="705" t="s">
        <v>14</v>
      </c>
      <c r="W40" s="706">
        <f t="shared" si="14"/>
        <v>100</v>
      </c>
      <c r="X40" s="1355"/>
      <c r="Y40" s="368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5"/>
      <c r="Q41" s="707" t="str">
        <f t="shared" si="11"/>
        <v>进深比</v>
      </c>
      <c r="R41" s="708" t="s">
        <v>14</v>
      </c>
      <c r="S41" s="709">
        <f t="shared" si="12"/>
        <v>100</v>
      </c>
      <c r="T41" s="708" t="s">
        <v>14</v>
      </c>
      <c r="U41" s="709">
        <f t="shared" si="13"/>
        <v>100</v>
      </c>
      <c r="V41" s="708" t="s">
        <v>14</v>
      </c>
      <c r="W41" s="709">
        <f t="shared" si="14"/>
        <v>100</v>
      </c>
      <c r="X41" s="710"/>
      <c r="Y41" s="3687"/>
      <c r="Z41" s="711" t="str">
        <f t="shared" si="15"/>
        <v>进深比</v>
      </c>
      <c r="AA41" s="1353">
        <f t="shared" si="3"/>
        <v>1</v>
      </c>
      <c r="AB41" s="1353">
        <f t="shared" si="4"/>
        <v>1</v>
      </c>
      <c r="AC41" s="1353">
        <f t="shared" si="5"/>
        <v>1</v>
      </c>
    </row>
    <row r="42" spans="1:29" ht="15">
      <c r="A42" s="423"/>
      <c r="B42" s="375" t="s">
        <v>1792</v>
      </c>
      <c r="C42" s="3464" t="s">
        <v>3416</v>
      </c>
      <c r="D42" s="386">
        <v>100</v>
      </c>
      <c r="E42" s="3464" t="s">
        <v>3411</v>
      </c>
      <c r="F42" s="412">
        <f>SUMIF(122:122,E42,123:123)-SUMIF(122:122,C42,123:123)+100</f>
        <v>102</v>
      </c>
      <c r="G42" s="3464" t="s">
        <v>3411</v>
      </c>
      <c r="H42" s="386">
        <f>SUMIF(122:122,G42,123:123)-SUMIF(122:122,C42,123:123)+100</f>
        <v>102</v>
      </c>
      <c r="I42" s="3464" t="s">
        <v>3411</v>
      </c>
      <c r="J42" s="386">
        <f>SUMIF(122:122,I42,123:123)-SUMIF(122:122,C42,123:123)+100</f>
        <v>102</v>
      </c>
      <c r="K42" s="561">
        <v>2</v>
      </c>
      <c r="L42" s="2722"/>
      <c r="M42" s="2716"/>
      <c r="N42" s="2716"/>
      <c r="O42" s="2716"/>
      <c r="P42" s="3685"/>
      <c r="Q42" s="1352" t="str">
        <f t="shared" si="11"/>
        <v>内部装修</v>
      </c>
      <c r="R42" s="705" t="s">
        <v>14</v>
      </c>
      <c r="S42" s="706">
        <f t="shared" si="12"/>
        <v>102</v>
      </c>
      <c r="T42" s="705" t="s">
        <v>14</v>
      </c>
      <c r="U42" s="706">
        <f t="shared" si="13"/>
        <v>102</v>
      </c>
      <c r="V42" s="705" t="s">
        <v>14</v>
      </c>
      <c r="W42" s="706">
        <f t="shared" si="14"/>
        <v>102</v>
      </c>
      <c r="X42" s="1355"/>
      <c r="Y42" s="3687"/>
      <c r="Z42" s="1356" t="str">
        <f t="shared" si="15"/>
        <v>内部装修</v>
      </c>
      <c r="AA42" s="1353">
        <f t="shared" si="3"/>
        <v>0.98039215686274506</v>
      </c>
      <c r="AB42" s="1353">
        <f t="shared" si="4"/>
        <v>0.98039215686274506</v>
      </c>
      <c r="AC42" s="1353">
        <f t="shared" si="5"/>
        <v>0.98039215686274506</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5"/>
      <c r="Q43" s="1352" t="str">
        <f t="shared" si="11"/>
        <v>内部装修维护情况</v>
      </c>
      <c r="R43" s="705" t="s">
        <v>14</v>
      </c>
      <c r="S43" s="706">
        <f t="shared" si="12"/>
        <v>100</v>
      </c>
      <c r="T43" s="705" t="s">
        <v>14</v>
      </c>
      <c r="U43" s="706">
        <f t="shared" si="13"/>
        <v>100</v>
      </c>
      <c r="V43" s="705" t="s">
        <v>14</v>
      </c>
      <c r="W43" s="706">
        <f t="shared" si="14"/>
        <v>100</v>
      </c>
      <c r="X43" s="1355"/>
      <c r="Y43" s="368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5"/>
      <c r="Q44" s="1343">
        <f t="shared" si="11"/>
        <v>111</v>
      </c>
      <c r="R44" s="701" t="s">
        <v>14</v>
      </c>
      <c r="S44" s="702">
        <f t="shared" si="12"/>
        <v>100</v>
      </c>
      <c r="T44" s="701" t="s">
        <v>14</v>
      </c>
      <c r="U44" s="702">
        <f t="shared" si="13"/>
        <v>100</v>
      </c>
      <c r="V44" s="701" t="s">
        <v>14</v>
      </c>
      <c r="W44" s="702">
        <f t="shared" si="14"/>
        <v>100</v>
      </c>
      <c r="X44" s="703"/>
      <c r="Y44" s="368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5"/>
      <c r="Q45" s="1352">
        <f t="shared" si="11"/>
        <v>111</v>
      </c>
      <c r="R45" s="705" t="s">
        <v>14</v>
      </c>
      <c r="S45" s="706">
        <f t="shared" si="12"/>
        <v>100</v>
      </c>
      <c r="T45" s="705" t="s">
        <v>14</v>
      </c>
      <c r="U45" s="706">
        <f t="shared" si="13"/>
        <v>100</v>
      </c>
      <c r="V45" s="705" t="s">
        <v>14</v>
      </c>
      <c r="W45" s="706">
        <f t="shared" si="14"/>
        <v>100</v>
      </c>
      <c r="X45" s="1355"/>
      <c r="Y45" s="368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353">
        <f t="shared" si="5"/>
        <v>1</v>
      </c>
    </row>
    <row r="47" spans="1:29" ht="15">
      <c r="A47" s="430" t="s">
        <v>1708</v>
      </c>
      <c r="B47" s="431"/>
      <c r="C47" s="1154" t="s">
        <v>0</v>
      </c>
      <c r="D47" s="1155"/>
      <c r="E47" s="1156">
        <v>19857</v>
      </c>
      <c r="F47" s="1157"/>
      <c r="G47" s="1158">
        <v>25500</v>
      </c>
      <c r="H47" s="1159"/>
      <c r="I47" s="1156">
        <v>20500</v>
      </c>
      <c r="J47" s="1159"/>
      <c r="K47" s="714"/>
      <c r="L47" s="2724"/>
      <c r="M47" s="2725"/>
      <c r="N47" s="2716"/>
      <c r="O47" s="2725"/>
      <c r="P47" s="3680" t="str">
        <f>A47</f>
        <v>成交单价（元/平方米）</v>
      </c>
      <c r="Q47" s="3680"/>
      <c r="R47" s="3711">
        <f>E47</f>
        <v>19857</v>
      </c>
      <c r="S47" s="3711"/>
      <c r="T47" s="3711">
        <f>G47</f>
        <v>25500</v>
      </c>
      <c r="U47" s="3711"/>
      <c r="V47" s="3711">
        <f>I47</f>
        <v>20500</v>
      </c>
      <c r="W47" s="3711"/>
      <c r="X47" s="690"/>
      <c r="Y47" s="712"/>
      <c r="Z47" s="690"/>
      <c r="AA47" s="690"/>
      <c r="AB47" s="690"/>
      <c r="AC47" s="690"/>
    </row>
    <row r="48" spans="1:29" ht="15.75" thickBot="1">
      <c r="A48" s="437" t="s">
        <v>1793</v>
      </c>
      <c r="B48" s="438"/>
      <c r="C48" s="1160">
        <f>R49</f>
        <v>18380</v>
      </c>
      <c r="D48" s="2317" t="s">
        <v>2138</v>
      </c>
      <c r="E48" s="1161">
        <f>R48</f>
        <v>17706</v>
      </c>
      <c r="F48" s="2318"/>
      <c r="G48" s="1160">
        <f>T48</f>
        <v>20367</v>
      </c>
      <c r="H48" s="2318"/>
      <c r="I48" s="1161">
        <f>V48</f>
        <v>17068</v>
      </c>
      <c r="J48" s="2318"/>
      <c r="K48" s="2320">
        <f>F48+H48+J48</f>
        <v>0</v>
      </c>
      <c r="L48" s="2724"/>
      <c r="M48" s="2725"/>
      <c r="N48" s="2716"/>
      <c r="O48" s="2725"/>
      <c r="P48" s="3680" t="str">
        <f>A48</f>
        <v>比较价值（元/平方米）</v>
      </c>
      <c r="Q48" s="3680"/>
      <c r="R48" s="3681">
        <f>IF(F1="售价",ROUND(PRODUCT(R47,AA7:AA46),0),ROUND(PRODUCT(R47,AA7:AA46),1))</f>
        <v>17706</v>
      </c>
      <c r="S48" s="3681"/>
      <c r="T48" s="3681">
        <f>IF(F1="售价",ROUND(PRODUCT(T47,AB7:AB46),0),ROUND(PRODUCT(T47,AB7:AB46),1))</f>
        <v>20367</v>
      </c>
      <c r="U48" s="3681"/>
      <c r="V48" s="3681">
        <f>IF(F1="售价",ROUND(PRODUCT(V47,AC7:AC46),0),ROUND(PRODUCT(V47,AC7:AC46),1))</f>
        <v>17068</v>
      </c>
      <c r="W48" s="3681"/>
      <c r="X48" s="690"/>
      <c r="Y48" s="690"/>
      <c r="Z48" s="690"/>
      <c r="AA48" s="690"/>
      <c r="AB48" s="690"/>
      <c r="AC48" s="690"/>
    </row>
    <row r="49" spans="1:29" ht="15.75" thickBot="1">
      <c r="A49" s="441" t="s">
        <v>1794</v>
      </c>
      <c r="B49" s="442"/>
      <c r="C49" s="1163">
        <f>R49</f>
        <v>18380</v>
      </c>
      <c r="D49" s="1163"/>
      <c r="E49" s="1163"/>
      <c r="F49" s="1163"/>
      <c r="G49" s="1163"/>
      <c r="H49" s="1163"/>
      <c r="I49" s="1163"/>
      <c r="J49" s="1163"/>
      <c r="K49" s="715"/>
      <c r="L49" s="2724"/>
      <c r="M49" s="2725"/>
      <c r="N49" s="2716"/>
      <c r="O49" s="2725"/>
      <c r="P49" s="3677" t="str">
        <f>A49</f>
        <v>估价对象XX用房的比较价值（楼面单价，元/平方米）</v>
      </c>
      <c r="Q49" s="3678"/>
      <c r="R49" s="3679">
        <f>IF(F1="售价",ROUND(IF(D48="简单平均",AVERAGE(R48:V48),R48*F48+T48*H48+V48*J48),0),ROUND(IF(D48="简单平均",AVERAGE(R48:V48),R48*F48+T48*H48+V48*J48),1))</f>
        <v>18380</v>
      </c>
      <c r="S49" s="3679"/>
      <c r="T49" s="3679"/>
      <c r="U49" s="3679"/>
      <c r="V49" s="3679"/>
      <c r="W49" s="3679"/>
      <c r="X49" s="690"/>
      <c r="Y49" s="690"/>
      <c r="Z49" s="690"/>
      <c r="AA49" s="690"/>
      <c r="AB49" s="690"/>
      <c r="AC49" s="690"/>
    </row>
    <row r="50" spans="1:29">
      <c r="A50" s="2725"/>
      <c r="B50" s="2725"/>
      <c r="C50" s="2725"/>
      <c r="D50" s="2725"/>
      <c r="E50" s="2725">
        <v>2006</v>
      </c>
      <c r="F50" s="2725"/>
      <c r="G50" s="3462">
        <v>2015</v>
      </c>
      <c r="H50" s="2725"/>
      <c r="I50" s="2725">
        <v>2015</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0.12148424262961699</v>
      </c>
      <c r="F52" s="449" t="str">
        <f>IF(OR(E52&gt;=0.3,E52&lt;=-0.3),"超过30%","")</f>
        <v/>
      </c>
      <c r="G52" s="448">
        <f>IF(G47&lt;G48,G48/G47-1,G47/G48-1)</f>
        <v>0.25202533510089853</v>
      </c>
      <c r="H52" s="449" t="str">
        <f>IF(OR(G52&gt;=0.3,G52&lt;=-0.3),"超过30%","")</f>
        <v/>
      </c>
      <c r="I52" s="448">
        <f>IF(I47&lt;I48,I48/I47-1,I47/I48-1)</f>
        <v>0.20107804077806413</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0.15028803795323609</v>
      </c>
      <c r="F53" s="449" t="str">
        <f>IF(OR(E53&gt;=0.2,E53&lt;=-0.2),"超过20%","")</f>
        <v/>
      </c>
      <c r="G53" s="448">
        <f>IF(G48&lt;I48,I48/G48-1,G48/I48-1)</f>
        <v>0.19328568080618691</v>
      </c>
      <c r="H53" s="449" t="str">
        <f>IF(OR(G53&gt;=0.2,G53&lt;=-0.2),"超过20%","")</f>
        <v/>
      </c>
      <c r="I53" s="448">
        <f>IF(I48&lt;E48,E48/I48-1,I48/E48-1)</f>
        <v>3.7379892195922304E-2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0.28418190058921278</v>
      </c>
      <c r="F54" s="449" t="str">
        <f>IF(OR(E54&gt;=0.3,E54&lt;=-0.3),"超过30%","")</f>
        <v/>
      </c>
      <c r="G54" s="448">
        <f>IF(G47&lt;I47,I47/G47-1,G47/I47-1)</f>
        <v>0.24390243902439024</v>
      </c>
      <c r="H54" s="449" t="str">
        <f>IF(OR(G54&gt;=0.3,G54&lt;=-0.3),"超过30%","")</f>
        <v/>
      </c>
      <c r="I54" s="448">
        <f>IF(I47&lt;E47,E47/I47-1,I47/E47-1)</f>
        <v>3.2381527924661313E-2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v>2</v>
      </c>
      <c r="F68" s="498">
        <v>3</v>
      </c>
      <c r="G68" s="498">
        <v>4</v>
      </c>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9" t="s">
        <v>3401</v>
      </c>
      <c r="D88" s="3459" t="s">
        <v>3395</v>
      </c>
      <c r="E88" s="3459" t="s">
        <v>3400</v>
      </c>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v>95</v>
      </c>
      <c r="E89" s="485">
        <v>90</v>
      </c>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v>1</v>
      </c>
      <c r="D92" s="503" t="s">
        <v>3402</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80</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1" t="s">
        <v>3405</v>
      </c>
      <c r="D100" s="3461" t="s">
        <v>3404</v>
      </c>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0(含)-50</v>
      </c>
      <c r="D102" s="527" t="str">
        <f t="shared" ref="D102:L102" si="23">D103&amp;"(含)"&amp;"-"&amp;E103</f>
        <v>50(含)-100</v>
      </c>
      <c r="E102" s="527" t="str">
        <f t="shared" si="23"/>
        <v>100(含)-150</v>
      </c>
      <c r="F102" s="527" t="str">
        <f t="shared" si="23"/>
        <v>150(含)-200</v>
      </c>
      <c r="G102" s="527" t="str">
        <f t="shared" si="23"/>
        <v>200(含)-300</v>
      </c>
      <c r="H102" s="527" t="str">
        <f t="shared" si="23"/>
        <v>300(含)-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v>
      </c>
      <c r="E103" s="544">
        <v>100</v>
      </c>
      <c r="F103" s="544">
        <v>150</v>
      </c>
      <c r="G103" s="544">
        <v>200</v>
      </c>
      <c r="H103" s="544">
        <v>300</v>
      </c>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v>96</v>
      </c>
      <c r="H104" s="485">
        <v>95</v>
      </c>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9" t="s">
        <v>3410</v>
      </c>
      <c r="D105" s="3459" t="s">
        <v>3409</v>
      </c>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9" t="s">
        <v>3412</v>
      </c>
      <c r="D107" s="3459" t="s">
        <v>3411</v>
      </c>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9" t="s">
        <v>3413</v>
      </c>
      <c r="D114" s="3459" t="s">
        <v>3414</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9" t="s">
        <v>3417</v>
      </c>
      <c r="D122" s="3459" t="s">
        <v>3411</v>
      </c>
      <c r="E122" s="3459" t="s">
        <v>3416</v>
      </c>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275.49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731" t="s">
        <v>1775</v>
      </c>
      <c r="Q4" s="3732"/>
      <c r="R4" s="3735" t="s">
        <v>1771</v>
      </c>
      <c r="S4" s="3736"/>
      <c r="T4" s="3735" t="s">
        <v>1772</v>
      </c>
      <c r="U4" s="3736"/>
      <c r="V4" s="3737" t="s">
        <v>1773</v>
      </c>
      <c r="W4" s="3737"/>
      <c r="X4" s="1958"/>
      <c r="Y4" s="3735" t="s">
        <v>1775</v>
      </c>
      <c r="Z4" s="3736"/>
      <c r="AA4" s="3739" t="s">
        <v>1771</v>
      </c>
      <c r="AB4" s="3739" t="s">
        <v>1772</v>
      </c>
      <c r="AC4" s="3728" t="s">
        <v>1773</v>
      </c>
    </row>
    <row r="5" spans="1:29" ht="15">
      <c r="A5" s="358"/>
      <c r="B5" s="359"/>
      <c r="C5" s="3714" t="s">
        <v>1673</v>
      </c>
      <c r="D5" s="3715"/>
      <c r="E5" s="3721" t="s">
        <v>1674</v>
      </c>
      <c r="F5" s="3722"/>
      <c r="G5" s="3714" t="s">
        <v>1675</v>
      </c>
      <c r="H5" s="3715"/>
      <c r="I5" s="3714" t="s">
        <v>1676</v>
      </c>
      <c r="J5" s="3715"/>
      <c r="K5" s="559"/>
      <c r="L5" s="2715"/>
      <c r="M5" s="2716"/>
      <c r="N5" s="2716"/>
      <c r="O5" s="2716"/>
      <c r="P5" s="3733"/>
      <c r="Q5" s="3702"/>
      <c r="R5" s="3707"/>
      <c r="S5" s="3708"/>
      <c r="T5" s="3707"/>
      <c r="U5" s="3708"/>
      <c r="V5" s="3711"/>
      <c r="W5" s="3711"/>
      <c r="X5" s="1355"/>
      <c r="Y5" s="3707"/>
      <c r="Z5" s="3708"/>
      <c r="AA5" s="3693"/>
      <c r="AB5" s="3693"/>
      <c r="AC5" s="3729"/>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34"/>
      <c r="Q6" s="3704"/>
      <c r="R6" s="3707"/>
      <c r="S6" s="3708"/>
      <c r="T6" s="3709"/>
      <c r="U6" s="3710"/>
      <c r="V6" s="3711"/>
      <c r="W6" s="3711"/>
      <c r="X6" s="1355"/>
      <c r="Y6" s="3709"/>
      <c r="Z6" s="3710"/>
      <c r="AA6" s="3694"/>
      <c r="AB6" s="3694"/>
      <c r="AC6" s="3730"/>
    </row>
    <row r="7" spans="1:29" s="108" customFormat="1" ht="15.75" thickBot="1">
      <c r="A7" s="362" t="s">
        <v>1679</v>
      </c>
      <c r="B7" s="363"/>
      <c r="C7" s="364">
        <f>'数据-取费表'!B2</f>
        <v>44930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717"/>
      <c r="R8" s="701" t="s">
        <v>14</v>
      </c>
      <c r="S8" s="702">
        <f t="shared" si="0"/>
        <v>100</v>
      </c>
      <c r="T8" s="701" t="s">
        <v>14</v>
      </c>
      <c r="U8" s="702">
        <f t="shared" si="1"/>
        <v>100</v>
      </c>
      <c r="V8" s="701" t="s">
        <v>14</v>
      </c>
      <c r="W8" s="702">
        <f t="shared" si="2"/>
        <v>100</v>
      </c>
      <c r="X8" s="703"/>
      <c r="Y8" s="3716" t="s">
        <v>1683</v>
      </c>
      <c r="Z8" s="371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1"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1959">
        <f t="shared" si="5"/>
        <v>1</v>
      </c>
    </row>
    <row r="10" spans="1:29" s="378" customFormat="1" ht="27">
      <c r="A10" s="374"/>
      <c r="B10" s="375" t="s">
        <v>1688</v>
      </c>
      <c r="C10" s="3436"/>
      <c r="D10" s="127">
        <v>100</v>
      </c>
      <c r="E10" s="3436"/>
      <c r="F10" s="127">
        <f>SUMIF(66:66,E10,67:67)-SUMIF(66:66,C10,67:67)+100</f>
        <v>100</v>
      </c>
      <c r="G10" s="3437"/>
      <c r="H10" s="127">
        <f>SUMIF(66:66,G10,67:67)-SUMIF(66:66,C10,67:67)+100</f>
        <v>100</v>
      </c>
      <c r="I10" s="3436"/>
      <c r="J10" s="127">
        <f>SUMIF(66:66,I10,67:67)-SUMIF(66:66,C10,67:67)+100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1"/>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1"/>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9" t="s">
        <v>1691</v>
      </c>
      <c r="Q15" s="1352" t="str">
        <f t="shared" si="6"/>
        <v>办公集聚程度</v>
      </c>
      <c r="R15" s="705" t="s">
        <v>14</v>
      </c>
      <c r="S15" s="706">
        <f t="shared" si="0"/>
        <v>100</v>
      </c>
      <c r="T15" s="705" t="s">
        <v>14</v>
      </c>
      <c r="U15" s="706">
        <f t="shared" si="1"/>
        <v>100</v>
      </c>
      <c r="V15" s="705" t="s">
        <v>14</v>
      </c>
      <c r="W15" s="706">
        <f t="shared" si="2"/>
        <v>100</v>
      </c>
      <c r="X15" s="1355"/>
      <c r="Y15" s="368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0"/>
      <c r="Q16" s="1352"/>
      <c r="R16" s="705"/>
      <c r="S16" s="706"/>
      <c r="T16" s="705"/>
      <c r="U16" s="706"/>
      <c r="V16" s="705"/>
      <c r="W16" s="706"/>
      <c r="X16" s="1355"/>
      <c r="Y16" s="368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0"/>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0"/>
      <c r="Q18" s="1352"/>
      <c r="R18" s="705"/>
      <c r="S18" s="706"/>
      <c r="T18" s="705"/>
      <c r="U18" s="706"/>
      <c r="V18" s="705"/>
      <c r="W18" s="706"/>
      <c r="X18" s="1355"/>
      <c r="Y18" s="368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0"/>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0"/>
      <c r="Q20" s="1352"/>
      <c r="R20" s="705"/>
      <c r="S20" s="706"/>
      <c r="T20" s="705"/>
      <c r="U20" s="706"/>
      <c r="V20" s="705"/>
      <c r="W20" s="706"/>
      <c r="X20" s="1355"/>
      <c r="Y20" s="368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0"/>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0"/>
      <c r="Q22" s="1352"/>
      <c r="R22" s="705"/>
      <c r="S22" s="706"/>
      <c r="T22" s="705"/>
      <c r="U22" s="706"/>
      <c r="V22" s="705"/>
      <c r="W22" s="706"/>
      <c r="X22" s="1355"/>
      <c r="Y22" s="368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0"/>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0"/>
      <c r="Q24" s="1352"/>
      <c r="R24" s="705"/>
      <c r="S24" s="706"/>
      <c r="T24" s="705"/>
      <c r="U24" s="706"/>
      <c r="V24" s="705"/>
      <c r="W24" s="706"/>
      <c r="X24" s="1355"/>
      <c r="Y24" s="368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0"/>
      <c r="Q25" s="1352" t="str">
        <f>B25</f>
        <v>毗邻道路的类型与等级</v>
      </c>
      <c r="R25" s="705" t="s">
        <v>14</v>
      </c>
      <c r="S25" s="706">
        <f>F25</f>
        <v>100</v>
      </c>
      <c r="T25" s="705" t="s">
        <v>14</v>
      </c>
      <c r="U25" s="706">
        <f>H25</f>
        <v>100</v>
      </c>
      <c r="V25" s="705" t="s">
        <v>14</v>
      </c>
      <c r="W25" s="706">
        <f>J25</f>
        <v>100</v>
      </c>
      <c r="X25" s="1355"/>
      <c r="Y25" s="368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0"/>
      <c r="Q26" s="1352"/>
      <c r="R26" s="705"/>
      <c r="S26" s="706"/>
      <c r="T26" s="705"/>
      <c r="U26" s="706"/>
      <c r="V26" s="705"/>
      <c r="W26" s="706"/>
      <c r="X26" s="1355"/>
      <c r="Y26" s="368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0"/>
      <c r="Q27" s="1352" t="str">
        <f t="shared" ref="Q27:Q47" si="11">B27</f>
        <v>楼层</v>
      </c>
      <c r="R27" s="705" t="s">
        <v>14</v>
      </c>
      <c r="S27" s="706">
        <f>F27</f>
        <v>100</v>
      </c>
      <c r="T27" s="705" t="s">
        <v>14</v>
      </c>
      <c r="U27" s="706">
        <f>H27</f>
        <v>100</v>
      </c>
      <c r="V27" s="705" t="s">
        <v>14</v>
      </c>
      <c r="W27" s="706">
        <f>J27</f>
        <v>100</v>
      </c>
      <c r="X27" s="1355"/>
      <c r="Y27" s="368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0"/>
      <c r="Q28" s="1343" t="str">
        <f t="shared" si="11"/>
        <v>朝向</v>
      </c>
      <c r="R28" s="701" t="s">
        <v>14</v>
      </c>
      <c r="S28" s="702">
        <f>F28</f>
        <v>100</v>
      </c>
      <c r="T28" s="701" t="s">
        <v>14</v>
      </c>
      <c r="U28" s="702">
        <f>H28</f>
        <v>100</v>
      </c>
      <c r="V28" s="701" t="s">
        <v>14</v>
      </c>
      <c r="W28" s="702">
        <f>J28</f>
        <v>100</v>
      </c>
      <c r="X28" s="703"/>
      <c r="Y28" s="368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0"/>
      <c r="Q29" s="1352">
        <f t="shared" si="11"/>
        <v>111</v>
      </c>
      <c r="R29" s="705" t="s">
        <v>14</v>
      </c>
      <c r="S29" s="706">
        <f t="shared" ref="S29:S47" si="12">F29</f>
        <v>100</v>
      </c>
      <c r="T29" s="705" t="s">
        <v>14</v>
      </c>
      <c r="U29" s="706">
        <f t="shared" ref="U29:U47" si="13">H29</f>
        <v>100</v>
      </c>
      <c r="V29" s="705" t="s">
        <v>14</v>
      </c>
      <c r="W29" s="706">
        <f t="shared" ref="W29:W47" si="14">J29</f>
        <v>100</v>
      </c>
      <c r="X29" s="1355"/>
      <c r="Y29" s="368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0"/>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0"/>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0"/>
      <c r="Q32" s="1352">
        <f t="shared" si="11"/>
        <v>111</v>
      </c>
      <c r="R32" s="705" t="s">
        <v>14</v>
      </c>
      <c r="S32" s="706">
        <f t="shared" si="12"/>
        <v>100</v>
      </c>
      <c r="T32" s="705" t="s">
        <v>14</v>
      </c>
      <c r="U32" s="706">
        <f t="shared" si="13"/>
        <v>100</v>
      </c>
      <c r="V32" s="705" t="s">
        <v>14</v>
      </c>
      <c r="W32" s="706">
        <f t="shared" si="14"/>
        <v>100</v>
      </c>
      <c r="X32" s="1355"/>
      <c r="Y32" s="368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4" t="s">
        <v>1696</v>
      </c>
      <c r="Q33" s="1352" t="str">
        <f t="shared" si="11"/>
        <v>建筑类型</v>
      </c>
      <c r="R33" s="705" t="s">
        <v>14</v>
      </c>
      <c r="S33" s="706">
        <f t="shared" si="12"/>
        <v>100</v>
      </c>
      <c r="T33" s="705" t="s">
        <v>14</v>
      </c>
      <c r="U33" s="706">
        <f t="shared" si="13"/>
        <v>100</v>
      </c>
      <c r="V33" s="705" t="s">
        <v>14</v>
      </c>
      <c r="W33" s="706">
        <f t="shared" si="14"/>
        <v>100</v>
      </c>
      <c r="X33" s="1355"/>
      <c r="Y33" s="368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5"/>
      <c r="Q34" s="707" t="str">
        <f t="shared" si="11"/>
        <v>项目建筑规模</v>
      </c>
      <c r="R34" s="708" t="s">
        <v>14</v>
      </c>
      <c r="S34" s="709" t="e">
        <f t="shared" si="12"/>
        <v>#N/A</v>
      </c>
      <c r="T34" s="708" t="s">
        <v>14</v>
      </c>
      <c r="U34" s="709" t="e">
        <f t="shared" si="13"/>
        <v>#N/A</v>
      </c>
      <c r="V34" s="708" t="s">
        <v>14</v>
      </c>
      <c r="W34" s="709" t="e">
        <f t="shared" si="14"/>
        <v>#N/A</v>
      </c>
      <c r="X34" s="710"/>
      <c r="Y34" s="368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5"/>
      <c r="Q35" s="1352" t="str">
        <f t="shared" si="11"/>
        <v>建筑结构</v>
      </c>
      <c r="R35" s="705" t="s">
        <v>14</v>
      </c>
      <c r="S35" s="706">
        <f t="shared" si="12"/>
        <v>100</v>
      </c>
      <c r="T35" s="705" t="s">
        <v>14</v>
      </c>
      <c r="U35" s="706">
        <f t="shared" si="13"/>
        <v>100</v>
      </c>
      <c r="V35" s="705" t="s">
        <v>14</v>
      </c>
      <c r="W35" s="706">
        <f t="shared" si="14"/>
        <v>100</v>
      </c>
      <c r="X35" s="1355"/>
      <c r="Y35" s="368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5"/>
      <c r="Q36" s="1352" t="str">
        <f t="shared" si="11"/>
        <v>公共部分装修</v>
      </c>
      <c r="R36" s="705" t="s">
        <v>14</v>
      </c>
      <c r="S36" s="706">
        <f t="shared" si="12"/>
        <v>100</v>
      </c>
      <c r="T36" s="705" t="s">
        <v>14</v>
      </c>
      <c r="U36" s="706">
        <f t="shared" si="13"/>
        <v>100</v>
      </c>
      <c r="V36" s="705" t="s">
        <v>14</v>
      </c>
      <c r="W36" s="706">
        <f t="shared" si="14"/>
        <v>100</v>
      </c>
      <c r="X36" s="1355"/>
      <c r="Y36" s="368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5"/>
      <c r="Q37" s="1352" t="str">
        <f t="shared" si="11"/>
        <v>成新度</v>
      </c>
      <c r="R37" s="705" t="s">
        <v>14</v>
      </c>
      <c r="S37" s="706" t="e">
        <f t="shared" si="12"/>
        <v>#N/A</v>
      </c>
      <c r="T37" s="705" t="s">
        <v>14</v>
      </c>
      <c r="U37" s="706" t="e">
        <f t="shared" si="13"/>
        <v>#N/A</v>
      </c>
      <c r="V37" s="705" t="s">
        <v>14</v>
      </c>
      <c r="W37" s="706" t="e">
        <f t="shared" si="14"/>
        <v>#N/A</v>
      </c>
      <c r="X37" s="1355"/>
      <c r="Y37" s="368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5"/>
      <c r="Q38" s="1343" t="str">
        <f t="shared" si="11"/>
        <v>写字楼等级</v>
      </c>
      <c r="R38" s="701" t="s">
        <v>14</v>
      </c>
      <c r="S38" s="702">
        <f t="shared" si="12"/>
        <v>100</v>
      </c>
      <c r="T38" s="701" t="s">
        <v>14</v>
      </c>
      <c r="U38" s="702">
        <f t="shared" si="13"/>
        <v>100</v>
      </c>
      <c r="V38" s="701" t="s">
        <v>14</v>
      </c>
      <c r="W38" s="702">
        <f t="shared" si="14"/>
        <v>100</v>
      </c>
      <c r="X38" s="703"/>
      <c r="Y38" s="368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5" t="s">
        <v>1696</v>
      </c>
      <c r="Q39" s="1352" t="str">
        <f t="shared" si="11"/>
        <v>物业管理</v>
      </c>
      <c r="R39" s="705" t="s">
        <v>14</v>
      </c>
      <c r="S39" s="706">
        <f t="shared" si="12"/>
        <v>100</v>
      </c>
      <c r="T39" s="705" t="s">
        <v>14</v>
      </c>
      <c r="U39" s="706">
        <f t="shared" si="13"/>
        <v>100</v>
      </c>
      <c r="V39" s="705" t="s">
        <v>14</v>
      </c>
      <c r="W39" s="706">
        <f t="shared" si="14"/>
        <v>100</v>
      </c>
      <c r="X39" s="1355"/>
      <c r="Y39" s="368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5"/>
      <c r="Q40" s="1352" t="str">
        <f t="shared" si="11"/>
        <v>市政基础设施</v>
      </c>
      <c r="R40" s="705" t="s">
        <v>14</v>
      </c>
      <c r="S40" s="706">
        <f t="shared" si="12"/>
        <v>100</v>
      </c>
      <c r="T40" s="705" t="s">
        <v>14</v>
      </c>
      <c r="U40" s="706">
        <f t="shared" si="13"/>
        <v>100</v>
      </c>
      <c r="V40" s="705" t="s">
        <v>14</v>
      </c>
      <c r="W40" s="706">
        <f t="shared" si="14"/>
        <v>100</v>
      </c>
      <c r="X40" s="1355"/>
      <c r="Y40" s="368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5"/>
      <c r="Q41" s="1352" t="str">
        <f t="shared" si="11"/>
        <v>层高</v>
      </c>
      <c r="R41" s="705" t="s">
        <v>14</v>
      </c>
      <c r="S41" s="706">
        <f t="shared" si="12"/>
        <v>100</v>
      </c>
      <c r="T41" s="705" t="s">
        <v>14</v>
      </c>
      <c r="U41" s="706">
        <f t="shared" si="13"/>
        <v>100</v>
      </c>
      <c r="V41" s="705" t="s">
        <v>14</v>
      </c>
      <c r="W41" s="706">
        <f t="shared" si="14"/>
        <v>100</v>
      </c>
      <c r="X41" s="1355"/>
      <c r="Y41" s="368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5"/>
      <c r="Q42" s="707" t="str">
        <f t="shared" si="11"/>
        <v>单套建筑面积</v>
      </c>
      <c r="R42" s="708" t="s">
        <v>14</v>
      </c>
      <c r="S42" s="709">
        <f t="shared" si="12"/>
        <v>100</v>
      </c>
      <c r="T42" s="708" t="s">
        <v>14</v>
      </c>
      <c r="U42" s="709">
        <f t="shared" si="13"/>
        <v>100</v>
      </c>
      <c r="V42" s="708" t="s">
        <v>14</v>
      </c>
      <c r="W42" s="709">
        <f t="shared" si="14"/>
        <v>100</v>
      </c>
      <c r="X42" s="710"/>
      <c r="Y42" s="368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5"/>
      <c r="Q43" s="1352" t="str">
        <f t="shared" si="11"/>
        <v>内部装修</v>
      </c>
      <c r="R43" s="705" t="s">
        <v>14</v>
      </c>
      <c r="S43" s="706">
        <f t="shared" si="12"/>
        <v>100</v>
      </c>
      <c r="T43" s="705" t="s">
        <v>14</v>
      </c>
      <c r="U43" s="706">
        <f t="shared" si="13"/>
        <v>100</v>
      </c>
      <c r="V43" s="705" t="s">
        <v>14</v>
      </c>
      <c r="W43" s="706">
        <f t="shared" si="14"/>
        <v>100</v>
      </c>
      <c r="X43" s="1355"/>
      <c r="Y43" s="368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5"/>
      <c r="Q44" s="1352" t="str">
        <f t="shared" si="11"/>
        <v>内部装修维护情况</v>
      </c>
      <c r="R44" s="705" t="s">
        <v>14</v>
      </c>
      <c r="S44" s="706">
        <f t="shared" si="12"/>
        <v>100</v>
      </c>
      <c r="T44" s="705" t="s">
        <v>14</v>
      </c>
      <c r="U44" s="706">
        <f t="shared" si="13"/>
        <v>100</v>
      </c>
      <c r="V44" s="705" t="s">
        <v>14</v>
      </c>
      <c r="W44" s="706">
        <f t="shared" si="14"/>
        <v>100</v>
      </c>
      <c r="X44" s="1355"/>
      <c r="Y44" s="368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5"/>
      <c r="Q45" s="1343">
        <f t="shared" si="11"/>
        <v>111</v>
      </c>
      <c r="R45" s="701" t="s">
        <v>14</v>
      </c>
      <c r="S45" s="702">
        <f t="shared" si="12"/>
        <v>100</v>
      </c>
      <c r="T45" s="701" t="s">
        <v>14</v>
      </c>
      <c r="U45" s="702">
        <f t="shared" si="13"/>
        <v>100</v>
      </c>
      <c r="V45" s="701" t="s">
        <v>14</v>
      </c>
      <c r="W45" s="702">
        <f t="shared" si="14"/>
        <v>100</v>
      </c>
      <c r="X45" s="703"/>
      <c r="Y45" s="368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6"/>
      <c r="Q47" s="1352">
        <f t="shared" si="11"/>
        <v>111</v>
      </c>
      <c r="R47" s="705" t="s">
        <v>14</v>
      </c>
      <c r="S47" s="706">
        <f t="shared" si="12"/>
        <v>100</v>
      </c>
      <c r="T47" s="705" t="s">
        <v>14</v>
      </c>
      <c r="U47" s="706">
        <f t="shared" si="13"/>
        <v>100</v>
      </c>
      <c r="V47" s="705" t="s">
        <v>14</v>
      </c>
      <c r="W47" s="706">
        <f t="shared" si="14"/>
        <v>100</v>
      </c>
      <c r="X47" s="1355"/>
      <c r="Y47" s="368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1" t="str">
        <f>A48</f>
        <v>成交单价（元/平方米）</v>
      </c>
      <c r="Q48" s="3680"/>
      <c r="R48" s="3681">
        <f>E48</f>
        <v>0</v>
      </c>
      <c r="S48" s="3681"/>
      <c r="T48" s="3681">
        <f>G48</f>
        <v>0</v>
      </c>
      <c r="U48" s="3681"/>
      <c r="V48" s="3681">
        <f>I48</f>
        <v>0</v>
      </c>
      <c r="W48" s="368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1" t="str">
        <f>A49</f>
        <v>比较价值（元/平方米）</v>
      </c>
      <c r="Q49" s="3680"/>
      <c r="R49" s="3681" t="e">
        <f>IF(F1="售价",ROUND(PRODUCT(R48,AA7:AA47),0),ROUND(PRODUCT(R48,AA7:AA47),1))</f>
        <v>#DIV/0!</v>
      </c>
      <c r="S49" s="3681"/>
      <c r="T49" s="3681" t="e">
        <f>IF(F1="售价",ROUND(PRODUCT(T48,AB7:AB47),0),ROUND(PRODUCT(T48,AB7:AB47),1))</f>
        <v>#DIV/0!</v>
      </c>
      <c r="U49" s="3681"/>
      <c r="V49" s="3681" t="e">
        <f>IF(F1="售价",ROUND(PRODUCT(V48,AC7:AC47),0),ROUND(PRODUCT(V48,AC7:AC47),1))</f>
        <v>#DIV/0!</v>
      </c>
      <c r="W49" s="368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275.49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913"/>
      <c r="M4" s="914"/>
      <c r="N4" s="914"/>
      <c r="O4" s="914"/>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913"/>
      <c r="M5" s="914"/>
      <c r="N5" s="914"/>
      <c r="O5" s="914"/>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913"/>
      <c r="M6" s="914"/>
      <c r="N6" s="914"/>
      <c r="O6" s="914"/>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44930</v>
      </c>
      <c r="D7" s="365">
        <v>100</v>
      </c>
      <c r="E7" s="366"/>
      <c r="F7" s="367">
        <f>SUMIF(52:52,YEAR(E7)&amp;"-"&amp;MONTH(E7),53:53)</f>
        <v>0</v>
      </c>
      <c r="G7" s="366"/>
      <c r="H7" s="365">
        <f>SUMIF(52:52,YEAR(G7)&amp;"-"&amp;MONTH(G7),53:53)</f>
        <v>0</v>
      </c>
      <c r="I7" s="366"/>
      <c r="J7" s="365">
        <f>SUMIF(52:52,YEAR(I7)&amp;"-"&amp;MONTH(I7),53:53)</f>
        <v>0</v>
      </c>
      <c r="K7" s="560"/>
      <c r="L7" s="915"/>
      <c r="M7" s="916"/>
      <c r="N7" s="916"/>
      <c r="O7" s="916"/>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6" t="s">
        <v>1683</v>
      </c>
      <c r="Q8" s="3717"/>
      <c r="R8" s="701" t="s">
        <v>14</v>
      </c>
      <c r="S8" s="702">
        <f t="shared" si="0"/>
        <v>100</v>
      </c>
      <c r="T8" s="701" t="s">
        <v>14</v>
      </c>
      <c r="U8" s="702">
        <f t="shared" si="1"/>
        <v>100</v>
      </c>
      <c r="V8" s="701" t="s">
        <v>14</v>
      </c>
      <c r="W8" s="702">
        <f t="shared" si="2"/>
        <v>100</v>
      </c>
      <c r="X8" s="703"/>
      <c r="Y8" s="3716" t="s">
        <v>1683</v>
      </c>
      <c r="Z8" s="371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0"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436"/>
      <c r="D10" s="127">
        <v>100</v>
      </c>
      <c r="E10" s="3436"/>
      <c r="F10" s="127">
        <f>SUMIF(59:59,E10,60:60)-SUMIF(59:59,C10,60:60)+100</f>
        <v>100</v>
      </c>
      <c r="G10" s="3437"/>
      <c r="H10" s="127">
        <f>SUMIF(59:59,G10,60:60)-SUMIF(59:59,C10,60:60)+100</f>
        <v>100</v>
      </c>
      <c r="I10" s="3436"/>
      <c r="J10" s="127">
        <f>SUMIF(59:59,I10,60:60)-SUMIF(59:59,C10,60:60)+100</f>
        <v>100</v>
      </c>
      <c r="K10" s="560"/>
      <c r="L10" s="918"/>
      <c r="M10" s="919"/>
      <c r="N10" s="919"/>
      <c r="O10" s="920"/>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0"/>
      <c r="Q11" s="1343" t="str">
        <f t="shared" si="6"/>
        <v>容积率</v>
      </c>
      <c r="R11" s="701" t="s">
        <v>14</v>
      </c>
      <c r="S11" s="702">
        <f t="shared" si="0"/>
        <v>100</v>
      </c>
      <c r="T11" s="701" t="s">
        <v>14</v>
      </c>
      <c r="U11" s="702">
        <f t="shared" si="1"/>
        <v>100</v>
      </c>
      <c r="V11" s="701" t="s">
        <v>14</v>
      </c>
      <c r="W11" s="702">
        <f t="shared" si="2"/>
        <v>100</v>
      </c>
      <c r="X11" s="703"/>
      <c r="Y11" s="355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3"/>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3"/>
      <c r="Q18" s="1352"/>
      <c r="R18" s="705"/>
      <c r="S18" s="706"/>
      <c r="T18" s="705"/>
      <c r="U18" s="706"/>
      <c r="V18" s="705"/>
      <c r="W18" s="706"/>
      <c r="X18" s="1355"/>
      <c r="Y18" s="368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3"/>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3"/>
      <c r="Q20" s="1352"/>
      <c r="R20" s="705"/>
      <c r="S20" s="706"/>
      <c r="T20" s="705"/>
      <c r="U20" s="706"/>
      <c r="V20" s="705"/>
      <c r="W20" s="706"/>
      <c r="X20" s="1355"/>
      <c r="Y20" s="368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3"/>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3"/>
      <c r="Q22" s="1352"/>
      <c r="R22" s="705"/>
      <c r="S22" s="706"/>
      <c r="T22" s="705"/>
      <c r="U22" s="706"/>
      <c r="V22" s="705"/>
      <c r="W22" s="706"/>
      <c r="X22" s="1355"/>
      <c r="Y22" s="368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3"/>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3"/>
      <c r="Q24" s="1352"/>
      <c r="R24" s="705"/>
      <c r="S24" s="706"/>
      <c r="T24" s="705"/>
      <c r="U24" s="706"/>
      <c r="V24" s="705"/>
      <c r="W24" s="706"/>
      <c r="X24" s="1355"/>
      <c r="Y24" s="368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3"/>
      <c r="Q25" s="1352">
        <f>B25</f>
        <v>111</v>
      </c>
      <c r="R25" s="705" t="s">
        <v>14</v>
      </c>
      <c r="S25" s="706">
        <f>F25</f>
        <v>100</v>
      </c>
      <c r="T25" s="705" t="s">
        <v>14</v>
      </c>
      <c r="U25" s="706">
        <f>H25</f>
        <v>100</v>
      </c>
      <c r="V25" s="705" t="s">
        <v>14</v>
      </c>
      <c r="W25" s="706">
        <f>J25</f>
        <v>100</v>
      </c>
      <c r="X25" s="1355"/>
      <c r="Y25" s="368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3"/>
      <c r="Q26" s="1352">
        <f t="shared" ref="Q26:Q40" si="11">B26</f>
        <v>111</v>
      </c>
      <c r="R26" s="705" t="s">
        <v>14</v>
      </c>
      <c r="S26" s="706">
        <f>F26</f>
        <v>100</v>
      </c>
      <c r="T26" s="705" t="s">
        <v>14</v>
      </c>
      <c r="U26" s="706">
        <f>H26</f>
        <v>100</v>
      </c>
      <c r="V26" s="705" t="s">
        <v>14</v>
      </c>
      <c r="W26" s="706">
        <f>J26</f>
        <v>100</v>
      </c>
      <c r="X26" s="1355"/>
      <c r="Y26" s="368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3"/>
      <c r="Q27" s="1343">
        <f t="shared" si="11"/>
        <v>111</v>
      </c>
      <c r="R27" s="701" t="s">
        <v>14</v>
      </c>
      <c r="S27" s="702">
        <f>F27</f>
        <v>100</v>
      </c>
      <c r="T27" s="701" t="s">
        <v>14</v>
      </c>
      <c r="U27" s="702">
        <f>H27</f>
        <v>100</v>
      </c>
      <c r="V27" s="701" t="s">
        <v>14</v>
      </c>
      <c r="W27" s="702">
        <f>J27</f>
        <v>100</v>
      </c>
      <c r="X27" s="703"/>
      <c r="Y27" s="368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3"/>
      <c r="Q28" s="1352">
        <f t="shared" si="11"/>
        <v>111</v>
      </c>
      <c r="R28" s="705" t="s">
        <v>14</v>
      </c>
      <c r="S28" s="706">
        <f t="shared" ref="S28:S40" si="12">F28</f>
        <v>100</v>
      </c>
      <c r="T28" s="705" t="s">
        <v>14</v>
      </c>
      <c r="U28" s="706">
        <f t="shared" ref="U28:U40" si="13">H28</f>
        <v>100</v>
      </c>
      <c r="V28" s="705" t="s">
        <v>14</v>
      </c>
      <c r="W28" s="706">
        <f t="shared" ref="W28:W40" si="14">J28</f>
        <v>100</v>
      </c>
      <c r="X28" s="1355"/>
      <c r="Y28" s="368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68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7"/>
      <c r="Q30" s="707" t="str">
        <f t="shared" si="11"/>
        <v>项目建筑规模</v>
      </c>
      <c r="R30" s="708" t="s">
        <v>14</v>
      </c>
      <c r="S30" s="709" t="e">
        <f t="shared" si="12"/>
        <v>#N/A</v>
      </c>
      <c r="T30" s="708" t="s">
        <v>14</v>
      </c>
      <c r="U30" s="709" t="e">
        <f t="shared" si="13"/>
        <v>#N/A</v>
      </c>
      <c r="V30" s="708" t="s">
        <v>14</v>
      </c>
      <c r="W30" s="709" t="e">
        <f t="shared" si="14"/>
        <v>#N/A</v>
      </c>
      <c r="X30" s="710"/>
      <c r="Y30" s="368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7"/>
      <c r="Q31" s="1352" t="str">
        <f t="shared" si="11"/>
        <v>建筑结构</v>
      </c>
      <c r="R31" s="705" t="s">
        <v>14</v>
      </c>
      <c r="S31" s="706">
        <f t="shared" si="12"/>
        <v>100</v>
      </c>
      <c r="T31" s="705" t="s">
        <v>14</v>
      </c>
      <c r="U31" s="706">
        <f t="shared" si="13"/>
        <v>100</v>
      </c>
      <c r="V31" s="705" t="s">
        <v>14</v>
      </c>
      <c r="W31" s="706">
        <f t="shared" si="14"/>
        <v>100</v>
      </c>
      <c r="X31" s="1355"/>
      <c r="Y31" s="368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7"/>
      <c r="Q32" s="1352" t="str">
        <f t="shared" si="11"/>
        <v>公共部分装修</v>
      </c>
      <c r="R32" s="705" t="s">
        <v>14</v>
      </c>
      <c r="S32" s="706">
        <f t="shared" si="12"/>
        <v>100</v>
      </c>
      <c r="T32" s="705" t="s">
        <v>14</v>
      </c>
      <c r="U32" s="706">
        <f t="shared" si="13"/>
        <v>100</v>
      </c>
      <c r="V32" s="705" t="s">
        <v>14</v>
      </c>
      <c r="W32" s="706">
        <f t="shared" si="14"/>
        <v>100</v>
      </c>
      <c r="X32" s="1355"/>
      <c r="Y32" s="368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7"/>
      <c r="Q33" s="1352" t="str">
        <f t="shared" si="11"/>
        <v>成新度</v>
      </c>
      <c r="R33" s="705" t="s">
        <v>14</v>
      </c>
      <c r="S33" s="706" t="e">
        <f t="shared" si="12"/>
        <v>#N/A</v>
      </c>
      <c r="T33" s="705" t="s">
        <v>14</v>
      </c>
      <c r="U33" s="706" t="e">
        <f t="shared" si="13"/>
        <v>#N/A</v>
      </c>
      <c r="V33" s="705" t="s">
        <v>14</v>
      </c>
      <c r="W33" s="706" t="e">
        <f t="shared" si="14"/>
        <v>#N/A</v>
      </c>
      <c r="X33" s="1355"/>
      <c r="Y33" s="368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7"/>
      <c r="Q34" s="1343" t="str">
        <f t="shared" si="11"/>
        <v>物业管理</v>
      </c>
      <c r="R34" s="701" t="s">
        <v>14</v>
      </c>
      <c r="S34" s="702">
        <f t="shared" si="12"/>
        <v>100</v>
      </c>
      <c r="T34" s="701" t="s">
        <v>14</v>
      </c>
      <c r="U34" s="702">
        <f t="shared" si="13"/>
        <v>100</v>
      </c>
      <c r="V34" s="701" t="s">
        <v>14</v>
      </c>
      <c r="W34" s="702">
        <f t="shared" si="14"/>
        <v>100</v>
      </c>
      <c r="X34" s="703"/>
      <c r="Y34" s="368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7" t="s">
        <v>1696</v>
      </c>
      <c r="Q35" s="1352" t="str">
        <f t="shared" si="11"/>
        <v>市政基础设施</v>
      </c>
      <c r="R35" s="705" t="s">
        <v>14</v>
      </c>
      <c r="S35" s="706">
        <f t="shared" si="12"/>
        <v>100</v>
      </c>
      <c r="T35" s="705" t="s">
        <v>14</v>
      </c>
      <c r="U35" s="706">
        <f t="shared" si="13"/>
        <v>100</v>
      </c>
      <c r="V35" s="705" t="s">
        <v>14</v>
      </c>
      <c r="W35" s="706">
        <f t="shared" si="14"/>
        <v>100</v>
      </c>
      <c r="X35" s="1355"/>
      <c r="Y35" s="368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7"/>
      <c r="Q36" s="1352" t="str">
        <f t="shared" si="11"/>
        <v>内部装修</v>
      </c>
      <c r="R36" s="705" t="s">
        <v>14</v>
      </c>
      <c r="S36" s="706">
        <f t="shared" si="12"/>
        <v>100</v>
      </c>
      <c r="T36" s="705" t="s">
        <v>14</v>
      </c>
      <c r="U36" s="706">
        <f t="shared" si="13"/>
        <v>100</v>
      </c>
      <c r="V36" s="705" t="s">
        <v>14</v>
      </c>
      <c r="W36" s="706">
        <f t="shared" si="14"/>
        <v>100</v>
      </c>
      <c r="X36" s="1355"/>
      <c r="Y36" s="368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7"/>
      <c r="Q37" s="1352" t="str">
        <f t="shared" si="11"/>
        <v>内部装修状况</v>
      </c>
      <c r="R37" s="705" t="s">
        <v>14</v>
      </c>
      <c r="S37" s="706">
        <f t="shared" si="12"/>
        <v>100</v>
      </c>
      <c r="T37" s="705" t="s">
        <v>14</v>
      </c>
      <c r="U37" s="706">
        <f t="shared" si="13"/>
        <v>100</v>
      </c>
      <c r="V37" s="705" t="s">
        <v>14</v>
      </c>
      <c r="W37" s="706">
        <f t="shared" si="14"/>
        <v>100</v>
      </c>
      <c r="X37" s="1355"/>
      <c r="Y37" s="368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7"/>
      <c r="Q38" s="707">
        <f t="shared" si="11"/>
        <v>111</v>
      </c>
      <c r="R38" s="708" t="s">
        <v>14</v>
      </c>
      <c r="S38" s="709">
        <f t="shared" si="12"/>
        <v>100</v>
      </c>
      <c r="T38" s="708" t="s">
        <v>14</v>
      </c>
      <c r="U38" s="709">
        <f t="shared" si="13"/>
        <v>100</v>
      </c>
      <c r="V38" s="708" t="s">
        <v>14</v>
      </c>
      <c r="W38" s="709">
        <f t="shared" si="14"/>
        <v>100</v>
      </c>
      <c r="X38" s="710"/>
      <c r="Y38" s="368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7"/>
      <c r="Q39" s="1352">
        <f t="shared" si="11"/>
        <v>111</v>
      </c>
      <c r="R39" s="705" t="s">
        <v>14</v>
      </c>
      <c r="S39" s="706">
        <f t="shared" si="12"/>
        <v>100</v>
      </c>
      <c r="T39" s="705" t="s">
        <v>14</v>
      </c>
      <c r="U39" s="706">
        <f t="shared" si="13"/>
        <v>100</v>
      </c>
      <c r="V39" s="705" t="s">
        <v>14</v>
      </c>
      <c r="W39" s="706">
        <f t="shared" si="14"/>
        <v>100</v>
      </c>
      <c r="X39" s="1355"/>
      <c r="Y39" s="368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8"/>
      <c r="Q40" s="1352">
        <f t="shared" si="11"/>
        <v>111</v>
      </c>
      <c r="R40" s="705" t="s">
        <v>14</v>
      </c>
      <c r="S40" s="706">
        <f t="shared" si="12"/>
        <v>100</v>
      </c>
      <c r="T40" s="705" t="s">
        <v>14</v>
      </c>
      <c r="U40" s="706">
        <f t="shared" si="13"/>
        <v>100</v>
      </c>
      <c r="V40" s="705" t="s">
        <v>14</v>
      </c>
      <c r="W40" s="706">
        <f t="shared" si="14"/>
        <v>100</v>
      </c>
      <c r="X40" s="1355"/>
      <c r="Y40" s="368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0" t="str">
        <f>A41</f>
        <v>成交单价（元/平方米）</v>
      </c>
      <c r="Q41" s="3680"/>
      <c r="R41" s="3681">
        <f>E41</f>
        <v>0</v>
      </c>
      <c r="S41" s="3681"/>
      <c r="T41" s="3681">
        <f>G41</f>
        <v>0</v>
      </c>
      <c r="U41" s="3681"/>
      <c r="V41" s="3681">
        <f>I41</f>
        <v>0</v>
      </c>
      <c r="W41" s="368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0" t="str">
        <f>A42</f>
        <v>比较价值（元/平方米）</v>
      </c>
      <c r="Q42" s="3680"/>
      <c r="R42" s="3681" t="e">
        <f>IF(F1="售价",ROUND(PRODUCT(R41,AA7:AA40),0),ROUND(PRODUCT(R41,AA7:AA40),1))</f>
        <v>#DIV/0!</v>
      </c>
      <c r="S42" s="3681"/>
      <c r="T42" s="3681" t="e">
        <f>IF(F1="售价",ROUND(PRODUCT(T41,AB7:AB40),0),ROUND(PRODUCT(T41,AB7:AB40),1))</f>
        <v>#DIV/0!</v>
      </c>
      <c r="U42" s="3681"/>
      <c r="V42" s="3681" t="e">
        <f>IF(F1="售价",ROUND(PRODUCT(V41,AC7:AC40),0),ROUND(PRODUCT(V41,AC7:AC40),1))</f>
        <v>#DIV/0!</v>
      </c>
      <c r="W42" s="368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7" t="str">
        <f>A43</f>
        <v>估价对象XX用房的比较价值（楼面单价，元/平方米）</v>
      </c>
      <c r="Q43" s="3678"/>
      <c r="R43" s="3679" t="e">
        <f>IF(F1="售价",ROUND(IF(D42="简单平均",AVERAGE(R42:V42),R42*F42+T42*H42+V42*J42),0),ROUND(IF(D42="简单平均",AVERAGE(R42:V42),R42*F42+T42*H42+V42*J42),1))</f>
        <v>#DIV/0!</v>
      </c>
      <c r="S43" s="3679"/>
      <c r="T43" s="3679"/>
      <c r="U43" s="3679"/>
      <c r="V43" s="3679"/>
      <c r="W43" s="367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5"/>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44930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6" t="s">
        <v>1680</v>
      </c>
      <c r="Q7" s="3718"/>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0" t="s">
        <v>1686</v>
      </c>
      <c r="Q9" s="1343"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589"/>
      <c r="B10" s="590" t="s">
        <v>1688</v>
      </c>
      <c r="C10" s="3436"/>
      <c r="D10" s="127">
        <v>100</v>
      </c>
      <c r="E10" s="3436"/>
      <c r="F10" s="127">
        <f>SUMIF(55:55,E10,56:56)-SUMIF(55:55,C10,56:56)+100</f>
        <v>100</v>
      </c>
      <c r="G10" s="3437"/>
      <c r="H10" s="127">
        <f>SUMIF(55:55,G10,56:56)-SUMIF(55:55,C10,56:56)+100</f>
        <v>100</v>
      </c>
      <c r="I10" s="3436"/>
      <c r="J10" s="127">
        <f>SUMIF(55:55,I10,56:56)-SUMIF(55:55,C10,56:56)+100</f>
        <v>100</v>
      </c>
      <c r="K10" s="560"/>
      <c r="L10" s="2719"/>
      <c r="M10" s="2720"/>
      <c r="N10" s="2720"/>
      <c r="O10" s="2720"/>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0"/>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3"/>
      <c r="Q15" s="1352"/>
      <c r="R15" s="705"/>
      <c r="S15" s="706"/>
      <c r="T15" s="705"/>
      <c r="U15" s="706"/>
      <c r="V15" s="705"/>
      <c r="W15" s="706"/>
      <c r="X15" s="1355"/>
      <c r="Y15" s="368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3"/>
      <c r="Q17" s="1352"/>
      <c r="R17" s="705"/>
      <c r="S17" s="706"/>
      <c r="T17" s="705"/>
      <c r="U17" s="706"/>
      <c r="V17" s="705"/>
      <c r="W17" s="706"/>
      <c r="X17" s="1355"/>
      <c r="Y17" s="368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3"/>
      <c r="Q19" s="1352"/>
      <c r="R19" s="705"/>
      <c r="S19" s="706"/>
      <c r="T19" s="705"/>
      <c r="U19" s="706"/>
      <c r="V19" s="705"/>
      <c r="W19" s="706"/>
      <c r="X19" s="1355"/>
      <c r="Y19" s="368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3"/>
      <c r="Q21" s="1352"/>
      <c r="R21" s="705"/>
      <c r="S21" s="706"/>
      <c r="T21" s="705"/>
      <c r="U21" s="706"/>
      <c r="V21" s="705"/>
      <c r="W21" s="706"/>
      <c r="X21" s="1355"/>
      <c r="Y21" s="368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3"/>
      <c r="Q24" s="1352">
        <f t="shared" ref="Q24:Q36"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7"/>
      <c r="Q27" s="707" t="str">
        <f t="shared" si="11"/>
        <v>项目停车位配比</v>
      </c>
      <c r="R27" s="708" t="s">
        <v>14</v>
      </c>
      <c r="S27" s="709">
        <f t="shared" si="12"/>
        <v>100</v>
      </c>
      <c r="T27" s="708" t="s">
        <v>14</v>
      </c>
      <c r="U27" s="709">
        <f t="shared" si="13"/>
        <v>100</v>
      </c>
      <c r="V27" s="708" t="s">
        <v>14</v>
      </c>
      <c r="W27" s="709">
        <f t="shared" si="14"/>
        <v>100</v>
      </c>
      <c r="X27" s="710"/>
      <c r="Y27" s="368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7"/>
      <c r="Q28" s="1352" t="str">
        <f t="shared" si="11"/>
        <v>公共部分装修</v>
      </c>
      <c r="R28" s="705" t="s">
        <v>14</v>
      </c>
      <c r="S28" s="706">
        <f t="shared" si="12"/>
        <v>100</v>
      </c>
      <c r="T28" s="705" t="s">
        <v>14</v>
      </c>
      <c r="U28" s="706">
        <f t="shared" si="13"/>
        <v>100</v>
      </c>
      <c r="V28" s="705" t="s">
        <v>14</v>
      </c>
      <c r="W28" s="706">
        <f t="shared" si="14"/>
        <v>100</v>
      </c>
      <c r="X28" s="1355"/>
      <c r="Y28" s="368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7"/>
      <c r="Q29" s="1352" t="str">
        <f t="shared" si="11"/>
        <v>成新率</v>
      </c>
      <c r="R29" s="705" t="s">
        <v>14</v>
      </c>
      <c r="S29" s="706" t="e">
        <f t="shared" si="12"/>
        <v>#N/A</v>
      </c>
      <c r="T29" s="705" t="s">
        <v>14</v>
      </c>
      <c r="U29" s="706" t="e">
        <f t="shared" si="13"/>
        <v>#N/A</v>
      </c>
      <c r="V29" s="705" t="s">
        <v>14</v>
      </c>
      <c r="W29" s="706" t="e">
        <f t="shared" si="14"/>
        <v>#N/A</v>
      </c>
      <c r="X29" s="1355"/>
      <c r="Y29" s="368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7"/>
      <c r="Q30" s="1352" t="str">
        <f t="shared" si="11"/>
        <v>物业等级</v>
      </c>
      <c r="R30" s="705" t="s">
        <v>14</v>
      </c>
      <c r="S30" s="706">
        <f t="shared" si="12"/>
        <v>100</v>
      </c>
      <c r="T30" s="705" t="s">
        <v>14</v>
      </c>
      <c r="U30" s="706">
        <f t="shared" si="13"/>
        <v>100</v>
      </c>
      <c r="V30" s="705" t="s">
        <v>14</v>
      </c>
      <c r="W30" s="706">
        <f t="shared" si="14"/>
        <v>100</v>
      </c>
      <c r="X30" s="1355"/>
      <c r="Y30" s="368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7"/>
      <c r="Q31" s="1343" t="str">
        <f t="shared" si="11"/>
        <v>停车位面积</v>
      </c>
      <c r="R31" s="701" t="s">
        <v>14</v>
      </c>
      <c r="S31" s="702" t="e">
        <f t="shared" si="12"/>
        <v>#N/A</v>
      </c>
      <c r="T31" s="701" t="s">
        <v>14</v>
      </c>
      <c r="U31" s="702" t="e">
        <f t="shared" si="13"/>
        <v>#N/A</v>
      </c>
      <c r="V31" s="701" t="s">
        <v>14</v>
      </c>
      <c r="W31" s="702" t="e">
        <f t="shared" si="14"/>
        <v>#N/A</v>
      </c>
      <c r="X31" s="703"/>
      <c r="Y31" s="368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7" t="s">
        <v>1696</v>
      </c>
      <c r="Q32" s="1352" t="str">
        <f t="shared" si="11"/>
        <v>车位类型</v>
      </c>
      <c r="R32" s="705" t="s">
        <v>14</v>
      </c>
      <c r="S32" s="706">
        <f t="shared" si="12"/>
        <v>100</v>
      </c>
      <c r="T32" s="705" t="s">
        <v>14</v>
      </c>
      <c r="U32" s="706">
        <f t="shared" si="13"/>
        <v>100</v>
      </c>
      <c r="V32" s="705" t="s">
        <v>14</v>
      </c>
      <c r="W32" s="706">
        <f t="shared" si="14"/>
        <v>100</v>
      </c>
      <c r="X32" s="1355"/>
      <c r="Y32" s="368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7"/>
      <c r="Q33" s="1352" t="str">
        <f t="shared" si="11"/>
        <v>是否直接入户</v>
      </c>
      <c r="R33" s="705" t="s">
        <v>14</v>
      </c>
      <c r="S33" s="706">
        <f t="shared" si="12"/>
        <v>100</v>
      </c>
      <c r="T33" s="705" t="s">
        <v>14</v>
      </c>
      <c r="U33" s="706">
        <f t="shared" si="13"/>
        <v>100</v>
      </c>
      <c r="V33" s="705" t="s">
        <v>14</v>
      </c>
      <c r="W33" s="706">
        <f t="shared" si="14"/>
        <v>100</v>
      </c>
      <c r="X33" s="1355"/>
      <c r="Y33" s="368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7"/>
      <c r="Q35" s="707">
        <f t="shared" si="11"/>
        <v>111</v>
      </c>
      <c r="R35" s="708" t="s">
        <v>14</v>
      </c>
      <c r="S35" s="709">
        <f t="shared" si="12"/>
        <v>100</v>
      </c>
      <c r="T35" s="708" t="s">
        <v>14</v>
      </c>
      <c r="U35" s="709">
        <f t="shared" si="13"/>
        <v>100</v>
      </c>
      <c r="V35" s="708" t="s">
        <v>14</v>
      </c>
      <c r="W35" s="709">
        <f t="shared" si="14"/>
        <v>100</v>
      </c>
      <c r="X35" s="710"/>
      <c r="Y35" s="368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7"/>
      <c r="Q36" s="1352">
        <f t="shared" si="11"/>
        <v>111</v>
      </c>
      <c r="R36" s="705" t="s">
        <v>14</v>
      </c>
      <c r="S36" s="706">
        <f t="shared" si="12"/>
        <v>100</v>
      </c>
      <c r="T36" s="705" t="s">
        <v>14</v>
      </c>
      <c r="U36" s="706">
        <f t="shared" si="13"/>
        <v>100</v>
      </c>
      <c r="V36" s="705" t="s">
        <v>14</v>
      </c>
      <c r="W36" s="706">
        <f t="shared" si="14"/>
        <v>100</v>
      </c>
      <c r="X36" s="1355"/>
      <c r="Y36" s="3687"/>
      <c r="Z36" s="1356">
        <f t="shared" si="15"/>
        <v>111</v>
      </c>
      <c r="AA36" s="1353">
        <f t="shared" si="3"/>
        <v>1</v>
      </c>
      <c r="AB36" s="1353">
        <f t="shared" si="4"/>
        <v>1</v>
      </c>
      <c r="AC36" s="1353">
        <f t="shared" si="5"/>
        <v>1</v>
      </c>
    </row>
    <row r="37" spans="1:29" ht="15">
      <c r="A37" s="430" t="s">
        <v>1844</v>
      </c>
      <c r="B37" s="1973" t="s">
        <v>3363</v>
      </c>
      <c r="C37" s="1154" t="s">
        <v>0</v>
      </c>
      <c r="D37" s="1155"/>
      <c r="E37" s="1156"/>
      <c r="F37" s="1157"/>
      <c r="G37" s="1158"/>
      <c r="H37" s="1159"/>
      <c r="I37" s="1156"/>
      <c r="J37" s="1159"/>
      <c r="K37" s="568"/>
      <c r="L37" s="2724"/>
      <c r="M37" s="2725"/>
      <c r="N37" s="2716"/>
      <c r="O37" s="2725"/>
      <c r="P37" s="3680" t="str">
        <f>A37</f>
        <v>成交单价</v>
      </c>
      <c r="Q37" s="3680"/>
      <c r="R37" s="3681">
        <f>E37</f>
        <v>0</v>
      </c>
      <c r="S37" s="3681"/>
      <c r="T37" s="3681">
        <f>G37</f>
        <v>0</v>
      </c>
      <c r="U37" s="3681"/>
      <c r="V37" s="3681">
        <f>I37</f>
        <v>0</v>
      </c>
      <c r="W37" s="368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0" t="str">
        <f>A38</f>
        <v>比较价值（元/平方米）</v>
      </c>
      <c r="Q38" s="3680"/>
      <c r="R38" s="3681" t="e">
        <f>IF(F1="售价",ROUND(PRODUCT(R37,AA7:AA36),0),ROUND(PRODUCT(R37,AA7:AA36),1))</f>
        <v>#DIV/0!</v>
      </c>
      <c r="S38" s="3681"/>
      <c r="T38" s="3681" t="e">
        <f>IF(F1="售价",ROUND(PRODUCT(T37,AB7:AB36),0),ROUND(PRODUCT(T37,AB7:AB36),1))</f>
        <v>#DIV/0!</v>
      </c>
      <c r="U38" s="3681"/>
      <c r="V38" s="3681" t="e">
        <f>IF(F1="售价",ROUND(PRODUCT(V37,AC7:AC36),0),ROUND(PRODUCT(V37,AC7:AC36),1))</f>
        <v>#DIV/0!</v>
      </c>
      <c r="W38" s="368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7" t="str">
        <f>A39</f>
        <v>估价对象XX用房的比较价值（楼面单价，元/平方米）</v>
      </c>
      <c r="Q39" s="3678"/>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估价对象为北京市房地产，为所有。根据《国有土地使用证》[]，估价对象（分摊）出让国有建设用地使用权面积为0平方米，建筑面积为275.49平方米。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估价对象为北京市房地产,属开发建设的，该项目尚在开发建设中。根据《国有土地使用证》[]，估价对象（分摊）出让国有建设用地使用权面积为0平方米，规划建筑面积为275.49平方米。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44930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6" t="s">
        <v>1680</v>
      </c>
      <c r="Q7" s="3718"/>
      <c r="R7" s="701" t="s">
        <v>14</v>
      </c>
      <c r="S7" s="702">
        <f t="shared" ref="S7:S14" si="0">F7</f>
        <v>0</v>
      </c>
      <c r="T7" s="701" t="s">
        <v>14</v>
      </c>
      <c r="U7" s="702">
        <f t="shared" ref="U7:U14" si="1">H7</f>
        <v>0</v>
      </c>
      <c r="V7" s="701" t="s">
        <v>14</v>
      </c>
      <c r="W7" s="702">
        <f t="shared" ref="W7:W14" si="2">J7</f>
        <v>0</v>
      </c>
      <c r="X7" s="703"/>
      <c r="Y7" s="3716" t="s">
        <v>1680</v>
      </c>
      <c r="Z7" s="371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6" t="s">
        <v>1683</v>
      </c>
      <c r="Q8" s="3717"/>
      <c r="R8" s="701" t="s">
        <v>14</v>
      </c>
      <c r="S8" s="702">
        <f t="shared" si="0"/>
        <v>100</v>
      </c>
      <c r="T8" s="701" t="s">
        <v>14</v>
      </c>
      <c r="U8" s="702">
        <f t="shared" si="1"/>
        <v>100</v>
      </c>
      <c r="V8" s="701" t="s">
        <v>14</v>
      </c>
      <c r="W8" s="702">
        <f t="shared" si="2"/>
        <v>100</v>
      </c>
      <c r="X8" s="703"/>
      <c r="Y8" s="3716" t="s">
        <v>1683</v>
      </c>
      <c r="Z8" s="371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0" t="s">
        <v>1686</v>
      </c>
      <c r="Q9" s="1343" t="str">
        <f t="shared" ref="Q9:Q14" si="6">B9</f>
        <v>用途</v>
      </c>
      <c r="R9" s="701" t="s">
        <v>14</v>
      </c>
      <c r="S9" s="702">
        <f t="shared" si="0"/>
        <v>100</v>
      </c>
      <c r="T9" s="701" t="s">
        <v>14</v>
      </c>
      <c r="U9" s="702">
        <f t="shared" si="1"/>
        <v>100</v>
      </c>
      <c r="V9" s="701" t="s">
        <v>14</v>
      </c>
      <c r="W9" s="702">
        <f t="shared" si="2"/>
        <v>100</v>
      </c>
      <c r="X9" s="703"/>
      <c r="Y9" s="3555" t="s">
        <v>1687</v>
      </c>
      <c r="Z9" s="52" t="str">
        <f t="shared" ref="Z9:Z14" si="7">Q9</f>
        <v>用途</v>
      </c>
      <c r="AA9" s="704">
        <f t="shared" si="3"/>
        <v>1</v>
      </c>
      <c r="AB9" s="704">
        <f t="shared" si="4"/>
        <v>1</v>
      </c>
      <c r="AC9" s="704">
        <f t="shared" si="5"/>
        <v>1</v>
      </c>
    </row>
    <row r="10" spans="1:29" s="378" customFormat="1" ht="27">
      <c r="A10" s="374"/>
      <c r="B10" s="375" t="s">
        <v>1688</v>
      </c>
      <c r="C10" s="3436"/>
      <c r="D10" s="127">
        <v>100</v>
      </c>
      <c r="E10" s="3436"/>
      <c r="F10" s="376">
        <f>SUMIF(53:53,E10,54:54)-SUMIF(53:53,C10,54:54)+100</f>
        <v>100</v>
      </c>
      <c r="G10" s="3436"/>
      <c r="H10" s="127">
        <f>SUMIF(53:53,G10,54:54)-SUMIF(53:53,C10,54:54)+100</f>
        <v>100</v>
      </c>
      <c r="I10" s="3436"/>
      <c r="J10" s="127">
        <f>SUMIF(53:53,I10,54:54)-SUMIF(53:53,C10,54:54)+100</f>
        <v>100</v>
      </c>
      <c r="K10" s="560"/>
      <c r="L10" s="2719"/>
      <c r="M10" s="2720"/>
      <c r="N10" s="2720"/>
      <c r="O10" s="2773"/>
      <c r="P10" s="3680"/>
      <c r="Q10" s="1343" t="str">
        <f t="shared" si="6"/>
        <v>土地使用年限（年）</v>
      </c>
      <c r="R10" s="701" t="s">
        <v>14</v>
      </c>
      <c r="S10" s="702">
        <f t="shared" si="0"/>
        <v>100</v>
      </c>
      <c r="T10" s="701" t="s">
        <v>14</v>
      </c>
      <c r="U10" s="702">
        <f t="shared" si="1"/>
        <v>100</v>
      </c>
      <c r="V10" s="701" t="s">
        <v>14</v>
      </c>
      <c r="W10" s="702">
        <f t="shared" si="2"/>
        <v>100</v>
      </c>
      <c r="X10" s="703"/>
      <c r="Y10" s="355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0"/>
      <c r="Q11" s="1343">
        <f t="shared" si="6"/>
        <v>111</v>
      </c>
      <c r="R11" s="701" t="s">
        <v>14</v>
      </c>
      <c r="S11" s="702">
        <f t="shared" si="0"/>
        <v>100</v>
      </c>
      <c r="T11" s="701" t="s">
        <v>14</v>
      </c>
      <c r="U11" s="702">
        <f t="shared" si="1"/>
        <v>100</v>
      </c>
      <c r="V11" s="701" t="s">
        <v>14</v>
      </c>
      <c r="W11" s="702">
        <f t="shared" si="2"/>
        <v>100</v>
      </c>
      <c r="X11" s="703"/>
      <c r="Y11" s="355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3"/>
      <c r="Q15" s="1352"/>
      <c r="R15" s="705"/>
      <c r="S15" s="706"/>
      <c r="T15" s="705"/>
      <c r="U15" s="706"/>
      <c r="V15" s="705"/>
      <c r="W15" s="706"/>
      <c r="X15" s="1355"/>
      <c r="Y15" s="368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3"/>
      <c r="Q17" s="1352"/>
      <c r="R17" s="705"/>
      <c r="S17" s="706"/>
      <c r="T17" s="705"/>
      <c r="U17" s="706"/>
      <c r="V17" s="705"/>
      <c r="W17" s="706"/>
      <c r="X17" s="1355"/>
      <c r="Y17" s="368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3"/>
      <c r="Q19" s="1352"/>
      <c r="R19" s="705"/>
      <c r="S19" s="706"/>
      <c r="T19" s="705"/>
      <c r="U19" s="706"/>
      <c r="V19" s="705"/>
      <c r="W19" s="706"/>
      <c r="X19" s="1355"/>
      <c r="Y19" s="368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3"/>
      <c r="Q21" s="1352"/>
      <c r="R21" s="705"/>
      <c r="S21" s="706"/>
      <c r="T21" s="705"/>
      <c r="U21" s="706"/>
      <c r="V21" s="705"/>
      <c r="W21" s="706"/>
      <c r="X21" s="1355"/>
      <c r="Y21" s="368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3"/>
      <c r="Q24" s="1352">
        <f t="shared" ref="Q24:Q34"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7"/>
      <c r="Q27" s="707" t="str">
        <f t="shared" si="11"/>
        <v>成新率</v>
      </c>
      <c r="R27" s="708" t="s">
        <v>14</v>
      </c>
      <c r="S27" s="709" t="e">
        <f t="shared" si="12"/>
        <v>#N/A</v>
      </c>
      <c r="T27" s="708" t="s">
        <v>14</v>
      </c>
      <c r="U27" s="709" t="e">
        <f t="shared" si="13"/>
        <v>#N/A</v>
      </c>
      <c r="V27" s="708" t="s">
        <v>14</v>
      </c>
      <c r="W27" s="709" t="e">
        <f t="shared" si="14"/>
        <v>#N/A</v>
      </c>
      <c r="X27" s="710"/>
      <c r="Y27" s="368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7"/>
      <c r="Q28" s="1352" t="str">
        <f t="shared" si="11"/>
        <v>物业等级</v>
      </c>
      <c r="R28" s="705" t="s">
        <v>14</v>
      </c>
      <c r="S28" s="706">
        <f t="shared" si="12"/>
        <v>100</v>
      </c>
      <c r="T28" s="705" t="s">
        <v>14</v>
      </c>
      <c r="U28" s="706">
        <f t="shared" si="13"/>
        <v>100</v>
      </c>
      <c r="V28" s="705" t="s">
        <v>14</v>
      </c>
      <c r="W28" s="706">
        <f t="shared" si="14"/>
        <v>100</v>
      </c>
      <c r="X28" s="1355"/>
      <c r="Y28" s="368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7"/>
      <c r="Q29" s="1352" t="str">
        <f t="shared" si="11"/>
        <v>有无电梯</v>
      </c>
      <c r="R29" s="705" t="s">
        <v>14</v>
      </c>
      <c r="S29" s="706">
        <f t="shared" si="12"/>
        <v>100</v>
      </c>
      <c r="T29" s="705" t="s">
        <v>14</v>
      </c>
      <c r="U29" s="706">
        <f t="shared" si="13"/>
        <v>100</v>
      </c>
      <c r="V29" s="705" t="s">
        <v>14</v>
      </c>
      <c r="W29" s="706">
        <f t="shared" si="14"/>
        <v>100</v>
      </c>
      <c r="X29" s="1355"/>
      <c r="Y29" s="368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7"/>
      <c r="Q30" s="1352" t="str">
        <f t="shared" si="11"/>
        <v>建筑面积</v>
      </c>
      <c r="R30" s="705" t="s">
        <v>14</v>
      </c>
      <c r="S30" s="706" t="e">
        <f t="shared" si="12"/>
        <v>#N/A</v>
      </c>
      <c r="T30" s="705" t="s">
        <v>14</v>
      </c>
      <c r="U30" s="706" t="e">
        <f t="shared" si="13"/>
        <v>#N/A</v>
      </c>
      <c r="V30" s="705" t="s">
        <v>14</v>
      </c>
      <c r="W30" s="706" t="e">
        <f t="shared" si="14"/>
        <v>#N/A</v>
      </c>
      <c r="X30" s="1355"/>
      <c r="Y30" s="368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7"/>
      <c r="Q31" s="1343" t="str">
        <f t="shared" si="11"/>
        <v>是否封闭</v>
      </c>
      <c r="R31" s="701" t="s">
        <v>14</v>
      </c>
      <c r="S31" s="702">
        <f t="shared" si="12"/>
        <v>100</v>
      </c>
      <c r="T31" s="701" t="s">
        <v>14</v>
      </c>
      <c r="U31" s="702">
        <f t="shared" si="13"/>
        <v>100</v>
      </c>
      <c r="V31" s="701" t="s">
        <v>14</v>
      </c>
      <c r="W31" s="702">
        <f t="shared" si="14"/>
        <v>100</v>
      </c>
      <c r="X31" s="703"/>
      <c r="Y31" s="368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7" t="s">
        <v>1696</v>
      </c>
      <c r="Q32" s="1352">
        <f t="shared" si="11"/>
        <v>111</v>
      </c>
      <c r="R32" s="705" t="s">
        <v>14</v>
      </c>
      <c r="S32" s="706">
        <f t="shared" si="12"/>
        <v>100</v>
      </c>
      <c r="T32" s="705" t="s">
        <v>14</v>
      </c>
      <c r="U32" s="706">
        <f t="shared" si="13"/>
        <v>100</v>
      </c>
      <c r="V32" s="705" t="s">
        <v>14</v>
      </c>
      <c r="W32" s="706">
        <f t="shared" si="14"/>
        <v>100</v>
      </c>
      <c r="X32" s="1355"/>
      <c r="Y32" s="368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7"/>
      <c r="Q33" s="1352">
        <f t="shared" si="11"/>
        <v>111</v>
      </c>
      <c r="R33" s="705" t="s">
        <v>14</v>
      </c>
      <c r="S33" s="706">
        <f t="shared" si="12"/>
        <v>100</v>
      </c>
      <c r="T33" s="705" t="s">
        <v>14</v>
      </c>
      <c r="U33" s="706">
        <f t="shared" si="13"/>
        <v>100</v>
      </c>
      <c r="V33" s="705" t="s">
        <v>14</v>
      </c>
      <c r="W33" s="706">
        <f t="shared" si="14"/>
        <v>100</v>
      </c>
      <c r="X33" s="1355"/>
      <c r="Y33" s="368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0" t="str">
        <f>A35</f>
        <v>成交单价（元/平方米）</v>
      </c>
      <c r="Q35" s="3680"/>
      <c r="R35" s="3681">
        <f>E35</f>
        <v>0</v>
      </c>
      <c r="S35" s="3681"/>
      <c r="T35" s="3681">
        <f>G35</f>
        <v>0</v>
      </c>
      <c r="U35" s="3681"/>
      <c r="V35" s="3681">
        <f>I35</f>
        <v>0</v>
      </c>
      <c r="W35" s="368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0" t="str">
        <f>A36</f>
        <v>比较价值（元/平方米）</v>
      </c>
      <c r="Q36" s="3680"/>
      <c r="R36" s="3681" t="e">
        <f>IF(F1="售价",ROUND(PRODUCT(R35,AA7:AA34),0),ROUND(PRODUCT(R35,AA7:AA34),1))</f>
        <v>#DIV/0!</v>
      </c>
      <c r="S36" s="3681"/>
      <c r="T36" s="3681" t="e">
        <f>IF(F1="售价",ROUND(PRODUCT(T35,AB7:AB34),0),ROUND(PRODUCT(T35,AB7:AB34),1))</f>
        <v>#DIV/0!</v>
      </c>
      <c r="U36" s="3681"/>
      <c r="V36" s="3681" t="e">
        <f>IF(F1="售价",ROUND(PRODUCT(V35,AC7:AC34),0),ROUND(PRODUCT(V35,AC7:AC34),1))</f>
        <v>#DIV/0!</v>
      </c>
      <c r="W36" s="368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7" t="str">
        <f>A37</f>
        <v>估价对象XX用房的比较价值（楼面单价，元/平方米）</v>
      </c>
      <c r="Q37" s="3678"/>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30"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30" ht="15.75" thickBot="1">
      <c r="A6" s="360"/>
      <c r="B6" s="361"/>
      <c r="C6" s="3712" t="s">
        <v>1677</v>
      </c>
      <c r="D6" s="3713"/>
      <c r="E6" s="3719" t="s">
        <v>1677</v>
      </c>
      <c r="F6" s="3720"/>
      <c r="G6" s="3712" t="s">
        <v>1677</v>
      </c>
      <c r="H6" s="3713"/>
      <c r="I6" s="3712" t="s">
        <v>1677</v>
      </c>
      <c r="J6" s="3713"/>
      <c r="K6" s="559" t="s">
        <v>1678</v>
      </c>
      <c r="L6" s="2715"/>
      <c r="M6" s="2716"/>
      <c r="N6" s="2716"/>
      <c r="O6" s="2716"/>
      <c r="P6" s="3703"/>
      <c r="Q6" s="3704"/>
      <c r="R6" s="3707"/>
      <c r="S6" s="3708"/>
      <c r="T6" s="3709"/>
      <c r="U6" s="3710"/>
      <c r="V6" s="3711"/>
      <c r="W6" s="3711"/>
      <c r="X6" s="1355"/>
      <c r="Y6" s="3709"/>
      <c r="Z6" s="3710"/>
      <c r="AA6" s="3694"/>
      <c r="AB6" s="3694"/>
      <c r="AC6" s="3694"/>
    </row>
    <row r="7" spans="1:30" s="108" customFormat="1" ht="15.75" thickBot="1">
      <c r="A7" s="362" t="s">
        <v>1679</v>
      </c>
      <c r="B7" s="363"/>
      <c r="C7" s="364">
        <f>'数据-取费表'!B2</f>
        <v>44930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0"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148</v>
      </c>
      <c r="G10" s="414"/>
      <c r="H10" s="127">
        <f>ROUND(100/'数据-取费表'!G16,0)</f>
        <v>148</v>
      </c>
      <c r="I10" s="414"/>
      <c r="J10" s="127">
        <f>ROUND(100/'数据-取费表'!G16,0)</f>
        <v>148</v>
      </c>
      <c r="K10" s="620"/>
      <c r="L10" s="2719"/>
      <c r="M10" s="2720"/>
      <c r="N10" s="2720"/>
      <c r="O10" s="2773"/>
      <c r="P10" s="3680"/>
      <c r="Q10" s="1343" t="str">
        <f t="shared" si="6"/>
        <v>土地使用年限（年）</v>
      </c>
      <c r="R10" s="701" t="s">
        <v>14</v>
      </c>
      <c r="S10" s="702">
        <f t="shared" si="0"/>
        <v>148</v>
      </c>
      <c r="T10" s="701" t="s">
        <v>14</v>
      </c>
      <c r="U10" s="702">
        <f t="shared" si="1"/>
        <v>148</v>
      </c>
      <c r="V10" s="701" t="s">
        <v>14</v>
      </c>
      <c r="W10" s="702">
        <f t="shared" si="2"/>
        <v>148</v>
      </c>
      <c r="X10" s="703"/>
      <c r="Y10" s="3555"/>
      <c r="Z10" s="52" t="str">
        <f t="shared" si="7"/>
        <v>土地使用年限（年）</v>
      </c>
      <c r="AA10" s="704">
        <f t="shared" si="3"/>
        <v>0.67567567567567566</v>
      </c>
      <c r="AB10" s="704">
        <f t="shared" si="4"/>
        <v>0.67567567567567566</v>
      </c>
      <c r="AC10" s="704">
        <f t="shared" si="5"/>
        <v>0.67567567567567566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0"/>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0"/>
      <c r="Q12" s="1343" t="str">
        <f t="shared" si="6"/>
        <v>配建</v>
      </c>
      <c r="R12" s="701" t="s">
        <v>14</v>
      </c>
      <c r="S12" s="702">
        <f t="shared" si="0"/>
        <v>100</v>
      </c>
      <c r="T12" s="701" t="s">
        <v>14</v>
      </c>
      <c r="U12" s="702">
        <f t="shared" si="1"/>
        <v>100</v>
      </c>
      <c r="V12" s="701" t="s">
        <v>14</v>
      </c>
      <c r="W12" s="702">
        <f t="shared" si="2"/>
        <v>100</v>
      </c>
      <c r="X12" s="703"/>
      <c r="Y12" s="355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2" t="s">
        <v>1691</v>
      </c>
      <c r="Q15" s="1352" t="str">
        <f t="shared" si="6"/>
        <v>居住社区成熟度</v>
      </c>
      <c r="R15" s="705" t="s">
        <v>14</v>
      </c>
      <c r="S15" s="706">
        <f t="shared" si="0"/>
        <v>100</v>
      </c>
      <c r="T15" s="705" t="s">
        <v>14</v>
      </c>
      <c r="U15" s="706">
        <f t="shared" si="1"/>
        <v>100</v>
      </c>
      <c r="V15" s="705" t="s">
        <v>14</v>
      </c>
      <c r="W15" s="706">
        <f t="shared" si="2"/>
        <v>100</v>
      </c>
      <c r="X15" s="1355"/>
      <c r="Y15" s="368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3"/>
      <c r="Q17" s="1352" t="str">
        <f>B17</f>
        <v>商业繁华度</v>
      </c>
      <c r="R17" s="705" t="s">
        <v>14</v>
      </c>
      <c r="S17" s="706">
        <f>F17</f>
        <v>100</v>
      </c>
      <c r="T17" s="705" t="s">
        <v>14</v>
      </c>
      <c r="U17" s="706">
        <f>H17</f>
        <v>100</v>
      </c>
      <c r="V17" s="705" t="s">
        <v>14</v>
      </c>
      <c r="W17" s="706">
        <f>J17</f>
        <v>100</v>
      </c>
      <c r="X17" s="1355"/>
      <c r="Y17" s="368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3"/>
      <c r="Q19" s="1352" t="str">
        <f>B19</f>
        <v>办公集聚程度</v>
      </c>
      <c r="R19" s="705" t="s">
        <v>14</v>
      </c>
      <c r="S19" s="706">
        <f>F19</f>
        <v>100</v>
      </c>
      <c r="T19" s="705" t="s">
        <v>14</v>
      </c>
      <c r="U19" s="706">
        <f>H19</f>
        <v>100</v>
      </c>
      <c r="V19" s="705" t="s">
        <v>14</v>
      </c>
      <c r="W19" s="706">
        <f>J19</f>
        <v>100</v>
      </c>
      <c r="X19" s="1355"/>
      <c r="Y19" s="368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3"/>
      <c r="Q20" s="1352"/>
      <c r="R20" s="705"/>
      <c r="S20" s="706"/>
      <c r="T20" s="705"/>
      <c r="U20" s="706"/>
      <c r="V20" s="705"/>
      <c r="W20" s="706"/>
      <c r="X20" s="1355"/>
      <c r="Y20" s="368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3"/>
      <c r="Q21" s="1352" t="str">
        <f>B21</f>
        <v>交通便捷度</v>
      </c>
      <c r="R21" s="705" t="s">
        <v>14</v>
      </c>
      <c r="S21" s="706">
        <f>F21</f>
        <v>100</v>
      </c>
      <c r="T21" s="705" t="s">
        <v>14</v>
      </c>
      <c r="U21" s="706">
        <f>H21</f>
        <v>100</v>
      </c>
      <c r="V21" s="705" t="s">
        <v>14</v>
      </c>
      <c r="W21" s="706">
        <f>J21</f>
        <v>100</v>
      </c>
      <c r="X21" s="1355"/>
      <c r="Y21" s="368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3"/>
      <c r="Q23" s="1352" t="str">
        <f t="shared" ref="Q23:Q37" si="8">B23</f>
        <v>区域土地利用方向</v>
      </c>
      <c r="R23" s="705" t="s">
        <v>14</v>
      </c>
      <c r="S23" s="706">
        <f>F23</f>
        <v>100</v>
      </c>
      <c r="T23" s="705" t="s">
        <v>14</v>
      </c>
      <c r="U23" s="706">
        <f>H23</f>
        <v>100</v>
      </c>
      <c r="V23" s="705" t="s">
        <v>14</v>
      </c>
      <c r="W23" s="706">
        <f>J23</f>
        <v>100</v>
      </c>
      <c r="X23" s="1355"/>
      <c r="Y23" s="368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3"/>
      <c r="Q24" s="1352"/>
      <c r="R24" s="705"/>
      <c r="S24" s="706"/>
      <c r="T24" s="705"/>
      <c r="U24" s="706"/>
      <c r="V24" s="705"/>
      <c r="W24" s="706"/>
      <c r="X24" s="1355"/>
      <c r="Y24" s="368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3"/>
      <c r="Q25" s="1352" t="str">
        <f t="shared" si="8"/>
        <v>自然及人文环境状况</v>
      </c>
      <c r="R25" s="705" t="s">
        <v>14</v>
      </c>
      <c r="S25" s="706">
        <f>F25</f>
        <v>100</v>
      </c>
      <c r="T25" s="705" t="s">
        <v>14</v>
      </c>
      <c r="U25" s="706">
        <f>H25</f>
        <v>100</v>
      </c>
      <c r="V25" s="705" t="s">
        <v>14</v>
      </c>
      <c r="W25" s="706">
        <f>J25</f>
        <v>100</v>
      </c>
      <c r="X25" s="1355"/>
      <c r="Y25" s="368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3"/>
      <c r="Q26" s="1352"/>
      <c r="R26" s="705"/>
      <c r="S26" s="706"/>
      <c r="T26" s="705"/>
      <c r="U26" s="706"/>
      <c r="V26" s="705"/>
      <c r="W26" s="706"/>
      <c r="X26" s="1355"/>
      <c r="Y26" s="368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3"/>
      <c r="Q27" s="1343" t="str">
        <f t="shared" si="8"/>
        <v>公共配套设施</v>
      </c>
      <c r="R27" s="701" t="s">
        <v>14</v>
      </c>
      <c r="S27" s="702">
        <f>F27</f>
        <v>100</v>
      </c>
      <c r="T27" s="701" t="s">
        <v>14</v>
      </c>
      <c r="U27" s="702">
        <f>H27</f>
        <v>100</v>
      </c>
      <c r="V27" s="701" t="s">
        <v>14</v>
      </c>
      <c r="W27" s="702">
        <f>J27</f>
        <v>100</v>
      </c>
      <c r="X27" s="703"/>
      <c r="Y27" s="368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3"/>
      <c r="Q28" s="1343"/>
      <c r="R28" s="701"/>
      <c r="S28" s="702"/>
      <c r="T28" s="701"/>
      <c r="U28" s="702"/>
      <c r="V28" s="701"/>
      <c r="W28" s="702"/>
      <c r="X28" s="703"/>
      <c r="Y28" s="368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3"/>
      <c r="Q29" s="1343" t="str">
        <f t="shared" ref="Q29" si="9">B29</f>
        <v>基础设施水平</v>
      </c>
      <c r="R29" s="701" t="s">
        <v>14</v>
      </c>
      <c r="S29" s="702">
        <f>F29</f>
        <v>100</v>
      </c>
      <c r="T29" s="701" t="s">
        <v>14</v>
      </c>
      <c r="U29" s="702">
        <f>H29</f>
        <v>100</v>
      </c>
      <c r="V29" s="701" t="s">
        <v>14</v>
      </c>
      <c r="W29" s="702">
        <f>J29</f>
        <v>100</v>
      </c>
      <c r="X29" s="703"/>
      <c r="Y29" s="368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3"/>
      <c r="Q30" s="1343"/>
      <c r="R30" s="701"/>
      <c r="S30" s="702"/>
      <c r="T30" s="701"/>
      <c r="U30" s="702"/>
      <c r="V30" s="701"/>
      <c r="W30" s="702"/>
      <c r="X30" s="703"/>
      <c r="Y30" s="368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3"/>
      <c r="Q32" s="1352" t="str">
        <f t="shared" si="8"/>
        <v>毗邻道路的类型与等级</v>
      </c>
      <c r="R32" s="705" t="s">
        <v>14</v>
      </c>
      <c r="S32" s="706">
        <f t="shared" si="10"/>
        <v>100</v>
      </c>
      <c r="T32" s="705" t="s">
        <v>14</v>
      </c>
      <c r="U32" s="706">
        <f t="shared" si="11"/>
        <v>100</v>
      </c>
      <c r="V32" s="705" t="s">
        <v>14</v>
      </c>
      <c r="W32" s="706">
        <f t="shared" si="12"/>
        <v>100</v>
      </c>
      <c r="X32" s="1355"/>
      <c r="Y32" s="368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3"/>
      <c r="Q33" s="1352"/>
      <c r="R33" s="705"/>
      <c r="S33" s="706"/>
      <c r="T33" s="705"/>
      <c r="U33" s="706"/>
      <c r="V33" s="705"/>
      <c r="W33" s="706"/>
      <c r="X33" s="1355"/>
      <c r="Y33" s="368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3"/>
      <c r="Q34" s="1352" t="str">
        <f t="shared" si="8"/>
        <v>土地级别</v>
      </c>
      <c r="R34" s="705" t="s">
        <v>14</v>
      </c>
      <c r="S34" s="706">
        <f t="shared" si="10"/>
        <v>100</v>
      </c>
      <c r="T34" s="705" t="s">
        <v>14</v>
      </c>
      <c r="U34" s="706">
        <f t="shared" si="11"/>
        <v>100</v>
      </c>
      <c r="V34" s="705" t="s">
        <v>14</v>
      </c>
      <c r="W34" s="706">
        <f t="shared" si="12"/>
        <v>100</v>
      </c>
      <c r="X34" s="1355"/>
      <c r="Y34" s="368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3"/>
      <c r="Q35" s="1352">
        <f t="shared" si="8"/>
        <v>111</v>
      </c>
      <c r="R35" s="705" t="s">
        <v>14</v>
      </c>
      <c r="S35" s="706">
        <f t="shared" si="10"/>
        <v>100</v>
      </c>
      <c r="T35" s="705" t="s">
        <v>14</v>
      </c>
      <c r="U35" s="706">
        <f t="shared" si="11"/>
        <v>100</v>
      </c>
      <c r="V35" s="705" t="s">
        <v>14</v>
      </c>
      <c r="W35" s="706">
        <f t="shared" si="12"/>
        <v>100</v>
      </c>
      <c r="X35" s="1355"/>
      <c r="Y35" s="368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0" t="s">
        <v>1696</v>
      </c>
      <c r="Q36" s="1352">
        <f t="shared" si="8"/>
        <v>111</v>
      </c>
      <c r="R36" s="705" t="s">
        <v>14</v>
      </c>
      <c r="S36" s="706">
        <f t="shared" si="10"/>
        <v>100</v>
      </c>
      <c r="T36" s="705" t="s">
        <v>14</v>
      </c>
      <c r="U36" s="706">
        <f t="shared" si="11"/>
        <v>100</v>
      </c>
      <c r="V36" s="705" t="s">
        <v>14</v>
      </c>
      <c r="W36" s="706">
        <f t="shared" si="12"/>
        <v>100</v>
      </c>
      <c r="X36" s="1355"/>
      <c r="Y36" s="368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7"/>
      <c r="Q37" s="1352">
        <f t="shared" si="8"/>
        <v>111</v>
      </c>
      <c r="R37" s="708" t="s">
        <v>14</v>
      </c>
      <c r="S37" s="709">
        <f t="shared" si="10"/>
        <v>100</v>
      </c>
      <c r="T37" s="708" t="s">
        <v>14</v>
      </c>
      <c r="U37" s="709">
        <f t="shared" si="11"/>
        <v>100</v>
      </c>
      <c r="V37" s="708" t="s">
        <v>14</v>
      </c>
      <c r="W37" s="709">
        <f t="shared" si="12"/>
        <v>100</v>
      </c>
      <c r="X37" s="710"/>
      <c r="Y37" s="368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7"/>
      <c r="Q38" s="1352" t="str">
        <f>B38</f>
        <v>宗地面积</v>
      </c>
      <c r="R38" s="705" t="s">
        <v>14</v>
      </c>
      <c r="S38" s="706" t="e">
        <f t="shared" si="10"/>
        <v>#N/A</v>
      </c>
      <c r="T38" s="705" t="s">
        <v>14</v>
      </c>
      <c r="U38" s="706" t="e">
        <f t="shared" si="11"/>
        <v>#N/A</v>
      </c>
      <c r="V38" s="705" t="s">
        <v>14</v>
      </c>
      <c r="W38" s="706" t="e">
        <f t="shared" si="12"/>
        <v>#N/A</v>
      </c>
      <c r="X38" s="1355"/>
      <c r="Y38" s="368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7"/>
      <c r="Q39" s="1352" t="str">
        <f t="shared" ref="Q39:Q45" si="14">B39</f>
        <v>宗地形状</v>
      </c>
      <c r="R39" s="705" t="s">
        <v>14</v>
      </c>
      <c r="S39" s="706">
        <f t="shared" si="10"/>
        <v>100</v>
      </c>
      <c r="T39" s="705" t="s">
        <v>14</v>
      </c>
      <c r="U39" s="706">
        <f t="shared" si="11"/>
        <v>100</v>
      </c>
      <c r="V39" s="705" t="s">
        <v>14</v>
      </c>
      <c r="W39" s="706">
        <f t="shared" si="12"/>
        <v>100</v>
      </c>
      <c r="X39" s="1355"/>
      <c r="Y39" s="368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7"/>
      <c r="Q40" s="1352" t="str">
        <f t="shared" si="14"/>
        <v>临街宽度及深度</v>
      </c>
      <c r="R40" s="705" t="s">
        <v>14</v>
      </c>
      <c r="S40" s="706">
        <f t="shared" si="10"/>
        <v>100</v>
      </c>
      <c r="T40" s="705" t="s">
        <v>14</v>
      </c>
      <c r="U40" s="706">
        <f t="shared" si="11"/>
        <v>100</v>
      </c>
      <c r="V40" s="705" t="s">
        <v>14</v>
      </c>
      <c r="W40" s="706">
        <f t="shared" si="12"/>
        <v>100</v>
      </c>
      <c r="X40" s="1355"/>
      <c r="Y40" s="368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7"/>
      <c r="Q41" s="1352" t="str">
        <f t="shared" si="14"/>
        <v>宗地开发程度</v>
      </c>
      <c r="R41" s="701" t="s">
        <v>14</v>
      </c>
      <c r="S41" s="702">
        <f t="shared" si="10"/>
        <v>100</v>
      </c>
      <c r="T41" s="701" t="s">
        <v>14</v>
      </c>
      <c r="U41" s="702">
        <f t="shared" si="11"/>
        <v>100</v>
      </c>
      <c r="V41" s="701" t="s">
        <v>14</v>
      </c>
      <c r="W41" s="702">
        <f t="shared" si="12"/>
        <v>100</v>
      </c>
      <c r="X41" s="703"/>
      <c r="Y41" s="368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7" t="s">
        <v>1696</v>
      </c>
      <c r="Q42" s="1352" t="str">
        <f t="shared" si="14"/>
        <v>工程地质条件</v>
      </c>
      <c r="R42" s="705" t="s">
        <v>14</v>
      </c>
      <c r="S42" s="706">
        <f t="shared" si="10"/>
        <v>100</v>
      </c>
      <c r="T42" s="705" t="s">
        <v>14</v>
      </c>
      <c r="U42" s="706">
        <f t="shared" si="11"/>
        <v>100</v>
      </c>
      <c r="V42" s="705" t="s">
        <v>14</v>
      </c>
      <c r="W42" s="706">
        <f t="shared" si="12"/>
        <v>100</v>
      </c>
      <c r="X42" s="1355"/>
      <c r="Y42" s="368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7"/>
      <c r="Q43" s="1352">
        <f t="shared" si="14"/>
        <v>111</v>
      </c>
      <c r="R43" s="705" t="s">
        <v>14</v>
      </c>
      <c r="S43" s="706">
        <f t="shared" si="10"/>
        <v>100</v>
      </c>
      <c r="T43" s="705" t="s">
        <v>14</v>
      </c>
      <c r="U43" s="706">
        <f t="shared" si="11"/>
        <v>100</v>
      </c>
      <c r="V43" s="705" t="s">
        <v>14</v>
      </c>
      <c r="W43" s="706">
        <f t="shared" si="12"/>
        <v>100</v>
      </c>
      <c r="X43" s="1355"/>
      <c r="Y43" s="368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7"/>
      <c r="Q44" s="1352">
        <f t="shared" si="14"/>
        <v>111</v>
      </c>
      <c r="R44" s="705" t="s">
        <v>14</v>
      </c>
      <c r="S44" s="706">
        <f t="shared" si="10"/>
        <v>100</v>
      </c>
      <c r="T44" s="705" t="s">
        <v>14</v>
      </c>
      <c r="U44" s="706">
        <f t="shared" si="11"/>
        <v>100</v>
      </c>
      <c r="V44" s="705" t="s">
        <v>14</v>
      </c>
      <c r="W44" s="706">
        <f t="shared" si="12"/>
        <v>100</v>
      </c>
      <c r="X44" s="1355"/>
      <c r="Y44" s="368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7"/>
      <c r="Q45" s="1352">
        <f t="shared" si="14"/>
        <v>111</v>
      </c>
      <c r="R45" s="708" t="s">
        <v>14</v>
      </c>
      <c r="S45" s="709">
        <f t="shared" si="10"/>
        <v>100</v>
      </c>
      <c r="T45" s="708" t="s">
        <v>14</v>
      </c>
      <c r="U45" s="709">
        <f t="shared" si="11"/>
        <v>100</v>
      </c>
      <c r="V45" s="708" t="s">
        <v>14</v>
      </c>
      <c r="W45" s="709">
        <f t="shared" si="12"/>
        <v>100</v>
      </c>
      <c r="X45" s="710"/>
      <c r="Y45" s="368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0" t="str">
        <f>A46</f>
        <v>成交单价</v>
      </c>
      <c r="Q46" s="3680"/>
      <c r="R46" s="3711">
        <f>E46</f>
        <v>0</v>
      </c>
      <c r="S46" s="3711"/>
      <c r="T46" s="3711">
        <f>G46</f>
        <v>0</v>
      </c>
      <c r="U46" s="3711"/>
      <c r="V46" s="3711">
        <f>I46</f>
        <v>0</v>
      </c>
      <c r="W46" s="371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0" t="str">
        <f>A47</f>
        <v>比较价值（元/平方米）</v>
      </c>
      <c r="Q47" s="3680"/>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7" t="str">
        <f>A48</f>
        <v>估价对象XX用房的比较价值（楼面单价，元/平方米）</v>
      </c>
      <c r="Q48" s="3678"/>
      <c r="R48" s="3743" t="e">
        <f>ROUND(IF(D47="简单平均",AVERAGE(R47:W47),R47*F47+T47*H47+V47*J47),0)</f>
        <v>#DIV/0!</v>
      </c>
      <c r="S48" s="3743"/>
      <c r="T48" s="3743"/>
      <c r="U48" s="3743"/>
      <c r="V48" s="3743"/>
      <c r="W48" s="37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5" t="s">
        <v>1887</v>
      </c>
      <c r="H55" s="374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275.49</v>
      </c>
      <c r="F56" s="886" t="e">
        <f t="shared" ref="F56:F64" si="15">ROUND(B56*E56/10000,0)</f>
        <v>#DIV/0!</v>
      </c>
      <c r="G56" s="3691"/>
      <c r="H56" s="368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275.49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5"/>
      <c r="M4" s="2716"/>
      <c r="N4" s="2716"/>
      <c r="O4" s="2716"/>
      <c r="P4" s="3699" t="s">
        <v>1775</v>
      </c>
      <c r="Q4" s="3700"/>
      <c r="R4" s="3705" t="s">
        <v>1771</v>
      </c>
      <c r="S4" s="3706"/>
      <c r="T4" s="3705" t="s">
        <v>1772</v>
      </c>
      <c r="U4" s="3706"/>
      <c r="V4" s="3711" t="s">
        <v>1773</v>
      </c>
      <c r="W4" s="3711"/>
      <c r="X4" s="1355"/>
      <c r="Y4" s="3705" t="s">
        <v>1775</v>
      </c>
      <c r="Z4" s="3706"/>
      <c r="AA4" s="3692" t="s">
        <v>1771</v>
      </c>
      <c r="AB4" s="3693" t="s">
        <v>1772</v>
      </c>
      <c r="AC4" s="3692" t="s">
        <v>1773</v>
      </c>
    </row>
    <row r="5" spans="1:29" ht="15">
      <c r="A5" s="358"/>
      <c r="B5" s="359"/>
      <c r="C5" s="3714" t="s">
        <v>1673</v>
      </c>
      <c r="D5" s="3715"/>
      <c r="E5" s="3721" t="s">
        <v>1674</v>
      </c>
      <c r="F5" s="3722"/>
      <c r="G5" s="3714" t="s">
        <v>1675</v>
      </c>
      <c r="H5" s="3715"/>
      <c r="I5" s="3714" t="s">
        <v>1676</v>
      </c>
      <c r="J5" s="3715"/>
      <c r="K5" s="559"/>
      <c r="L5" s="2715"/>
      <c r="M5" s="2716"/>
      <c r="N5" s="2716"/>
      <c r="O5" s="2716"/>
      <c r="P5" s="3701"/>
      <c r="Q5" s="3702"/>
      <c r="R5" s="3707"/>
      <c r="S5" s="3708"/>
      <c r="T5" s="3707"/>
      <c r="U5" s="3708"/>
      <c r="V5" s="3711"/>
      <c r="W5" s="3711"/>
      <c r="X5" s="1355"/>
      <c r="Y5" s="3707"/>
      <c r="Z5" s="3708"/>
      <c r="AA5" s="3693"/>
      <c r="AB5" s="3693"/>
      <c r="AC5" s="3693"/>
    </row>
    <row r="6" spans="1:29" ht="15.75" thickBot="1">
      <c r="A6" s="360"/>
      <c r="B6" s="361"/>
      <c r="C6" s="3745" t="s">
        <v>1919</v>
      </c>
      <c r="D6" s="3746"/>
      <c r="E6" s="3747" t="s">
        <v>1919</v>
      </c>
      <c r="F6" s="3748"/>
      <c r="G6" s="3745" t="s">
        <v>1919</v>
      </c>
      <c r="H6" s="3746"/>
      <c r="I6" s="3745" t="s">
        <v>1919</v>
      </c>
      <c r="J6" s="3746"/>
      <c r="K6" s="559" t="s">
        <v>1678</v>
      </c>
      <c r="L6" s="2715"/>
      <c r="M6" s="2716"/>
      <c r="N6" s="2716"/>
      <c r="O6" s="2716"/>
      <c r="P6" s="3703"/>
      <c r="Q6" s="3704"/>
      <c r="R6" s="3707"/>
      <c r="S6" s="3708"/>
      <c r="T6" s="3709"/>
      <c r="U6" s="3710"/>
      <c r="V6" s="3711"/>
      <c r="W6" s="3711"/>
      <c r="X6" s="1355"/>
      <c r="Y6" s="3709"/>
      <c r="Z6" s="3710"/>
      <c r="AA6" s="3694"/>
      <c r="AB6" s="3694"/>
      <c r="AC6" s="3694"/>
    </row>
    <row r="7" spans="1:29" s="108" customFormat="1" ht="15.75" thickBot="1">
      <c r="A7" s="362" t="s">
        <v>1679</v>
      </c>
      <c r="B7" s="363"/>
      <c r="C7" s="364">
        <f>'数据-取费表'!B2</f>
        <v>44930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6" t="s">
        <v>1680</v>
      </c>
      <c r="Q7" s="3718"/>
      <c r="R7" s="701" t="s">
        <v>14</v>
      </c>
      <c r="S7" s="702">
        <f t="shared" ref="S7:S15" si="0">F7</f>
        <v>0</v>
      </c>
      <c r="T7" s="701" t="s">
        <v>14</v>
      </c>
      <c r="U7" s="702">
        <f t="shared" ref="U7:U15" si="1">H7</f>
        <v>0</v>
      </c>
      <c r="V7" s="701" t="s">
        <v>14</v>
      </c>
      <c r="W7" s="702">
        <f t="shared" ref="W7:W15" si="2">J7</f>
        <v>0</v>
      </c>
      <c r="X7" s="703"/>
      <c r="Y7" s="3716" t="s">
        <v>1680</v>
      </c>
      <c r="Z7" s="371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6" t="s">
        <v>1683</v>
      </c>
      <c r="Q8" s="3717"/>
      <c r="R8" s="701" t="s">
        <v>14</v>
      </c>
      <c r="S8" s="702">
        <f t="shared" si="0"/>
        <v>0</v>
      </c>
      <c r="T8" s="701" t="s">
        <v>14</v>
      </c>
      <c r="U8" s="702">
        <f t="shared" si="1"/>
        <v>0</v>
      </c>
      <c r="V8" s="701" t="s">
        <v>14</v>
      </c>
      <c r="W8" s="702">
        <f t="shared" si="2"/>
        <v>0</v>
      </c>
      <c r="X8" s="703"/>
      <c r="Y8" s="3716" t="s">
        <v>1683</v>
      </c>
      <c r="Z8" s="371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0" t="s">
        <v>1686</v>
      </c>
      <c r="Q9" s="1343" t="str">
        <f t="shared" ref="Q9:Q15" si="6">B9</f>
        <v>用途</v>
      </c>
      <c r="R9" s="701" t="s">
        <v>14</v>
      </c>
      <c r="S9" s="702">
        <f t="shared" si="0"/>
        <v>100</v>
      </c>
      <c r="T9" s="701" t="s">
        <v>14</v>
      </c>
      <c r="U9" s="702">
        <f t="shared" si="1"/>
        <v>100</v>
      </c>
      <c r="V9" s="701" t="s">
        <v>14</v>
      </c>
      <c r="W9" s="702">
        <f t="shared" si="2"/>
        <v>100</v>
      </c>
      <c r="X9" s="703"/>
      <c r="Y9" s="355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148</v>
      </c>
      <c r="G10" s="383"/>
      <c r="H10" s="127">
        <f>ROUND(100/'数据-取费表'!G16,0)</f>
        <v>148</v>
      </c>
      <c r="I10" s="383"/>
      <c r="J10" s="127">
        <f>ROUND(100/'数据-取费表'!G16,0)</f>
        <v>148</v>
      </c>
      <c r="K10" s="620"/>
      <c r="L10" s="2719"/>
      <c r="M10" s="2720"/>
      <c r="N10" s="2720"/>
      <c r="O10" s="2773"/>
      <c r="P10" s="3680"/>
      <c r="Q10" s="1343" t="str">
        <f t="shared" si="6"/>
        <v>土地使用年限（年）</v>
      </c>
      <c r="R10" s="701" t="s">
        <v>14</v>
      </c>
      <c r="S10" s="702">
        <f t="shared" si="0"/>
        <v>148</v>
      </c>
      <c r="T10" s="701" t="s">
        <v>14</v>
      </c>
      <c r="U10" s="702">
        <f t="shared" si="1"/>
        <v>148</v>
      </c>
      <c r="V10" s="701" t="s">
        <v>14</v>
      </c>
      <c r="W10" s="702">
        <f t="shared" si="2"/>
        <v>148</v>
      </c>
      <c r="X10" s="703"/>
      <c r="Y10" s="3555"/>
      <c r="Z10" s="52" t="str">
        <f t="shared" si="7"/>
        <v>土地使用年限（年）</v>
      </c>
      <c r="AA10" s="704">
        <f t="shared" si="3"/>
        <v>0.67567567567567566</v>
      </c>
      <c r="AB10" s="704">
        <f t="shared" si="4"/>
        <v>0.67567567567567566</v>
      </c>
      <c r="AC10" s="704">
        <f t="shared" si="5"/>
        <v>0.67567567567567566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0"/>
      <c r="Q11" s="1343" t="str">
        <f t="shared" si="6"/>
        <v>容积率</v>
      </c>
      <c r="R11" s="701" t="s">
        <v>14</v>
      </c>
      <c r="S11" s="702" t="e">
        <f t="shared" si="0"/>
        <v>#N/A</v>
      </c>
      <c r="T11" s="701" t="s">
        <v>14</v>
      </c>
      <c r="U11" s="702" t="e">
        <f t="shared" si="1"/>
        <v>#N/A</v>
      </c>
      <c r="V11" s="701" t="s">
        <v>14</v>
      </c>
      <c r="W11" s="702" t="e">
        <f t="shared" si="2"/>
        <v>#N/A</v>
      </c>
      <c r="X11" s="703"/>
      <c r="Y11" s="355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0"/>
      <c r="Q12" s="1343">
        <f t="shared" si="6"/>
        <v>111</v>
      </c>
      <c r="R12" s="701" t="s">
        <v>14</v>
      </c>
      <c r="S12" s="702">
        <f t="shared" si="0"/>
        <v>100</v>
      </c>
      <c r="T12" s="701" t="s">
        <v>14</v>
      </c>
      <c r="U12" s="702">
        <f t="shared" si="1"/>
        <v>100</v>
      </c>
      <c r="V12" s="701" t="s">
        <v>14</v>
      </c>
      <c r="W12" s="702">
        <f t="shared" si="2"/>
        <v>100</v>
      </c>
      <c r="X12" s="703"/>
      <c r="Y12" s="355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0"/>
      <c r="Q13" s="1343">
        <f t="shared" si="6"/>
        <v>111</v>
      </c>
      <c r="R13" s="701" t="s">
        <v>14</v>
      </c>
      <c r="S13" s="702">
        <f t="shared" si="0"/>
        <v>100</v>
      </c>
      <c r="T13" s="701" t="s">
        <v>14</v>
      </c>
      <c r="U13" s="702">
        <f t="shared" si="1"/>
        <v>100</v>
      </c>
      <c r="V13" s="701" t="s">
        <v>14</v>
      </c>
      <c r="W13" s="702">
        <f t="shared" si="2"/>
        <v>100</v>
      </c>
      <c r="X13" s="703"/>
      <c r="Y13" s="355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0"/>
      <c r="Q14" s="1343">
        <f t="shared" si="6"/>
        <v>111</v>
      </c>
      <c r="R14" s="701" t="s">
        <v>14</v>
      </c>
      <c r="S14" s="702">
        <f t="shared" si="0"/>
        <v>100</v>
      </c>
      <c r="T14" s="701" t="s">
        <v>14</v>
      </c>
      <c r="U14" s="702">
        <f t="shared" si="1"/>
        <v>100</v>
      </c>
      <c r="V14" s="701" t="s">
        <v>14</v>
      </c>
      <c r="W14" s="702">
        <f t="shared" si="2"/>
        <v>100</v>
      </c>
      <c r="X14" s="703"/>
      <c r="Y14" s="355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3"/>
      <c r="Q19" s="1352" t="str">
        <f t="shared" ref="Q19:Q33" si="8">B19</f>
        <v>区域土地利用方向</v>
      </c>
      <c r="R19" s="705" t="s">
        <v>14</v>
      </c>
      <c r="S19" s="706">
        <f>F19</f>
        <v>100</v>
      </c>
      <c r="T19" s="705" t="s">
        <v>14</v>
      </c>
      <c r="U19" s="706">
        <f>H19</f>
        <v>100</v>
      </c>
      <c r="V19" s="705" t="s">
        <v>14</v>
      </c>
      <c r="W19" s="706">
        <f>J19</f>
        <v>100</v>
      </c>
      <c r="X19" s="1355"/>
      <c r="Y19" s="368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3"/>
      <c r="Q20" s="1352"/>
      <c r="R20" s="705"/>
      <c r="S20" s="706"/>
      <c r="T20" s="705"/>
      <c r="U20" s="706"/>
      <c r="V20" s="705"/>
      <c r="W20" s="706"/>
      <c r="X20" s="1355"/>
      <c r="Y20" s="368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3"/>
      <c r="Q21" s="1352" t="str">
        <f t="shared" si="8"/>
        <v>环境状况</v>
      </c>
      <c r="R21" s="705" t="s">
        <v>14</v>
      </c>
      <c r="S21" s="706">
        <f>F21</f>
        <v>100</v>
      </c>
      <c r="T21" s="705" t="s">
        <v>14</v>
      </c>
      <c r="U21" s="706">
        <f>H21</f>
        <v>100</v>
      </c>
      <c r="V21" s="705" t="s">
        <v>14</v>
      </c>
      <c r="W21" s="706">
        <f>J21</f>
        <v>100</v>
      </c>
      <c r="X21" s="1355"/>
      <c r="Y21" s="368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3"/>
      <c r="Q23" s="1343" t="str">
        <f t="shared" si="8"/>
        <v>公共配套设施</v>
      </c>
      <c r="R23" s="701" t="s">
        <v>14</v>
      </c>
      <c r="S23" s="702">
        <f>F23</f>
        <v>100</v>
      </c>
      <c r="T23" s="701" t="s">
        <v>14</v>
      </c>
      <c r="U23" s="702">
        <f>H23</f>
        <v>100</v>
      </c>
      <c r="V23" s="701" t="s">
        <v>14</v>
      </c>
      <c r="W23" s="702">
        <f>J23</f>
        <v>100</v>
      </c>
      <c r="X23" s="703"/>
      <c r="Y23" s="368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3"/>
      <c r="Q24" s="1343"/>
      <c r="R24" s="701"/>
      <c r="S24" s="702"/>
      <c r="T24" s="701"/>
      <c r="U24" s="702"/>
      <c r="V24" s="701"/>
      <c r="W24" s="702"/>
      <c r="X24" s="703"/>
      <c r="Y24" s="368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3"/>
      <c r="Q25" s="1343" t="str">
        <f t="shared" ref="Q25" si="9">B25</f>
        <v>基础设施水平</v>
      </c>
      <c r="R25" s="701" t="s">
        <v>14</v>
      </c>
      <c r="S25" s="702">
        <f>F25</f>
        <v>100</v>
      </c>
      <c r="T25" s="701" t="s">
        <v>14</v>
      </c>
      <c r="U25" s="702">
        <f>H25</f>
        <v>100</v>
      </c>
      <c r="V25" s="701" t="s">
        <v>14</v>
      </c>
      <c r="W25" s="702">
        <f>J25</f>
        <v>100</v>
      </c>
      <c r="X25" s="703"/>
      <c r="Y25" s="368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3"/>
      <c r="Q26" s="1343"/>
      <c r="R26" s="701"/>
      <c r="S26" s="702"/>
      <c r="T26" s="701"/>
      <c r="U26" s="702"/>
      <c r="V26" s="701"/>
      <c r="W26" s="702"/>
      <c r="X26" s="703"/>
      <c r="Y26" s="368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3"/>
      <c r="Q28" s="1352" t="str">
        <f t="shared" si="8"/>
        <v>毗邻道路的类型与等级</v>
      </c>
      <c r="R28" s="705" t="s">
        <v>14</v>
      </c>
      <c r="S28" s="706">
        <f t="shared" si="10"/>
        <v>100</v>
      </c>
      <c r="T28" s="705" t="s">
        <v>14</v>
      </c>
      <c r="U28" s="706">
        <f t="shared" si="11"/>
        <v>100</v>
      </c>
      <c r="V28" s="705" t="s">
        <v>14</v>
      </c>
      <c r="W28" s="706">
        <f t="shared" si="12"/>
        <v>100</v>
      </c>
      <c r="X28" s="1355"/>
      <c r="Y28" s="368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3"/>
      <c r="Q29" s="1352"/>
      <c r="R29" s="705"/>
      <c r="S29" s="706"/>
      <c r="T29" s="705"/>
      <c r="U29" s="706"/>
      <c r="V29" s="705"/>
      <c r="W29" s="706"/>
      <c r="X29" s="1355"/>
      <c r="Y29" s="368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3"/>
      <c r="Q30" s="1352" t="str">
        <f t="shared" si="8"/>
        <v>土地级别</v>
      </c>
      <c r="R30" s="705" t="s">
        <v>14</v>
      </c>
      <c r="S30" s="706">
        <f t="shared" si="10"/>
        <v>100</v>
      </c>
      <c r="T30" s="705" t="s">
        <v>14</v>
      </c>
      <c r="U30" s="706">
        <f t="shared" si="11"/>
        <v>100</v>
      </c>
      <c r="V30" s="705" t="s">
        <v>14</v>
      </c>
      <c r="W30" s="706">
        <f t="shared" si="12"/>
        <v>100</v>
      </c>
      <c r="X30" s="1355"/>
      <c r="Y30" s="368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3"/>
      <c r="Q31" s="1352">
        <f t="shared" si="8"/>
        <v>111</v>
      </c>
      <c r="R31" s="705" t="s">
        <v>14</v>
      </c>
      <c r="S31" s="706">
        <f t="shared" si="10"/>
        <v>100</v>
      </c>
      <c r="T31" s="705" t="s">
        <v>14</v>
      </c>
      <c r="U31" s="706">
        <f t="shared" si="11"/>
        <v>100</v>
      </c>
      <c r="V31" s="705" t="s">
        <v>14</v>
      </c>
      <c r="W31" s="706">
        <f t="shared" si="12"/>
        <v>100</v>
      </c>
      <c r="X31" s="1355"/>
      <c r="Y31" s="368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0" t="s">
        <v>1696</v>
      </c>
      <c r="Q32" s="1352">
        <f t="shared" si="8"/>
        <v>111</v>
      </c>
      <c r="R32" s="705" t="s">
        <v>14</v>
      </c>
      <c r="S32" s="706">
        <f t="shared" si="10"/>
        <v>100</v>
      </c>
      <c r="T32" s="705" t="s">
        <v>14</v>
      </c>
      <c r="U32" s="706">
        <f t="shared" si="11"/>
        <v>100</v>
      </c>
      <c r="V32" s="705" t="s">
        <v>14</v>
      </c>
      <c r="W32" s="706">
        <f t="shared" si="12"/>
        <v>100</v>
      </c>
      <c r="X32" s="1355"/>
      <c r="Y32" s="368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7"/>
      <c r="Q33" s="1352">
        <f t="shared" si="8"/>
        <v>111</v>
      </c>
      <c r="R33" s="708" t="s">
        <v>14</v>
      </c>
      <c r="S33" s="709">
        <f t="shared" si="10"/>
        <v>100</v>
      </c>
      <c r="T33" s="708" t="s">
        <v>14</v>
      </c>
      <c r="U33" s="709">
        <f t="shared" si="11"/>
        <v>100</v>
      </c>
      <c r="V33" s="708" t="s">
        <v>14</v>
      </c>
      <c r="W33" s="709">
        <f t="shared" si="12"/>
        <v>100</v>
      </c>
      <c r="X33" s="710"/>
      <c r="Y33" s="368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7"/>
      <c r="Q34" s="1352" t="str">
        <f>B34</f>
        <v>宗地面积</v>
      </c>
      <c r="R34" s="705" t="s">
        <v>14</v>
      </c>
      <c r="S34" s="706" t="e">
        <f t="shared" si="10"/>
        <v>#N/A</v>
      </c>
      <c r="T34" s="705" t="s">
        <v>14</v>
      </c>
      <c r="U34" s="706" t="e">
        <f t="shared" si="11"/>
        <v>#N/A</v>
      </c>
      <c r="V34" s="705" t="s">
        <v>14</v>
      </c>
      <c r="W34" s="706" t="e">
        <f t="shared" si="12"/>
        <v>#N/A</v>
      </c>
      <c r="X34" s="1355"/>
      <c r="Y34" s="368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7"/>
      <c r="Q35" s="1352" t="str">
        <f t="shared" ref="Q35:Q40" si="14">B35</f>
        <v>宗地形状</v>
      </c>
      <c r="R35" s="705" t="s">
        <v>14</v>
      </c>
      <c r="S35" s="706">
        <f t="shared" si="10"/>
        <v>100</v>
      </c>
      <c r="T35" s="705" t="s">
        <v>14</v>
      </c>
      <c r="U35" s="706">
        <f t="shared" si="11"/>
        <v>100</v>
      </c>
      <c r="V35" s="705" t="s">
        <v>14</v>
      </c>
      <c r="W35" s="706">
        <f t="shared" si="12"/>
        <v>100</v>
      </c>
      <c r="X35" s="1355"/>
      <c r="Y35" s="368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7"/>
      <c r="Q36" s="1352" t="str">
        <f t="shared" si="14"/>
        <v>宗地开发程度</v>
      </c>
      <c r="R36" s="701" t="s">
        <v>14</v>
      </c>
      <c r="S36" s="702">
        <f t="shared" si="10"/>
        <v>100</v>
      </c>
      <c r="T36" s="701" t="s">
        <v>14</v>
      </c>
      <c r="U36" s="702">
        <f t="shared" si="11"/>
        <v>100</v>
      </c>
      <c r="V36" s="701" t="s">
        <v>14</v>
      </c>
      <c r="W36" s="702">
        <f t="shared" si="12"/>
        <v>100</v>
      </c>
      <c r="X36" s="703"/>
      <c r="Y36" s="368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7" t="s">
        <v>1696</v>
      </c>
      <c r="Q37" s="1352" t="str">
        <f t="shared" si="14"/>
        <v>工程地质条件</v>
      </c>
      <c r="R37" s="705" t="s">
        <v>14</v>
      </c>
      <c r="S37" s="706">
        <f t="shared" si="10"/>
        <v>100</v>
      </c>
      <c r="T37" s="705" t="s">
        <v>14</v>
      </c>
      <c r="U37" s="706">
        <f t="shared" si="11"/>
        <v>100</v>
      </c>
      <c r="V37" s="705" t="s">
        <v>14</v>
      </c>
      <c r="W37" s="706">
        <f t="shared" si="12"/>
        <v>100</v>
      </c>
      <c r="X37" s="1355"/>
      <c r="Y37" s="368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7"/>
      <c r="Q38" s="1352">
        <f t="shared" si="14"/>
        <v>111</v>
      </c>
      <c r="R38" s="705" t="s">
        <v>14</v>
      </c>
      <c r="S38" s="706">
        <f t="shared" si="10"/>
        <v>100</v>
      </c>
      <c r="T38" s="705" t="s">
        <v>14</v>
      </c>
      <c r="U38" s="706">
        <f t="shared" si="11"/>
        <v>100</v>
      </c>
      <c r="V38" s="705" t="s">
        <v>14</v>
      </c>
      <c r="W38" s="706">
        <f t="shared" si="12"/>
        <v>100</v>
      </c>
      <c r="X38" s="1355"/>
      <c r="Y38" s="368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7"/>
      <c r="Q39" s="1352">
        <f t="shared" si="14"/>
        <v>111</v>
      </c>
      <c r="R39" s="705" t="s">
        <v>14</v>
      </c>
      <c r="S39" s="706">
        <f t="shared" si="10"/>
        <v>100</v>
      </c>
      <c r="T39" s="705" t="s">
        <v>14</v>
      </c>
      <c r="U39" s="706">
        <f t="shared" si="11"/>
        <v>100</v>
      </c>
      <c r="V39" s="705" t="s">
        <v>14</v>
      </c>
      <c r="W39" s="706">
        <f t="shared" si="12"/>
        <v>100</v>
      </c>
      <c r="X39" s="1355"/>
      <c r="Y39" s="368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7"/>
      <c r="Q40" s="1352">
        <f t="shared" si="14"/>
        <v>111</v>
      </c>
      <c r="R40" s="708" t="s">
        <v>14</v>
      </c>
      <c r="S40" s="709">
        <f t="shared" si="10"/>
        <v>100</v>
      </c>
      <c r="T40" s="708" t="s">
        <v>14</v>
      </c>
      <c r="U40" s="709">
        <f t="shared" si="11"/>
        <v>100</v>
      </c>
      <c r="V40" s="708" t="s">
        <v>14</v>
      </c>
      <c r="W40" s="709">
        <f t="shared" si="12"/>
        <v>100</v>
      </c>
      <c r="X40" s="710"/>
      <c r="Y40" s="368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0" t="str">
        <f>A41</f>
        <v>成交单价</v>
      </c>
      <c r="Q41" s="3680"/>
      <c r="R41" s="3711">
        <f>E41</f>
        <v>0</v>
      </c>
      <c r="S41" s="3711"/>
      <c r="T41" s="3711">
        <f>G41</f>
        <v>0</v>
      </c>
      <c r="U41" s="3711"/>
      <c r="V41" s="3711">
        <f>I41</f>
        <v>0</v>
      </c>
      <c r="W41" s="371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0" t="str">
        <f>A42</f>
        <v>比较价值（元/平方米）</v>
      </c>
      <c r="Q42" s="3680"/>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7" t="str">
        <f>A43</f>
        <v>估价对象XX用房的比较价值（楼面单价，元/平方米）</v>
      </c>
      <c r="Q43" s="3678"/>
      <c r="R43" s="3743" t="e">
        <f>ROUND(IF(D42="简单平均",AVERAGE(R42:W42),R42*F42+T42*H42+V42*J42),0)</f>
        <v>#DIV/0!</v>
      </c>
      <c r="S43" s="3743"/>
      <c r="T43" s="3743"/>
      <c r="U43" s="3743"/>
      <c r="V43" s="3743"/>
      <c r="W43" s="37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5" t="s">
        <v>1887</v>
      </c>
      <c r="H50" s="374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275.49</v>
      </c>
      <c r="F51" s="639" t="e">
        <f t="shared" ref="F51:F60" si="15">ROUND(B51*E51/10000,0)</f>
        <v>#DIV/0!</v>
      </c>
      <c r="G51" s="3691"/>
      <c r="H51" s="368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7">
        <f ca="1">ROUND(D2/10000,4)</f>
        <v>278.19670000000002</v>
      </c>
      <c r="C2" s="1387" t="s">
        <v>879</v>
      </c>
      <c r="D2" s="1471">
        <f ca="1">C40+J29+L46</f>
        <v>2781967</v>
      </c>
      <c r="E2" s="1388" t="s">
        <v>880</v>
      </c>
      <c r="F2" s="1389"/>
      <c r="G2" s="2706"/>
      <c r="H2" s="2695"/>
      <c r="I2" s="2695"/>
      <c r="J2" s="2695"/>
      <c r="K2" s="2696"/>
      <c r="L2" s="2695"/>
      <c r="M2" s="2695"/>
    </row>
    <row r="3" spans="1:37" ht="18" customHeight="1" thickBot="1">
      <c r="A3" s="1390" t="s">
        <v>881</v>
      </c>
      <c r="B3" s="1391">
        <f ca="1">IF(ISERROR(D2/F43),0,ROUND(D2/F43,0))</f>
        <v>10098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244651</v>
      </c>
      <c r="D5" s="1364" t="s">
        <v>889</v>
      </c>
      <c r="E5" s="1071"/>
      <c r="F5" s="1072"/>
      <c r="G5" s="1384"/>
      <c r="H5" s="299">
        <v>1</v>
      </c>
      <c r="I5" s="300" t="s">
        <v>888</v>
      </c>
      <c r="J5" s="1070">
        <f ca="1">J6+J10+J12</f>
        <v>0</v>
      </c>
      <c r="K5" s="1364" t="s">
        <v>889</v>
      </c>
      <c r="L5" s="1071"/>
      <c r="M5" s="1072"/>
    </row>
    <row r="6" spans="1:37" ht="18" customHeight="1">
      <c r="A6" s="1069" t="s">
        <v>398</v>
      </c>
      <c r="B6" s="3653" t="s">
        <v>694</v>
      </c>
      <c r="C6" s="1074">
        <f ca="1">ROUND(F6*F8*F7*(1-F9),0)</f>
        <v>244346</v>
      </c>
      <c r="D6" s="155" t="s">
        <v>2106</v>
      </c>
      <c r="E6" s="302" t="s">
        <v>696</v>
      </c>
      <c r="F6" s="303">
        <f ca="1">INDIRECT("'数据-取费表'!u"&amp;$G$1)</f>
        <v>2.7</v>
      </c>
      <c r="G6" s="1384"/>
      <c r="H6" s="1069" t="s">
        <v>398</v>
      </c>
      <c r="I6" s="3653" t="s">
        <v>694</v>
      </c>
      <c r="J6" s="301">
        <f ca="1">ROUND(M6*M8*M7*(1-M9),0)</f>
        <v>0</v>
      </c>
      <c r="K6" s="1376" t="s">
        <v>2107</v>
      </c>
      <c r="L6" s="302" t="s">
        <v>696</v>
      </c>
      <c r="M6" s="303">
        <f ca="1">INDIRECT("'数据-取费表'!z"&amp;$G$1)</f>
        <v>0</v>
      </c>
    </row>
    <row r="7" spans="1:37" ht="18" customHeight="1">
      <c r="A7" s="1073"/>
      <c r="B7" s="3654"/>
      <c r="C7" s="1075"/>
      <c r="D7" s="307"/>
      <c r="E7" s="1076" t="s">
        <v>697</v>
      </c>
      <c r="F7" s="303">
        <f ca="1">IF(INDIRECT("'数据-取费表'!ah"&amp;$G$1)="",INDIRECT("'数据-取费表'!k"&amp;$G$1),INDIRECT("'数据-取费表'!ah"&amp;$G$1))</f>
        <v>275.49</v>
      </c>
      <c r="G7" s="1384"/>
      <c r="H7" s="304"/>
      <c r="I7" s="3654"/>
      <c r="J7" s="306"/>
      <c r="K7" s="307"/>
      <c r="L7" s="302" t="s">
        <v>697</v>
      </c>
      <c r="M7" s="303">
        <f ca="1">F7</f>
        <v>275.49</v>
      </c>
    </row>
    <row r="8" spans="1:37" ht="18" customHeight="1">
      <c r="A8" s="304"/>
      <c r="B8" s="3654"/>
      <c r="C8" s="306"/>
      <c r="D8" s="307"/>
      <c r="E8" s="302" t="s">
        <v>698</v>
      </c>
      <c r="F8" s="303">
        <f ca="1">INDIRECT("'数据-取费表'!ai"&amp;$G$1)</f>
        <v>365</v>
      </c>
      <c r="G8" s="1384"/>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4"/>
      <c r="H9" s="304"/>
      <c r="I9" s="3655"/>
      <c r="J9" s="306"/>
      <c r="K9" s="307"/>
      <c r="L9" s="313" t="s">
        <v>699</v>
      </c>
      <c r="M9" s="314">
        <f ca="1">INDIRECT("'数据-取费表'!ab"&amp;$G$1)</f>
        <v>0</v>
      </c>
    </row>
    <row r="10" spans="1:37" ht="18" customHeight="1">
      <c r="A10" s="1069" t="s">
        <v>402</v>
      </c>
      <c r="B10" s="1365" t="s">
        <v>700</v>
      </c>
      <c r="C10" s="316">
        <f ca="1">ROUND(IF(F10="押一",C6/12*F11,IF(F10="押二",C6/12*2*F11,IF(F10="押三",C6/12*3*F11,C11*F11))),0)</f>
        <v>305</v>
      </c>
      <c r="D10" s="1366" t="s">
        <v>2116</v>
      </c>
      <c r="E10" s="313" t="s">
        <v>701</v>
      </c>
      <c r="F10" s="1116" t="s">
        <v>3385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713531</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688725</v>
      </c>
      <c r="D14" s="1345" t="s">
        <v>708</v>
      </c>
      <c r="E14" s="1342"/>
      <c r="F14" s="319"/>
      <c r="G14" s="1384"/>
      <c r="H14" s="982" t="s">
        <v>398</v>
      </c>
      <c r="I14" s="302" t="s">
        <v>709</v>
      </c>
      <c r="J14" s="21">
        <f ca="1">C29</f>
        <v>1019330</v>
      </c>
      <c r="K14" s="12"/>
      <c r="L14" s="807"/>
      <c r="M14" s="808"/>
    </row>
    <row r="15" spans="1:37" s="1397" customFormat="1" ht="18" customHeight="1" thickBot="1">
      <c r="A15" s="982" t="s">
        <v>399</v>
      </c>
      <c r="B15" s="302" t="s">
        <v>710</v>
      </c>
      <c r="C15" s="21">
        <f ca="1">ROUND(C14*F15,0)</f>
        <v>20662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10193</v>
      </c>
      <c r="K16" s="1087" t="s">
        <v>715</v>
      </c>
      <c r="L16" s="1088"/>
      <c r="M16" s="1072"/>
    </row>
    <row r="17" spans="1:37" s="1397" customFormat="1" ht="18" customHeight="1">
      <c r="A17" s="982" t="s">
        <v>681</v>
      </c>
      <c r="B17" s="302" t="s">
        <v>716</v>
      </c>
      <c r="C17" s="21">
        <f ca="1">ROUND(F17*(F43+INDIRECT("'数据-取费表'!S"&amp;$G$1)),0)</f>
        <v>55098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10331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774816</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15496</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10193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32798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-10193</v>
      </c>
      <c r="K25" s="1095" t="s">
        <v>753</v>
      </c>
      <c r="L25" s="1096"/>
      <c r="M25" s="1097"/>
    </row>
    <row r="26" spans="1:37" ht="18" customHeight="1">
      <c r="A26" s="982" t="s">
        <v>397</v>
      </c>
      <c r="B26" s="302" t="s">
        <v>754</v>
      </c>
      <c r="C26" s="21">
        <f ca="1">ROUND((C19+C20)*F26,0)</f>
        <v>118547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1019330</v>
      </c>
      <c r="D29" s="1092"/>
      <c r="E29" s="1090"/>
      <c r="F29" s="1093"/>
      <c r="G29" s="1396"/>
      <c r="H29" s="334" t="s">
        <v>396</v>
      </c>
      <c r="I29" s="335" t="s">
        <v>768</v>
      </c>
      <c r="J29" s="336">
        <f ca="1">ROUND(J26/(1+F40)^F41,0)</f>
        <v>0</v>
      </c>
      <c r="K29" s="337" t="s">
        <v>769</v>
      </c>
      <c r="L29" s="338"/>
      <c r="M29" s="339">
        <f ca="1">INDIRECT("'数据-取费表'!k"&amp;$G$1)</f>
        <v>275.49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29644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16290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10193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714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2447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215007</v>
      </c>
      <c r="D39" s="1095" t="s">
        <v>773</v>
      </c>
      <c r="E39" s="1096"/>
      <c r="F39" s="1097"/>
      <c r="G39" s="1384"/>
      <c r="H39" s="2700"/>
      <c r="I39" s="1398"/>
      <c r="J39" s="1399"/>
      <c r="K39" s="2704"/>
      <c r="L39" s="2700"/>
      <c r="M39" s="2700"/>
    </row>
    <row r="40" spans="1:18" ht="18" customHeight="1">
      <c r="A40" s="299" t="s">
        <v>395</v>
      </c>
      <c r="B40" s="300" t="s">
        <v>774</v>
      </c>
      <c r="C40" s="301">
        <f ca="1">ROUND(C39*(1-((1+F42)/(1+F40))^F41)/(F40-F42),0)</f>
        <v>2671770</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9698</v>
      </c>
      <c r="D43" s="337" t="s">
        <v>777</v>
      </c>
      <c r="E43" s="338" t="s">
        <v>778</v>
      </c>
      <c r="F43" s="339">
        <f ca="1">INDIRECT("'数据-取费表'!k"&amp;$G$1)</f>
        <v>275.49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3" t="s">
        <v>3361</v>
      </c>
      <c r="B45" s="1400"/>
      <c r="C45" s="1472">
        <f ca="1">ROUND((C68-C40)/10000,4)</f>
        <v>-278.60449999999997</v>
      </c>
      <c r="D45" s="3434" t="s">
        <v>3362</v>
      </c>
      <c r="E45" s="1400"/>
      <c r="F45" s="1400"/>
      <c r="O45" s="1403" t="s">
        <v>808</v>
      </c>
      <c r="P45" s="1461"/>
      <c r="Q45" s="1461"/>
      <c r="R45" s="1461"/>
    </row>
    <row r="46" spans="1:18" s="1384" customFormat="1" ht="13.5" thickBot="1">
      <c r="A46" s="1404" t="s">
        <v>809</v>
      </c>
      <c r="C46" s="1405">
        <f ca="1">ROUND(C45,0)</f>
        <v>-279</v>
      </c>
      <c r="D46" s="1406" t="str">
        <f>C2</f>
        <v>万元</v>
      </c>
      <c r="I46" s="1407" t="s">
        <v>810</v>
      </c>
      <c r="J46" s="1408"/>
      <c r="K46" s="1409"/>
      <c r="L46" s="1410">
        <f ca="1">IF(M47="住宅",0,IF(L48&gt;J51,L60,J60))</f>
        <v>110197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3386</v>
      </c>
      <c r="K47" s="1416" t="s">
        <v>816</v>
      </c>
      <c r="L47" s="1417">
        <f ca="1">INDIRECT("'数据-取费表'!d"&amp;$G$1)</f>
        <v>40</v>
      </c>
      <c r="M47" s="1380" t="str">
        <f>IF(ISNUMBER(FIND("住宅",C1)),"住宅","非住宅")</f>
        <v>非住宅</v>
      </c>
      <c r="O47" s="1418" t="s">
        <v>403</v>
      </c>
      <c r="P47" s="1419" t="s">
        <v>817</v>
      </c>
      <c r="Q47" s="1420">
        <f ca="1">C40+J29</f>
        <v>2671770</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17</v>
      </c>
      <c r="O48" s="1418" t="s">
        <v>404</v>
      </c>
      <c r="P48" s="1419" t="s">
        <v>821</v>
      </c>
      <c r="Q48" s="1420">
        <f ca="1">J60</f>
        <v>110197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2002</v>
      </c>
      <c r="K49" s="1423" t="s">
        <v>824</v>
      </c>
      <c r="L49" s="1427"/>
      <c r="O49" s="1428" t="s">
        <v>405</v>
      </c>
      <c r="P49" s="1419" t="s">
        <v>825</v>
      </c>
      <c r="Q49" s="1420">
        <f ca="1">C29</f>
        <v>1019330</v>
      </c>
      <c r="R49" s="1420" t="s">
        <v>818</v>
      </c>
    </row>
    <row r="50" spans="1:18" s="1384" customFormat="1" ht="13.5" thickBot="1">
      <c r="A50" s="976"/>
      <c r="B50" s="979"/>
      <c r="C50" s="980"/>
      <c r="D50" s="953"/>
      <c r="E50" s="1056" t="s">
        <v>697</v>
      </c>
      <c r="F50" s="1057">
        <f ca="1">F7</f>
        <v>275.49</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29</v>
      </c>
      <c r="K51" s="1434" t="s">
        <v>830</v>
      </c>
      <c r="L51" s="1435">
        <f ca="1">ROUND(-PV(INDIRECT("'数据-取费表'!h"&amp;$G$1),J51,(C39-C13*C76),0),0)</f>
        <v>2314684</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17</v>
      </c>
      <c r="K53" s="3651" t="s">
        <v>837</v>
      </c>
      <c r="L53" s="3652"/>
      <c r="O53" s="1418" t="s">
        <v>409</v>
      </c>
      <c r="P53" s="1419" t="s">
        <v>838</v>
      </c>
      <c r="Q53" s="1420">
        <f ca="1">Q47+Q48</f>
        <v>2781967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713531</v>
      </c>
      <c r="D56" s="1447"/>
      <c r="E56" s="1448"/>
      <c r="F56" s="1440"/>
      <c r="I56" s="1449" t="s">
        <v>842</v>
      </c>
      <c r="J56" s="1450" t="s">
        <v>3388</v>
      </c>
      <c r="K56" s="1421" t="s">
        <v>843</v>
      </c>
      <c r="L56" s="1424" t="str">
        <f ca="1">IF(L48&lt;J51,"——",L48-J51)</f>
        <v>——</v>
      </c>
      <c r="O56" s="1418" t="s">
        <v>403</v>
      </c>
      <c r="P56" s="1419" t="s">
        <v>817</v>
      </c>
      <c r="Q56" s="1420">
        <f ca="1">C40+J29</f>
        <v>2671770</v>
      </c>
      <c r="R56" s="1420" t="s">
        <v>818</v>
      </c>
    </row>
    <row r="57" spans="1:18" s="1384" customFormat="1" ht="24.75" thickBot="1">
      <c r="A57" s="1451"/>
      <c r="B57" s="950" t="s">
        <v>767</v>
      </c>
      <c r="C57" s="238">
        <f ca="1">C29</f>
        <v>1019330</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10907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407732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110197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2671770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10193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714</v>
      </c>
      <c r="D65" s="964" t="s">
        <v>743</v>
      </c>
      <c r="E65" s="950" t="s">
        <v>744</v>
      </c>
      <c r="F65" s="330">
        <f t="shared" ca="1" si="0"/>
        <v>1E-3</v>
      </c>
      <c r="I65" s="1462" t="s">
        <v>867</v>
      </c>
      <c r="J65" s="1463">
        <v>40</v>
      </c>
      <c r="K65" s="1463">
        <v>30</v>
      </c>
      <c r="L65" s="1463">
        <v>50</v>
      </c>
      <c r="M65" s="1465">
        <v>0.02</v>
      </c>
      <c r="O65" s="1418" t="s">
        <v>403</v>
      </c>
      <c r="P65" s="1419" t="s">
        <v>868</v>
      </c>
      <c r="Q65" s="1420">
        <f ca="1">C40+J29</f>
        <v>2671770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-10907</v>
      </c>
      <c r="D67" s="963" t="s">
        <v>753</v>
      </c>
      <c r="E67" s="968"/>
      <c r="F67" s="969"/>
      <c r="O67" s="1428" t="s">
        <v>405</v>
      </c>
      <c r="P67" s="1419" t="s">
        <v>850</v>
      </c>
      <c r="Q67" s="1466">
        <f ca="1">L51</f>
        <v>2314684</v>
      </c>
      <c r="R67" s="1420" t="s">
        <v>870</v>
      </c>
    </row>
    <row r="68" spans="1:18" s="1384" customFormat="1" ht="16.5" thickBot="1">
      <c r="A68" s="947" t="s">
        <v>395</v>
      </c>
      <c r="B68" s="948" t="s">
        <v>774</v>
      </c>
      <c r="C68" s="301">
        <f ca="1">ROUND(C67*(1-((1+F70)/(1+F68))^F69)/(F68-F70),0)</f>
        <v>-114275</v>
      </c>
      <c r="D68" s="965" t="s">
        <v>758</v>
      </c>
      <c r="E68" s="950" t="s">
        <v>759</v>
      </c>
      <c r="F68" s="312">
        <f ca="1">F40</f>
        <v>0.06</v>
      </c>
      <c r="O68" s="1428" t="s">
        <v>406</v>
      </c>
      <c r="P68" s="1467" t="s">
        <v>871</v>
      </c>
      <c r="Q68" s="1420">
        <f ca="1">ROUND(Q69-Q70*Q71,0)</f>
        <v>161492</v>
      </c>
      <c r="R68" s="1420" t="s">
        <v>414</v>
      </c>
    </row>
    <row r="69" spans="1:18" s="1384" customFormat="1" ht="13.5" thickBot="1">
      <c r="A69" s="951"/>
      <c r="B69" s="952"/>
      <c r="C69" s="306"/>
      <c r="D69" s="970" t="s">
        <v>762</v>
      </c>
      <c r="E69" s="950" t="s">
        <v>763</v>
      </c>
      <c r="F69" s="333">
        <f ca="1">F41</f>
        <v>17</v>
      </c>
      <c r="O69" s="1428" t="s">
        <v>411</v>
      </c>
      <c r="P69" s="1467" t="s">
        <v>872</v>
      </c>
      <c r="Q69" s="1420">
        <f ca="1">C39</f>
        <v>215007</v>
      </c>
      <c r="R69" s="1420" t="s">
        <v>818</v>
      </c>
    </row>
    <row r="70" spans="1:18" s="1384" customFormat="1" ht="13.5" thickBot="1">
      <c r="A70" s="954"/>
      <c r="B70" s="955"/>
      <c r="C70" s="310"/>
      <c r="D70" s="966"/>
      <c r="E70" s="950" t="s">
        <v>766</v>
      </c>
      <c r="F70" s="1054"/>
      <c r="O70" s="1428" t="s">
        <v>412</v>
      </c>
      <c r="P70" s="1467" t="s">
        <v>873</v>
      </c>
      <c r="Q70" s="1420">
        <f ca="1">C13</f>
        <v>713531</v>
      </c>
      <c r="R70" s="1420" t="s">
        <v>818</v>
      </c>
    </row>
    <row r="71" spans="1:18" s="1384" customFormat="1" ht="13.5" thickBot="1">
      <c r="A71" s="971" t="s">
        <v>396</v>
      </c>
      <c r="B71" s="972" t="s">
        <v>776</v>
      </c>
      <c r="C71" s="336">
        <f ca="1">ROUND(C68/F71,0)</f>
        <v>-415</v>
      </c>
      <c r="D71" s="973" t="s">
        <v>777</v>
      </c>
      <c r="E71" s="974" t="s">
        <v>778</v>
      </c>
      <c r="F71" s="339">
        <f ca="1">F43</f>
        <v>275.49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53515</v>
      </c>
      <c r="D75" s="1384"/>
      <c r="E75" s="1384"/>
      <c r="F75" s="1384"/>
      <c r="K75" s="1402"/>
      <c r="L75" s="1384"/>
      <c r="O75" s="1418" t="s">
        <v>409</v>
      </c>
      <c r="P75" s="1419" t="s">
        <v>838</v>
      </c>
      <c r="Q75" s="1420">
        <f ca="1">Q65+Q66</f>
        <v>2671770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0.751</v>
      </c>
    </row>
    <row r="80" spans="1:18">
      <c r="B80" s="340" t="s">
        <v>800</v>
      </c>
      <c r="C80" s="274">
        <f ca="1">ROUND(C75/C39,3)</f>
        <v>0.249</v>
      </c>
    </row>
    <row r="81" spans="2:3">
      <c r="B81" s="270" t="s">
        <v>801</v>
      </c>
      <c r="C81" s="238"/>
    </row>
    <row r="82" spans="2:3">
      <c r="B82" s="273" t="s">
        <v>802</v>
      </c>
      <c r="C82" s="275">
        <f ca="1">1-C83</f>
        <v>0.73299999999999998</v>
      </c>
    </row>
    <row r="83" spans="2:3">
      <c r="B83" s="273" t="s">
        <v>803</v>
      </c>
      <c r="C83" s="274">
        <f ca="1">ROUND(C13/C40,3)</f>
        <v>0.26700000000000002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4"/>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3">
        <f>ROUND(SUMPRODUCT((B106:B110=R2)*(C105:N105=G2)*(C106:N110)),4)</f>
        <v>0</v>
      </c>
      <c r="T2" s="3363" t="e">
        <f t="shared" ref="T2:T16" si="0">ROUND($C$5*$C$22*$C$23*$C$24*S2*$C$28,0)</f>
        <v>#DIV/0!</v>
      </c>
      <c r="U2" s="1213"/>
      <c r="V2" s="3363"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2"/>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3">
        <f>ROUND(SUMPRODUCT((B106:B110=R3)*(C105:N105=G2)*(C106:N110)),4)</f>
        <v>0</v>
      </c>
      <c r="T3" s="3363" t="e">
        <f t="shared" si="0"/>
        <v>#DIV/0!</v>
      </c>
      <c r="U3" s="1213"/>
      <c r="V3" s="3363" t="e">
        <f t="shared" ref="V3:V16" si="1">ROUND(T3*U3/10000,0)</f>
        <v>#DIV/0!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3">
        <f>ROUND(SUMPRODUCT((B106:B110=R4)*(C105:N105=G2)*(C106:N110)),4)</f>
        <v>0</v>
      </c>
      <c r="T4" s="3363" t="e">
        <f t="shared" si="0"/>
        <v>#DIV/0!</v>
      </c>
      <c r="U4" s="1213"/>
      <c r="V4" s="3363"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3">
        <f>ROUND(SUMPRODUCT((B106:B110=R5)*(C105:N105=G2)*(C106:N110)),4)</f>
        <v>0</v>
      </c>
      <c r="T5" s="3363" t="e">
        <f t="shared" si="0"/>
        <v>#DIV/0!</v>
      </c>
      <c r="U5" s="1213"/>
      <c r="V5" s="3363"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3">
        <f>ROUND(SUMPRODUCT((B106:B110=R6)*(C105:N105=G2)*(C106:N110)),4)</f>
        <v>0</v>
      </c>
      <c r="T6" s="3363" t="e">
        <f t="shared" si="0"/>
        <v>#DIV/0!</v>
      </c>
      <c r="U6" s="1213"/>
      <c r="V6" s="3363" t="e">
        <f t="shared" si="1"/>
        <v>#DIV/0!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1"/>
      <c r="T7" s="3363" t="e">
        <f t="shared" si="0"/>
        <v>#DIV/0!</v>
      </c>
      <c r="U7" s="1213"/>
      <c r="V7" s="3363"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300"/>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3" t="e">
        <f t="shared" si="0"/>
        <v>#DIV/0!</v>
      </c>
      <c r="U8" s="1213"/>
      <c r="V8" s="3363" t="e">
        <f t="shared" si="1"/>
        <v>#DIV/0!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3" t="e">
        <f t="shared" si="0"/>
        <v>#DIV/0!</v>
      </c>
      <c r="U9" s="1213"/>
      <c r="V9" s="3363" t="e">
        <f t="shared" si="1"/>
        <v>#DIV/0!</v>
      </c>
      <c r="W9" s="3761"/>
      <c r="X9" s="3364" t="s">
        <v>3277</v>
      </c>
      <c r="Y9" s="3365">
        <v>6</v>
      </c>
      <c r="Z9" s="3366">
        <f>$Y$9</f>
        <v>6</v>
      </c>
      <c r="AA9" s="3366">
        <f t="shared" ref="AA9:AJ9" si="2">$Y$9</f>
        <v>6</v>
      </c>
      <c r="AB9" s="3366">
        <f t="shared" si="2"/>
        <v>6</v>
      </c>
      <c r="AC9" s="3366">
        <f t="shared" si="2"/>
        <v>6</v>
      </c>
      <c r="AD9" s="3366">
        <f t="shared" si="2"/>
        <v>6</v>
      </c>
      <c r="AE9" s="3366">
        <f t="shared" si="2"/>
        <v>6</v>
      </c>
      <c r="AF9" s="3366">
        <f t="shared" si="2"/>
        <v>6</v>
      </c>
      <c r="AG9" s="3366">
        <f t="shared" si="2"/>
        <v>6</v>
      </c>
      <c r="AH9" s="3366">
        <f t="shared" si="2"/>
        <v>6</v>
      </c>
      <c r="AI9" s="3366">
        <f t="shared" si="2"/>
        <v>6</v>
      </c>
      <c r="AJ9" s="3366">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3" t="e">
        <f t="shared" si="0"/>
        <v>#DIV/0!</v>
      </c>
      <c r="U10" s="1213"/>
      <c r="V10" s="3363" t="e">
        <f t="shared" si="1"/>
        <v>#DIV/0!</v>
      </c>
      <c r="W10" s="3761"/>
      <c r="X10" s="3364">
        <v>6</v>
      </c>
      <c r="Y10" s="3367">
        <f>ROUND((-0.5556*(Y9^2)-0.2719*Y9+8944)*(10^(-4)),4)</f>
        <v>0.89219999999999999</v>
      </c>
      <c r="Z10" s="3367">
        <f>ROUND((-0.5556*(Z9^2)-0.2719*Z9+8944)*(10^(-4)),4)</f>
        <v>0.89219999999999999</v>
      </c>
      <c r="AA10" s="3367">
        <f>ROUND((-0.7912*(AA9^2)-11.3794*AA9+8482)*(10^(-4)),4)</f>
        <v>0.83850000000000002</v>
      </c>
      <c r="AB10" s="3367">
        <f>ROUND((-0.7912*(AB9^2)-11.3794*AB9+8482)*(10^(-4)),4)</f>
        <v>0.83850000000000002</v>
      </c>
      <c r="AC10" s="3367">
        <f>ROUND((-0.7912*(AC9^2)-11.3794*AC9+8482)*(10^(-4)),4)</f>
        <v>0.83850000000000002</v>
      </c>
      <c r="AD10" s="3367">
        <f>ROUND((-0.7912*(AD9^2)-11.3794*AD9+8482)*(10^(-4)),4)</f>
        <v>0.83850000000000002</v>
      </c>
      <c r="AE10" s="3367">
        <f>ROUND((-0.7912*(AE9^2)-11.3794*AE9+8482)*(10^(-4)),4)</f>
        <v>0.83850000000000002</v>
      </c>
      <c r="AF10" s="3367">
        <f>ROUND((-0.989*(AF9^2)-63.78*AF9+7771)*(10^(-4)),4)</f>
        <v>0.73529999999999995</v>
      </c>
      <c r="AG10" s="3367">
        <f>ROUND((-0.989*(AG9^2)-63.78*AG9+7771)*(10^(-4)),4)</f>
        <v>0.73529999999999995</v>
      </c>
      <c r="AH10" s="3367">
        <f>ROUND((-0.989*(AH9^2)-63.78*AH9+7771)*(10^(-4)),4)</f>
        <v>0.73529999999999995</v>
      </c>
      <c r="AI10" s="3367">
        <f>ROUND((-0.989*(AI9^2)-63.78*AI9+7771)*(10^(-4)),4)</f>
        <v>0.73529999999999995</v>
      </c>
      <c r="AJ10" s="3367">
        <f>ROUND((-0.989*(AJ9^2)-63.78*AJ9+7771)*(10^(-4)),4)</f>
        <v>0.73529999999999995</v>
      </c>
    </row>
    <row r="11" spans="1:36" ht="15.75"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3" t="e">
        <f t="shared" si="0"/>
        <v>#DIV/0!</v>
      </c>
      <c r="U11" s="1213"/>
      <c r="V11" s="3363" t="e">
        <f t="shared" si="1"/>
        <v>#DIV/0!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3" t="e">
        <f t="shared" si="0"/>
        <v>#DIV/0!</v>
      </c>
      <c r="U12" s="1213"/>
      <c r="V12" s="3363" t="e">
        <f t="shared" si="1"/>
        <v>#DIV/0!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3" t="e">
        <f t="shared" si="0"/>
        <v>#DIV/0!</v>
      </c>
      <c r="U13" s="1213"/>
      <c r="V13" s="3363" t="e">
        <f t="shared" si="1"/>
        <v>#DIV/0!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3" t="e">
        <f t="shared" si="0"/>
        <v>#DIV/0!</v>
      </c>
      <c r="U14" s="1213"/>
      <c r="V14" s="3363" t="e">
        <f t="shared" si="1"/>
        <v>#DIV/0!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3" t="e">
        <f t="shared" si="0"/>
        <v>#DIV/0!</v>
      </c>
      <c r="U15" s="1213"/>
      <c r="V15" s="3363" t="e">
        <f t="shared" si="1"/>
        <v>#DIV/0!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3" t="e">
        <f t="shared" si="0"/>
        <v>#DIV/0!</v>
      </c>
      <c r="U16" s="1213"/>
      <c r="V16" s="3363" t="e">
        <f t="shared" si="1"/>
        <v>#DIV/0!</v>
      </c>
      <c r="W16" s="1216"/>
      <c r="X16" s="1216"/>
      <c r="Y16" s="1216"/>
      <c r="Z16" s="1216"/>
      <c r="AA16" s="1216"/>
      <c r="AB16" s="1216"/>
      <c r="AC16" s="1217"/>
      <c r="AD16" s="2789"/>
      <c r="AE16" s="2789"/>
      <c r="AF16" s="2789"/>
      <c r="AG16" s="2789"/>
      <c r="AH16" s="2789"/>
      <c r="AI16" s="2789"/>
      <c r="AJ16" s="2790"/>
    </row>
    <row r="17" spans="1:37">
      <c r="A17" s="3331" t="s">
        <v>3254</v>
      </c>
      <c r="B17" s="3322" t="s">
        <v>3255</v>
      </c>
      <c r="C17" s="3332">
        <f>ROUND(IF(OR(E2="工业",E2="公共服务"),1,IF(AND(E18=0,E19=0),1,IF(AND(E18=J24,E19=G19),0.8,IF(E19=0,1+E17*(-0.2),1+E17*G17*(-0.2))))),4)</f>
        <v>1</v>
      </c>
      <c r="D17" s="3323" t="s">
        <v>3256</v>
      </c>
      <c r="E17" s="3332" t="e">
        <f>ROUND(G18/I18,2)</f>
        <v>#DIV/0!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c r="F18" s="3325" t="s">
        <v>3260</v>
      </c>
      <c r="G18" s="3329">
        <f>ROUND(1-(1/(POWER(1+G24,E18))),4)</f>
        <v>0</v>
      </c>
      <c r="H18" s="3325" t="s">
        <v>3262</v>
      </c>
      <c r="I18" s="3329">
        <f>ROUND(1-(1/(POWER(1+G24,J24))),4)</f>
        <v>0</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6" t="s">
        <v>3263</v>
      </c>
      <c r="B20" s="167" t="s">
        <v>1994</v>
      </c>
      <c r="C20" s="3326" t="e">
        <f>ROUND(IF(F21="与级别开发程度一致",0,(G21-E21)/C21),0)</f>
        <v>#DIV/0!</v>
      </c>
      <c r="D20" s="3342" t="s">
        <v>1998</v>
      </c>
      <c r="E20" s="3343"/>
      <c r="F20" s="3772" t="s">
        <v>1995</v>
      </c>
      <c r="G20" s="3773"/>
      <c r="H20" s="3327"/>
      <c r="I20" s="3327"/>
      <c r="J20" s="3328"/>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4" t="s">
        <v>2002</v>
      </c>
      <c r="E23" s="761">
        <v>44197</v>
      </c>
      <c r="F23" s="2054" t="s">
        <v>2003</v>
      </c>
      <c r="G23" s="762">
        <f>'数据-取费表'!B2</f>
        <v>44930</v>
      </c>
      <c r="H23" s="3344" t="s">
        <v>3265</v>
      </c>
      <c r="I23" s="3345" t="str">
        <f>IF(H23="季度增幅（自定义）",SUMIF(N25:N28,E2,O25:O28),"")</f>
        <v/>
      </c>
      <c r="J23" s="3346" t="s">
        <v>3264</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7"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7" t="s">
        <v>3267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3" t="s">
        <v>1936</v>
      </c>
      <c r="M30" s="3354" t="s">
        <v>1990</v>
      </c>
      <c r="N30" s="3354" t="s">
        <v>1991</v>
      </c>
      <c r="O30" s="3354" t="s">
        <v>1992</v>
      </c>
      <c r="P30" s="3354" t="s">
        <v>1993</v>
      </c>
      <c r="Q30" s="3357"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5" t="s">
        <v>1996</v>
      </c>
      <c r="M31" s="2000">
        <v>0.25</v>
      </c>
      <c r="N31" s="2000">
        <v>0.2</v>
      </c>
      <c r="O31" s="2000">
        <v>0.15</v>
      </c>
      <c r="P31" s="2000">
        <v>0.1</v>
      </c>
      <c r="Q31" s="3350">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6" t="s">
        <v>1999</v>
      </c>
      <c r="M32" s="2570">
        <f>ROUND($E$24*(1+M31),3)</f>
        <v>5.3999999999999999E-2</v>
      </c>
      <c r="N32" s="2570">
        <f>ROUND($E$24*(1+N31),3)</f>
        <v>5.1999999999999998E-2</v>
      </c>
      <c r="O32" s="2570">
        <f>ROUND($E$24*(1+O31),3)</f>
        <v>0.05</v>
      </c>
      <c r="P32" s="2570">
        <f>ROUND($E$24*(1+P31),3)</f>
        <v>4.8000000000000001E-2</v>
      </c>
      <c r="Q32" s="3358">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8" t="s">
        <v>3269</v>
      </c>
      <c r="G33" s="2099"/>
      <c r="H33" s="2099"/>
      <c r="I33" s="2099"/>
      <c r="J33" s="2100"/>
      <c r="K33" s="1119"/>
      <c r="L33" s="3351" t="s">
        <v>3272</v>
      </c>
      <c r="M33" s="3352">
        <v>5.5E-2</v>
      </c>
      <c r="N33" s="3352">
        <v>5.5E-2</v>
      </c>
      <c r="O33" s="3352">
        <v>0.05</v>
      </c>
      <c r="P33" s="3352">
        <v>0.05</v>
      </c>
      <c r="Q33" s="3352">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51" t="s">
        <v>3273</v>
      </c>
      <c r="M34" s="3352">
        <v>6.5000000000000002E-2</v>
      </c>
      <c r="N34" s="3352">
        <v>6.5000000000000002E-2</v>
      </c>
      <c r="O34" s="3352">
        <v>0.06</v>
      </c>
      <c r="P34" s="3352">
        <v>0.06</v>
      </c>
      <c r="Q34" s="3352">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9"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9" t="s">
        <v>3274</v>
      </c>
      <c r="L36" s="3359">
        <v>3.6999999999999998E-2</v>
      </c>
      <c r="M36" s="3360">
        <f>ROUND($L$36*(1+M31),3)</f>
        <v>4.5999999999999999E-2</v>
      </c>
      <c r="N36" s="3360">
        <f>ROUND($L$36*(1+N31),3)</f>
        <v>4.3999999999999997E-2</v>
      </c>
      <c r="O36" s="3360">
        <f>ROUND($L$36*(1+O31),3)</f>
        <v>4.2999999999999997E-2</v>
      </c>
      <c r="P36" s="3360">
        <f>ROUND($L$36*(1+P31),3)</f>
        <v>4.1000000000000002E-2</v>
      </c>
      <c r="Q36" s="3360">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61" t="s">
        <v>3275</v>
      </c>
      <c r="L37" s="3359">
        <f>L36+K38</f>
        <v>4.1999999999999996E-2</v>
      </c>
      <c r="M37" s="3360">
        <f>ROUND($L$37*(1+M31),3)</f>
        <v>5.2999999999999999E-2</v>
      </c>
      <c r="N37" s="3360">
        <f t="shared" ref="N37:Q37" si="3">ROUND($L$37*(1+N31),3)</f>
        <v>0.05</v>
      </c>
      <c r="O37" s="3360">
        <f t="shared" si="3"/>
        <v>4.8000000000000001E-2</v>
      </c>
      <c r="P37" s="3360">
        <f t="shared" si="3"/>
        <v>4.5999999999999999E-2</v>
      </c>
      <c r="Q37" s="3360">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9">
        <v>5.0000000000000001E-3</v>
      </c>
      <c r="L38" s="3359"/>
      <c r="M38" s="3359"/>
      <c r="N38" s="3359"/>
      <c r="O38" s="3359"/>
      <c r="P38" s="3359"/>
      <c r="Q38" s="3359"/>
      <c r="R38" s="1119"/>
      <c r="S38" s="1119"/>
      <c r="T38" s="1119"/>
      <c r="U38" s="1119"/>
      <c r="V38" s="1119"/>
      <c r="W38" s="1119"/>
      <c r="X38" s="1119"/>
      <c r="Y38" s="1119"/>
      <c r="Z38" s="1120"/>
      <c r="AA38" s="1120"/>
      <c r="AB38" s="1120"/>
      <c r="AC38" s="1120"/>
      <c r="AD38" s="1120"/>
    </row>
    <row r="39" spans="1:37" ht="13.5" thickBot="1">
      <c r="A39" s="3771"/>
      <c r="B39" s="2041" t="s">
        <v>3268</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2"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1" t="s">
        <v>3278</v>
      </c>
      <c r="B52" s="2134">
        <f>估价对象房地状况!C19</f>
        <v>0</v>
      </c>
      <c r="C52" s="2044"/>
      <c r="D52" s="1065">
        <f t="shared" si="7"/>
        <v>0</v>
      </c>
      <c r="E52" s="745"/>
      <c r="F52" s="1814"/>
      <c r="G52" s="1063"/>
      <c r="H52" s="1066" t="str">
        <f t="shared" si="8"/>
        <v>——</v>
      </c>
      <c r="I52" s="336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7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71" t="s">
        <v>3278</v>
      </c>
      <c r="B63" s="2134">
        <f>估价对象房地状况!C19</f>
        <v>0</v>
      </c>
      <c r="C63" s="2044"/>
      <c r="D63" s="1065">
        <f t="shared" si="12"/>
        <v>0</v>
      </c>
      <c r="E63" s="745"/>
      <c r="F63" s="1814"/>
      <c r="G63" s="1063"/>
      <c r="H63" s="1066" t="str">
        <f t="shared" si="13"/>
        <v>——</v>
      </c>
      <c r="I63" s="336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7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71" t="s">
        <v>3278</v>
      </c>
      <c r="B74" s="2134">
        <f>估价对象房地状况!C19</f>
        <v>0</v>
      </c>
      <c r="C74" s="2044"/>
      <c r="D74" s="1065">
        <f t="shared" si="17"/>
        <v>0</v>
      </c>
      <c r="E74" s="747"/>
      <c r="F74" s="1814"/>
      <c r="G74" s="1063"/>
      <c r="H74" s="1066" t="str">
        <f t="shared" si="18"/>
        <v>——</v>
      </c>
      <c r="I74" s="3369">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9">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9">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9">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9">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9">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70">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9">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9">
        <v>0.3</v>
      </c>
      <c r="J84" s="1064">
        <f t="shared" si="24"/>
        <v>0</v>
      </c>
      <c r="K84" s="1064">
        <f t="shared" si="25"/>
        <v>0</v>
      </c>
      <c r="L84" s="1064">
        <v>0</v>
      </c>
      <c r="M84" s="1064">
        <f t="shared" si="26"/>
        <v>0</v>
      </c>
      <c r="N84" s="1064">
        <f t="shared" si="26"/>
        <v>0</v>
      </c>
      <c r="Z84" s="1998"/>
      <c r="AA84" s="2053"/>
      <c r="AG84" s="1121"/>
      <c r="AK84" s="2053"/>
    </row>
    <row r="85" spans="1:37" ht="36">
      <c r="A85" s="3371" t="s">
        <v>3279</v>
      </c>
      <c r="B85" s="2134">
        <f>估价对象房地状况!G17</f>
        <v>0</v>
      </c>
      <c r="C85" s="2044"/>
      <c r="D85" s="1065">
        <f t="shared" si="22"/>
        <v>0</v>
      </c>
      <c r="E85" s="747"/>
      <c r="F85" s="1814"/>
      <c r="G85" s="1063"/>
      <c r="H85" s="1066" t="str">
        <f t="shared" si="23"/>
        <v>——</v>
      </c>
      <c r="I85" s="3369">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9">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9">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9">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9">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70">
        <v>0.05</v>
      </c>
      <c r="J90" s="1064">
        <f t="shared" si="24"/>
        <v>0</v>
      </c>
      <c r="K90" s="1064">
        <f t="shared" si="25"/>
        <v>0</v>
      </c>
      <c r="L90" s="1064">
        <v>0</v>
      </c>
      <c r="M90" s="1064">
        <f t="shared" si="26"/>
        <v>0</v>
      </c>
      <c r="N90" s="1064">
        <f t="shared" si="26"/>
        <v>0</v>
      </c>
    </row>
    <row r="91" spans="1:37" ht="15">
      <c r="A91" s="3379" t="s">
        <v>2615</v>
      </c>
      <c r="B91" s="3380">
        <f>1+E93</f>
        <v>1</v>
      </c>
      <c r="C91" s="3373"/>
      <c r="D91" s="3374"/>
      <c r="E91" s="1814"/>
      <c r="F91" s="1814"/>
      <c r="G91" s="3375"/>
      <c r="H91" s="3376"/>
      <c r="I91" s="3377"/>
      <c r="J91" s="3378"/>
      <c r="K91" s="3378"/>
      <c r="L91" s="3378"/>
      <c r="M91" s="3378"/>
      <c r="N91" s="3378"/>
    </row>
    <row r="92" spans="1:37" ht="24.75">
      <c r="A92" s="3381" t="s">
        <v>3280</v>
      </c>
      <c r="B92" s="3368"/>
      <c r="C92" s="3368" t="s">
        <v>3289</v>
      </c>
      <c r="D92" s="3368" t="s">
        <v>3290</v>
      </c>
      <c r="E92" s="3350" t="s">
        <v>3291</v>
      </c>
      <c r="F92" s="3383" t="s">
        <v>3292</v>
      </c>
      <c r="G92" s="3368" t="s">
        <v>3293</v>
      </c>
      <c r="H92" s="3390" t="s">
        <v>3296</v>
      </c>
      <c r="I92" s="3368" t="s">
        <v>3297</v>
      </c>
      <c r="J92" s="3391" t="s">
        <v>3298</v>
      </c>
      <c r="K92" s="3391" t="s">
        <v>3299</v>
      </c>
      <c r="L92" s="3391" t="s">
        <v>3300</v>
      </c>
      <c r="M92" s="3391" t="s">
        <v>3301</v>
      </c>
      <c r="N92" s="3391" t="s">
        <v>3302</v>
      </c>
    </row>
    <row r="93" spans="1:37" ht="24">
      <c r="A93" s="3371" t="s">
        <v>3281</v>
      </c>
      <c r="B93" s="1306"/>
      <c r="C93" s="2044"/>
      <c r="D93" s="3368">
        <f>SUMIF($J$92:$N$92,C93,J93:N93)</f>
        <v>0</v>
      </c>
      <c r="E93" s="3384">
        <f>ROUND(SUM(D93:D101),4)</f>
        <v>0</v>
      </c>
      <c r="F93" s="1814" t="str">
        <f>IF(E2="公共服务",SUMIF(L1:L12,G2,N1:N12),"——")</f>
        <v>——</v>
      </c>
      <c r="G93" s="3375"/>
      <c r="H93" s="3423" t="str">
        <f>IFERROR(ROUNDDOWN($F$93*I93/2,4),"——")</f>
        <v>——</v>
      </c>
      <c r="I93" s="3369">
        <v>0.25</v>
      </c>
      <c r="J93" s="3347">
        <f t="shared" ref="J93:J101" si="27">K93+$G93</f>
        <v>0</v>
      </c>
      <c r="K93" s="3347">
        <f t="shared" ref="K93:K101" si="28">$L93+$G93</f>
        <v>0</v>
      </c>
      <c r="L93" s="3347">
        <v>0</v>
      </c>
      <c r="M93" s="3347">
        <f t="shared" ref="M93:N101" si="29">L93-$G93</f>
        <v>0</v>
      </c>
      <c r="N93" s="3347">
        <f t="shared" si="29"/>
        <v>0</v>
      </c>
    </row>
    <row r="94" spans="1:37" ht="38.25">
      <c r="A94" s="3381" t="s">
        <v>3282</v>
      </c>
      <c r="B94" s="3372" t="str">
        <f>估价对象房地状况!C18</f>
        <v>估价对象周边道路状况、公共交通通达情况、停车便捷程度，综合评价交通便捷度较好</v>
      </c>
      <c r="C94" s="2044"/>
      <c r="D94" s="3368">
        <f t="shared" ref="D94:D101" si="30">SUMIF($J$60:$N$60,C94,J94:N94)</f>
        <v>0</v>
      </c>
      <c r="E94" s="3385"/>
      <c r="F94" s="1814"/>
      <c r="G94" s="3375"/>
      <c r="H94" s="3423" t="str">
        <f>IFERROR(ROUNDDOWN($F$93*I94/2,4),"——")</f>
        <v>——</v>
      </c>
      <c r="I94" s="3369">
        <v>0.26</v>
      </c>
      <c r="J94" s="3347">
        <f t="shared" si="27"/>
        <v>0</v>
      </c>
      <c r="K94" s="3347">
        <f t="shared" si="28"/>
        <v>0</v>
      </c>
      <c r="L94" s="3347">
        <v>0</v>
      </c>
      <c r="M94" s="3347">
        <f t="shared" si="29"/>
        <v>0</v>
      </c>
      <c r="N94" s="3347">
        <f t="shared" si="29"/>
        <v>0</v>
      </c>
    </row>
    <row r="95" spans="1:37" ht="36">
      <c r="A95" s="3371" t="s">
        <v>3278</v>
      </c>
      <c r="B95" s="3372">
        <f>估价对象房地状况!C19</f>
        <v>0</v>
      </c>
      <c r="C95" s="2044"/>
      <c r="D95" s="3368">
        <f t="shared" si="30"/>
        <v>0</v>
      </c>
      <c r="E95" s="3385"/>
      <c r="F95" s="1814"/>
      <c r="G95" s="3375"/>
      <c r="H95" s="3423" t="str">
        <f t="shared" ref="H95:H101" si="31">IFERROR(ROUNDDOWN($F$93*I95/2,4),"——")</f>
        <v>——</v>
      </c>
      <c r="I95" s="3369">
        <v>0.11</v>
      </c>
      <c r="J95" s="3347">
        <f t="shared" si="27"/>
        <v>0</v>
      </c>
      <c r="K95" s="3347">
        <f t="shared" si="28"/>
        <v>0</v>
      </c>
      <c r="L95" s="3347">
        <v>0</v>
      </c>
      <c r="M95" s="3347">
        <f t="shared" si="29"/>
        <v>0</v>
      </c>
      <c r="N95" s="3347">
        <f t="shared" si="29"/>
        <v>0</v>
      </c>
    </row>
    <row r="96" spans="1:37" ht="36.75">
      <c r="A96" s="3381" t="s">
        <v>3283</v>
      </c>
      <c r="B96" s="3387" t="s">
        <v>3294</v>
      </c>
      <c r="C96" s="2044"/>
      <c r="D96" s="3368">
        <f t="shared" si="30"/>
        <v>0</v>
      </c>
      <c r="E96" s="3385"/>
      <c r="F96" s="1814"/>
      <c r="G96" s="3375"/>
      <c r="H96" s="3423" t="str">
        <f t="shared" si="31"/>
        <v>——</v>
      </c>
      <c r="I96" s="3369">
        <v>0.05</v>
      </c>
      <c r="J96" s="3347">
        <f t="shared" si="27"/>
        <v>0</v>
      </c>
      <c r="K96" s="3347">
        <f t="shared" si="28"/>
        <v>0</v>
      </c>
      <c r="L96" s="3347">
        <v>0</v>
      </c>
      <c r="M96" s="3347">
        <f t="shared" si="29"/>
        <v>0</v>
      </c>
      <c r="N96" s="3347">
        <f t="shared" si="29"/>
        <v>0</v>
      </c>
    </row>
    <row r="97" spans="1:14" ht="24">
      <c r="A97" s="3381" t="s">
        <v>3284</v>
      </c>
      <c r="B97" s="3372">
        <f>估价对象房地状况!C24</f>
        <v>0</v>
      </c>
      <c r="C97" s="2044"/>
      <c r="D97" s="3368">
        <f t="shared" si="30"/>
        <v>0</v>
      </c>
      <c r="E97" s="3385"/>
      <c r="F97" s="1814"/>
      <c r="G97" s="3375"/>
      <c r="H97" s="3423" t="str">
        <f t="shared" si="31"/>
        <v>——</v>
      </c>
      <c r="I97" s="3369">
        <v>0.05</v>
      </c>
      <c r="J97" s="3347">
        <f t="shared" si="27"/>
        <v>0</v>
      </c>
      <c r="K97" s="3347">
        <f t="shared" si="28"/>
        <v>0</v>
      </c>
      <c r="L97" s="3347">
        <v>0</v>
      </c>
      <c r="M97" s="3347">
        <f t="shared" si="29"/>
        <v>0</v>
      </c>
      <c r="N97" s="3347">
        <f t="shared" si="29"/>
        <v>0</v>
      </c>
    </row>
    <row r="98" spans="1:14" ht="24">
      <c r="A98" s="3381" t="s">
        <v>3285</v>
      </c>
      <c r="B98" s="3388" t="s">
        <v>3295</v>
      </c>
      <c r="C98" s="2044"/>
      <c r="D98" s="3368">
        <f t="shared" si="30"/>
        <v>0</v>
      </c>
      <c r="E98" s="3385"/>
      <c r="F98" s="1814"/>
      <c r="G98" s="3375"/>
      <c r="H98" s="3423" t="str">
        <f t="shared" si="31"/>
        <v>——</v>
      </c>
      <c r="I98" s="3369">
        <v>0.06</v>
      </c>
      <c r="J98" s="3347">
        <f t="shared" si="27"/>
        <v>0</v>
      </c>
      <c r="K98" s="3347">
        <f t="shared" si="28"/>
        <v>0</v>
      </c>
      <c r="L98" s="3347">
        <v>0</v>
      </c>
      <c r="M98" s="3347">
        <f t="shared" si="29"/>
        <v>0</v>
      </c>
      <c r="N98" s="3347">
        <f t="shared" si="29"/>
        <v>0</v>
      </c>
    </row>
    <row r="99" spans="1:14" ht="25.5">
      <c r="A99" s="3381" t="s">
        <v>3286</v>
      </c>
      <c r="B99" s="3372" t="str">
        <f>估价对象房地状况!C21</f>
        <v>估价对象所在区域公共配套设施齐备情况</v>
      </c>
      <c r="C99" s="2044"/>
      <c r="D99" s="3368">
        <f t="shared" si="30"/>
        <v>0</v>
      </c>
      <c r="E99" s="3385"/>
      <c r="F99" s="1814"/>
      <c r="G99" s="3375"/>
      <c r="H99" s="3423" t="str">
        <f t="shared" si="31"/>
        <v>——</v>
      </c>
      <c r="I99" s="3369">
        <v>0.06</v>
      </c>
      <c r="J99" s="3347">
        <f t="shared" si="27"/>
        <v>0</v>
      </c>
      <c r="K99" s="3347">
        <f t="shared" si="28"/>
        <v>0</v>
      </c>
      <c r="L99" s="3347">
        <v>0</v>
      </c>
      <c r="M99" s="3347">
        <f t="shared" si="29"/>
        <v>0</v>
      </c>
      <c r="N99" s="3347">
        <f t="shared" si="29"/>
        <v>0</v>
      </c>
    </row>
    <row r="100" spans="1:14" ht="25.5">
      <c r="A100" s="3381" t="s">
        <v>3287</v>
      </c>
      <c r="B100" s="3372" t="str">
        <f>估价对象房地状况!C22</f>
        <v>估价对象所在区域基础设施水平</v>
      </c>
      <c r="C100" s="2044"/>
      <c r="D100" s="3368">
        <f t="shared" si="30"/>
        <v>0</v>
      </c>
      <c r="E100" s="3385"/>
      <c r="F100" s="1814"/>
      <c r="G100" s="3375"/>
      <c r="H100" s="3423" t="str">
        <f t="shared" si="31"/>
        <v>——</v>
      </c>
      <c r="I100" s="3369">
        <v>0.09</v>
      </c>
      <c r="J100" s="3347">
        <f t="shared" si="27"/>
        <v>0</v>
      </c>
      <c r="K100" s="3347">
        <f t="shared" si="28"/>
        <v>0</v>
      </c>
      <c r="L100" s="3347">
        <v>0</v>
      </c>
      <c r="M100" s="3347">
        <f t="shared" si="29"/>
        <v>0</v>
      </c>
      <c r="N100" s="3347">
        <f t="shared" si="29"/>
        <v>0</v>
      </c>
    </row>
    <row r="101" spans="1:14" ht="26.25" thickBot="1">
      <c r="A101" s="3382" t="s">
        <v>3288</v>
      </c>
      <c r="B101" s="3389" t="str">
        <f>估价对象房地状况!C20</f>
        <v>区域自然环境：；人文环境；综合评价环境状况一般</v>
      </c>
      <c r="C101" s="2044"/>
      <c r="D101" s="3368">
        <f t="shared" si="30"/>
        <v>0</v>
      </c>
      <c r="E101" s="3386"/>
      <c r="F101" s="1814"/>
      <c r="G101" s="3375"/>
      <c r="H101" s="3423" t="str">
        <f t="shared" si="31"/>
        <v>——</v>
      </c>
      <c r="I101" s="3370">
        <v>7.0000000000000007E-2</v>
      </c>
      <c r="J101" s="3347">
        <f t="shared" si="27"/>
        <v>0</v>
      </c>
      <c r="K101" s="3347">
        <f t="shared" si="28"/>
        <v>0</v>
      </c>
      <c r="L101" s="3347">
        <v>0</v>
      </c>
      <c r="M101" s="3347">
        <f t="shared" si="29"/>
        <v>0</v>
      </c>
      <c r="N101" s="3347">
        <f t="shared" si="29"/>
        <v>0</v>
      </c>
    </row>
    <row r="103" spans="1:14">
      <c r="A103" s="3768" t="s">
        <v>3303</v>
      </c>
      <c r="B103" s="3768"/>
      <c r="C103" s="3768"/>
      <c r="D103" s="3768"/>
      <c r="E103" s="3768"/>
      <c r="F103" s="3768"/>
      <c r="G103" s="3768"/>
      <c r="H103" s="3768"/>
      <c r="I103" s="3768"/>
      <c r="J103" s="3768"/>
      <c r="K103" s="3392"/>
      <c r="L103" s="3392"/>
      <c r="M103" s="3392"/>
      <c r="N103" s="3392"/>
    </row>
    <row r="104" spans="1:14">
      <c r="A104" s="3769" t="s">
        <v>3304</v>
      </c>
      <c r="B104" s="3769" t="s">
        <v>3305</v>
      </c>
      <c r="C104" s="3393" t="s">
        <v>3306</v>
      </c>
      <c r="D104" s="3394"/>
      <c r="E104" s="3394"/>
      <c r="F104" s="3394"/>
      <c r="G104" s="3394"/>
      <c r="H104" s="3394"/>
      <c r="I104" s="3394"/>
      <c r="J104" s="3395"/>
      <c r="K104" s="3396"/>
      <c r="L104" s="3396"/>
      <c r="M104" s="3396"/>
      <c r="N104" s="3396"/>
    </row>
    <row r="105" spans="1:14">
      <c r="A105" s="3769"/>
      <c r="B105" s="3769"/>
      <c r="C105" s="3397" t="s">
        <v>3307</v>
      </c>
      <c r="D105" s="3397" t="s">
        <v>3308</v>
      </c>
      <c r="E105" s="3397" t="s">
        <v>3309</v>
      </c>
      <c r="F105" s="3397" t="s">
        <v>3310</v>
      </c>
      <c r="G105" s="3397" t="s">
        <v>3311</v>
      </c>
      <c r="H105" s="3397" t="s">
        <v>3312</v>
      </c>
      <c r="I105" s="3397" t="s">
        <v>3313</v>
      </c>
      <c r="J105" s="3397" t="s">
        <v>3314</v>
      </c>
      <c r="K105" s="3397" t="s">
        <v>3315</v>
      </c>
      <c r="L105" s="3397" t="s">
        <v>3316</v>
      </c>
      <c r="M105" s="3397" t="s">
        <v>3317</v>
      </c>
      <c r="N105" s="3397" t="s">
        <v>3318</v>
      </c>
    </row>
    <row r="106" spans="1:14">
      <c r="A106" s="3755" t="s">
        <v>3319</v>
      </c>
      <c r="B106" s="3397">
        <v>1</v>
      </c>
      <c r="C106" s="3397">
        <v>1.5206</v>
      </c>
      <c r="D106" s="3397">
        <v>1.5206</v>
      </c>
      <c r="E106" s="3397">
        <v>1.5019</v>
      </c>
      <c r="F106" s="3397">
        <v>1.5019</v>
      </c>
      <c r="G106" s="3397">
        <v>1.5019</v>
      </c>
      <c r="H106" s="3397">
        <v>1.5019</v>
      </c>
      <c r="I106" s="3397">
        <v>1.5019</v>
      </c>
      <c r="J106" s="3397">
        <v>1.5418000000000001</v>
      </c>
      <c r="K106" s="3397">
        <v>1.5418000000000001</v>
      </c>
      <c r="L106" s="3397">
        <v>1.5418000000000001</v>
      </c>
      <c r="M106" s="3397">
        <v>1.5418000000000001</v>
      </c>
      <c r="N106" s="3397">
        <v>1.5418000000000001</v>
      </c>
    </row>
    <row r="107" spans="1:14">
      <c r="A107" s="3756"/>
      <c r="B107" s="3397">
        <v>2</v>
      </c>
      <c r="C107" s="3397">
        <v>1.2072000000000001</v>
      </c>
      <c r="D107" s="3397">
        <v>1.2072000000000001</v>
      </c>
      <c r="E107" s="3397">
        <v>1.1838</v>
      </c>
      <c r="F107" s="3397">
        <v>1.1838</v>
      </c>
      <c r="G107" s="3397">
        <v>1.1838</v>
      </c>
      <c r="H107" s="3397">
        <v>1.1838</v>
      </c>
      <c r="I107" s="3397">
        <v>1.1838</v>
      </c>
      <c r="J107" s="3397">
        <v>1.1883999999999999</v>
      </c>
      <c r="K107" s="3397">
        <v>1.1883999999999999</v>
      </c>
      <c r="L107" s="3397">
        <v>1.1883999999999999</v>
      </c>
      <c r="M107" s="3397">
        <v>1.1883999999999999</v>
      </c>
      <c r="N107" s="3397">
        <v>1.1883999999999999</v>
      </c>
    </row>
    <row r="108" spans="1:14">
      <c r="A108" s="3756"/>
      <c r="B108" s="3397">
        <v>3</v>
      </c>
      <c r="C108" s="3397">
        <v>1.0430999999999999</v>
      </c>
      <c r="D108" s="3397">
        <v>1.0430999999999999</v>
      </c>
      <c r="E108" s="3397">
        <v>1.0004999999999999</v>
      </c>
      <c r="F108" s="3397">
        <v>1.0004999999999999</v>
      </c>
      <c r="G108" s="3397">
        <v>1.0004999999999999</v>
      </c>
      <c r="H108" s="3397">
        <v>1.0004999999999999</v>
      </c>
      <c r="I108" s="3397">
        <v>1.0004999999999999</v>
      </c>
      <c r="J108" s="3397">
        <v>0.96940000000000004</v>
      </c>
      <c r="K108" s="3397">
        <v>0.96940000000000004</v>
      </c>
      <c r="L108" s="3397">
        <v>0.96940000000000004</v>
      </c>
      <c r="M108" s="3397">
        <v>0.96940000000000004</v>
      </c>
      <c r="N108" s="3397">
        <v>0.96940000000000004</v>
      </c>
    </row>
    <row r="109" spans="1:14">
      <c r="A109" s="3756"/>
      <c r="B109" s="3397">
        <v>4</v>
      </c>
      <c r="C109" s="3397">
        <v>0.94389999999999996</v>
      </c>
      <c r="D109" s="3397">
        <v>0.94389999999999996</v>
      </c>
      <c r="E109" s="3397">
        <v>0.88239999999999996</v>
      </c>
      <c r="F109" s="3397">
        <v>0.88239999999999996</v>
      </c>
      <c r="G109" s="3397">
        <v>0.88239999999999996</v>
      </c>
      <c r="H109" s="3397">
        <v>0.88239999999999996</v>
      </c>
      <c r="I109" s="3397">
        <v>0.88239999999999996</v>
      </c>
      <c r="J109" s="3397">
        <v>0.82299999999999995</v>
      </c>
      <c r="K109" s="3397">
        <v>0.82299999999999995</v>
      </c>
      <c r="L109" s="3397">
        <v>0.82299999999999995</v>
      </c>
      <c r="M109" s="3397">
        <v>0.82299999999999995</v>
      </c>
      <c r="N109" s="3397">
        <v>0.82299999999999995</v>
      </c>
    </row>
    <row r="110" spans="1:14">
      <c r="A110" s="3756"/>
      <c r="B110" s="3397">
        <v>5</v>
      </c>
      <c r="C110" s="3397">
        <v>0.89959999999999996</v>
      </c>
      <c r="D110" s="3397">
        <v>0.89959999999999996</v>
      </c>
      <c r="E110" s="3397">
        <v>0.84799999999999998</v>
      </c>
      <c r="F110" s="3397">
        <v>0.84799999999999998</v>
      </c>
      <c r="G110" s="3397">
        <v>0.84799999999999998</v>
      </c>
      <c r="H110" s="3397">
        <v>0.84799999999999998</v>
      </c>
      <c r="I110" s="3397">
        <v>0.84799999999999998</v>
      </c>
      <c r="J110" s="3397">
        <v>0.74980000000000002</v>
      </c>
      <c r="K110" s="3397">
        <v>0.74980000000000002</v>
      </c>
      <c r="L110" s="3397">
        <v>0.74980000000000002</v>
      </c>
      <c r="M110" s="3397">
        <v>0.74980000000000002</v>
      </c>
      <c r="N110" s="3397">
        <v>0.74980000000000002</v>
      </c>
    </row>
    <row r="111" spans="1:14">
      <c r="A111" s="3756"/>
      <c r="B111" s="3397" t="s">
        <v>3277</v>
      </c>
      <c r="C111" s="3398">
        <f>$I$3</f>
        <v>0</v>
      </c>
      <c r="D111" s="3398">
        <f t="shared" ref="D111:M111" si="32">$I$3</f>
        <v>0</v>
      </c>
      <c r="E111" s="3398">
        <f t="shared" si="32"/>
        <v>0</v>
      </c>
      <c r="F111" s="3398">
        <f t="shared" si="32"/>
        <v>0</v>
      </c>
      <c r="G111" s="3398">
        <f t="shared" si="32"/>
        <v>0</v>
      </c>
      <c r="H111" s="3398">
        <f t="shared" si="32"/>
        <v>0</v>
      </c>
      <c r="I111" s="3398">
        <f t="shared" si="32"/>
        <v>0</v>
      </c>
      <c r="J111" s="3398">
        <f t="shared" si="32"/>
        <v>0</v>
      </c>
      <c r="K111" s="3398">
        <f t="shared" si="32"/>
        <v>0</v>
      </c>
      <c r="L111" s="3398">
        <f t="shared" si="32"/>
        <v>0</v>
      </c>
      <c r="M111" s="3398">
        <f t="shared" si="32"/>
        <v>0</v>
      </c>
      <c r="N111" s="3398">
        <f>$I$3</f>
        <v>0</v>
      </c>
    </row>
    <row r="112" spans="1:14">
      <c r="A112" s="3757"/>
      <c r="B112" s="3397">
        <v>6</v>
      </c>
      <c r="C112" s="3390">
        <f>(-0.5556*(C111^2)-0.2719*C111+8944)*(10^(-4))</f>
        <v>0.89440000000000008</v>
      </c>
      <c r="D112" s="3390">
        <f>(-0.5556*(D111^2)-0.2719*D111+8944)*(10^(-4))</f>
        <v>0.89440000000000008</v>
      </c>
      <c r="E112" s="3390">
        <f>(-0.7912*(E111^2)-11.3794*E111+8482)*(10^(-4))</f>
        <v>0.84820000000000007</v>
      </c>
      <c r="F112" s="3390">
        <f t="shared" ref="F112:I112" si="33">(-0.7912*(F111^2)-11.3794*F111+8482)*(10^(-4))</f>
        <v>0.84820000000000007</v>
      </c>
      <c r="G112" s="3390">
        <f t="shared" si="33"/>
        <v>0.84820000000000007</v>
      </c>
      <c r="H112" s="3390">
        <f t="shared" si="33"/>
        <v>0.84820000000000007</v>
      </c>
      <c r="I112" s="3390">
        <f t="shared" si="33"/>
        <v>0.84820000000000007</v>
      </c>
      <c r="J112" s="3390">
        <f>(-0.989*(J111^2)-63.78*J111+7771)*(10^(-4))</f>
        <v>0.77710000000000001</v>
      </c>
      <c r="K112" s="3390">
        <f t="shared" ref="K112:N112" si="34">(-0.989*(K111^2)-63.78*K111+7771)*(10^(-4))</f>
        <v>0.77710000000000001</v>
      </c>
      <c r="L112" s="3390">
        <f t="shared" si="34"/>
        <v>0.77710000000000001</v>
      </c>
      <c r="M112" s="3390">
        <f t="shared" si="34"/>
        <v>0.77710000000000001</v>
      </c>
      <c r="N112" s="3390">
        <f t="shared" si="34"/>
        <v>0.77710000000000001</v>
      </c>
    </row>
    <row r="113" spans="1:14">
      <c r="A113" s="3758" t="s">
        <v>3320</v>
      </c>
      <c r="B113" s="3758"/>
      <c r="C113" s="3758"/>
      <c r="D113" s="3758"/>
      <c r="E113" s="3758"/>
      <c r="F113" s="3758"/>
      <c r="G113" s="3758"/>
      <c r="H113" s="3758"/>
      <c r="I113" s="3758"/>
      <c r="J113" s="3758"/>
      <c r="K113" s="3399"/>
      <c r="L113" s="3399"/>
      <c r="M113" s="3399"/>
      <c r="N113" s="3399"/>
    </row>
    <row r="114" spans="1:14">
      <c r="A114" s="3400"/>
      <c r="B114" s="3400"/>
      <c r="C114" s="3400"/>
      <c r="D114" s="3400"/>
      <c r="E114" s="3400"/>
      <c r="F114" s="3400"/>
      <c r="G114" s="3400"/>
      <c r="H114" s="3400"/>
      <c r="I114" s="3400"/>
      <c r="J114" s="3400"/>
      <c r="K114" s="3359"/>
      <c r="L114" s="3400"/>
      <c r="M114" s="3400"/>
      <c r="N114" s="3400"/>
    </row>
    <row r="115" spans="1:14" ht="13.5" thickBot="1">
      <c r="A115" s="3400"/>
      <c r="B115" s="3400"/>
      <c r="C115" s="3400"/>
      <c r="D115" s="3400"/>
      <c r="E115" s="3400"/>
      <c r="F115" s="3400"/>
      <c r="G115" s="3400"/>
      <c r="H115" s="3400"/>
      <c r="I115" s="3400"/>
      <c r="J115" s="3400"/>
      <c r="K115" s="3359"/>
      <c r="L115" s="3400"/>
      <c r="M115" s="3400"/>
      <c r="N115" s="3400"/>
    </row>
    <row r="116" spans="1:14" ht="25.5" thickBot="1">
      <c r="A116" s="3401" t="s">
        <v>3321</v>
      </c>
      <c r="B116" s="3418">
        <f>G3</f>
        <v>0</v>
      </c>
      <c r="C116" s="3402" t="s">
        <v>3322</v>
      </c>
      <c r="D116" s="3403">
        <f>SUMPRODUCT((A118:A122=F116)*(B117:M117=H116)*B118:M122)</f>
        <v>0</v>
      </c>
      <c r="E116" s="2000" t="s">
        <v>3323</v>
      </c>
      <c r="F116" s="3404">
        <f>E2</f>
        <v>0</v>
      </c>
      <c r="G116" s="2000" t="s">
        <v>3324</v>
      </c>
      <c r="H116" s="3404">
        <f>G2</f>
        <v>0</v>
      </c>
      <c r="I116" s="2000"/>
      <c r="J116" s="3405"/>
      <c r="K116" s="3405"/>
      <c r="L116" s="3405"/>
      <c r="M116" s="3405"/>
      <c r="N116" s="3400"/>
    </row>
    <row r="117" spans="1:14">
      <c r="A117" s="3406"/>
      <c r="B117" s="3407" t="s">
        <v>3325</v>
      </c>
      <c r="C117" s="3407" t="s">
        <v>3326</v>
      </c>
      <c r="D117" s="3407" t="s">
        <v>3327</v>
      </c>
      <c r="E117" s="3408" t="s">
        <v>3328</v>
      </c>
      <c r="F117" s="3408" t="s">
        <v>3329</v>
      </c>
      <c r="G117" s="3408" t="s">
        <v>3330</v>
      </c>
      <c r="H117" s="3409" t="s">
        <v>3331</v>
      </c>
      <c r="I117" s="3409" t="s">
        <v>3332</v>
      </c>
      <c r="J117" s="3410" t="s">
        <v>3333</v>
      </c>
      <c r="K117" s="3410" t="s">
        <v>3334</v>
      </c>
      <c r="L117" s="3410" t="s">
        <v>3335</v>
      </c>
      <c r="M117" s="3411" t="s">
        <v>3336</v>
      </c>
      <c r="N117" s="3400"/>
    </row>
    <row r="118" spans="1:14">
      <c r="A118" s="3412" t="s">
        <v>3337</v>
      </c>
      <c r="B118" s="3390">
        <f>ROUND(0.9968-0.011*B116,4)</f>
        <v>0.99680000000000002</v>
      </c>
      <c r="C118" s="3390">
        <f>B118</f>
        <v>0.99680000000000002</v>
      </c>
      <c r="D118" s="3390">
        <f>ROUND(0.949-0.014*B116,4)</f>
        <v>0.94899999999999995</v>
      </c>
      <c r="E118" s="3390">
        <f>D118</f>
        <v>0.94899999999999995</v>
      </c>
      <c r="F118" s="3390">
        <f>E118</f>
        <v>0.94899999999999995</v>
      </c>
      <c r="G118" s="3390">
        <f>F118</f>
        <v>0.94899999999999995</v>
      </c>
      <c r="H118" s="3390">
        <f>G118</f>
        <v>0.94899999999999995</v>
      </c>
      <c r="I118" s="3390">
        <f>ROUND(0.8486-0.018*B116,4)</f>
        <v>0.84860000000000002</v>
      </c>
      <c r="J118" s="3390">
        <f t="shared" ref="J118:M122" si="35">I118</f>
        <v>0.84860000000000002</v>
      </c>
      <c r="K118" s="3390">
        <f t="shared" si="35"/>
        <v>0.84860000000000002</v>
      </c>
      <c r="L118" s="3390">
        <f t="shared" si="35"/>
        <v>0.84860000000000002</v>
      </c>
      <c r="M118" s="3413">
        <f t="shared" si="35"/>
        <v>0.84860000000000002</v>
      </c>
      <c r="N118" s="3400"/>
    </row>
    <row r="119" spans="1:14">
      <c r="A119" s="3412" t="s">
        <v>3338</v>
      </c>
      <c r="B119" s="3390">
        <f>ROUND(0.993-0.0112*B116,4)</f>
        <v>0.99299999999999999</v>
      </c>
      <c r="C119" s="3390">
        <f>B119</f>
        <v>0.99299999999999999</v>
      </c>
      <c r="D119" s="3390">
        <f>ROUND(0.9415-0.0142*B116,4)</f>
        <v>0.9415</v>
      </c>
      <c r="E119" s="3390">
        <f t="shared" ref="E119:H120" si="36">D119</f>
        <v>0.9415</v>
      </c>
      <c r="F119" s="3390">
        <f t="shared" si="36"/>
        <v>0.9415</v>
      </c>
      <c r="G119" s="3390">
        <f t="shared" si="36"/>
        <v>0.9415</v>
      </c>
      <c r="H119" s="3390">
        <f t="shared" si="36"/>
        <v>0.9415</v>
      </c>
      <c r="I119" s="3390">
        <f>ROUND(0.838-0.0182*B116,4)</f>
        <v>0.83799999999999997</v>
      </c>
      <c r="J119" s="3390">
        <f t="shared" si="35"/>
        <v>0.83799999999999997</v>
      </c>
      <c r="K119" s="3390">
        <f t="shared" si="35"/>
        <v>0.83799999999999997</v>
      </c>
      <c r="L119" s="3390">
        <f t="shared" si="35"/>
        <v>0.83799999999999997</v>
      </c>
      <c r="M119" s="3413">
        <f t="shared" si="35"/>
        <v>0.83799999999999997</v>
      </c>
      <c r="N119" s="3400"/>
    </row>
    <row r="120" spans="1:14">
      <c r="A120" s="3412" t="s">
        <v>3339</v>
      </c>
      <c r="B120" s="3390">
        <f>ROUND(0.9448-0.0115*B116,4)</f>
        <v>0.94479999999999997</v>
      </c>
      <c r="C120" s="3390">
        <f>B120</f>
        <v>0.94479999999999997</v>
      </c>
      <c r="D120" s="3390">
        <f>ROUND(0.937-0.0145*B116,4)</f>
        <v>0.93700000000000006</v>
      </c>
      <c r="E120" s="3390">
        <f t="shared" si="36"/>
        <v>0.93700000000000006</v>
      </c>
      <c r="F120" s="3390">
        <f t="shared" si="36"/>
        <v>0.93700000000000006</v>
      </c>
      <c r="G120" s="3390">
        <f t="shared" si="36"/>
        <v>0.93700000000000006</v>
      </c>
      <c r="H120" s="3390">
        <f t="shared" si="36"/>
        <v>0.93700000000000006</v>
      </c>
      <c r="I120" s="3390">
        <f>ROUND(0.7965-0.0185*B116,4)</f>
        <v>0.79649999999999999</v>
      </c>
      <c r="J120" s="3390">
        <f t="shared" si="35"/>
        <v>0.79649999999999999</v>
      </c>
      <c r="K120" s="3390">
        <f t="shared" si="35"/>
        <v>0.79649999999999999</v>
      </c>
      <c r="L120" s="3390">
        <f t="shared" si="35"/>
        <v>0.79649999999999999</v>
      </c>
      <c r="M120" s="3413">
        <f t="shared" si="35"/>
        <v>0.79649999999999999</v>
      </c>
      <c r="N120" s="3400"/>
    </row>
    <row r="121" spans="1:14" ht="13.5" thickBot="1">
      <c r="A121" s="3414" t="s">
        <v>3340</v>
      </c>
      <c r="B121" s="3415">
        <f>ROUND(0.7836-0.012*B116,4)</f>
        <v>0.78359999999999996</v>
      </c>
      <c r="C121" s="3415">
        <f>B121</f>
        <v>0.78359999999999996</v>
      </c>
      <c r="D121" s="3415">
        <f>ROUND(0.753-0.015*B116,4)</f>
        <v>0.753</v>
      </c>
      <c r="E121" s="3415">
        <f>D121</f>
        <v>0.753</v>
      </c>
      <c r="F121" s="3415">
        <f>E121</f>
        <v>0.753</v>
      </c>
      <c r="G121" s="3415">
        <f>ROUND(0.6612-0.018*B116,4)</f>
        <v>0.66120000000000001</v>
      </c>
      <c r="H121" s="3415">
        <f>G121</f>
        <v>0.66120000000000001</v>
      </c>
      <c r="I121" s="3415">
        <f>ROUND(0.5905-0.019*B116,4)</f>
        <v>0.59050000000000002</v>
      </c>
      <c r="J121" s="3415">
        <f t="shared" si="35"/>
        <v>0.59050000000000002</v>
      </c>
      <c r="K121" s="3415">
        <f t="shared" si="35"/>
        <v>0.59050000000000002</v>
      </c>
      <c r="L121" s="3415">
        <f t="shared" si="35"/>
        <v>0.59050000000000002</v>
      </c>
      <c r="M121" s="3416">
        <f t="shared" si="35"/>
        <v>0.59050000000000002</v>
      </c>
      <c r="N121" s="3400"/>
    </row>
    <row r="122" spans="1:14">
      <c r="A122" s="3417" t="s">
        <v>2615</v>
      </c>
      <c r="B122" s="3390">
        <f>ROUND(0.9404-0.0106*B116,4)</f>
        <v>0.94040000000000001</v>
      </c>
      <c r="C122" s="3390">
        <f>B122</f>
        <v>0.94040000000000001</v>
      </c>
      <c r="D122" s="3390">
        <f>ROUND(0.8955-0.0135*B116,4)</f>
        <v>0.89549999999999996</v>
      </c>
      <c r="E122" s="3390">
        <f t="shared" ref="E122:H122" si="37">D122</f>
        <v>0.89549999999999996</v>
      </c>
      <c r="F122" s="3390">
        <f t="shared" si="37"/>
        <v>0.89549999999999996</v>
      </c>
      <c r="G122" s="3390">
        <f t="shared" si="37"/>
        <v>0.89549999999999996</v>
      </c>
      <c r="H122" s="3390">
        <f t="shared" si="37"/>
        <v>0.89549999999999996</v>
      </c>
      <c r="I122" s="3390">
        <f>ROUND(0.7632-0.0166*B116,4)</f>
        <v>0.76319999999999999</v>
      </c>
      <c r="J122" s="3390">
        <f t="shared" si="35"/>
        <v>0.76319999999999999</v>
      </c>
      <c r="K122" s="3390">
        <f t="shared" si="35"/>
        <v>0.76319999999999999</v>
      </c>
      <c r="L122" s="3390">
        <f t="shared" si="35"/>
        <v>0.76319999999999999</v>
      </c>
      <c r="M122" s="3413">
        <f t="shared" si="35"/>
        <v>0.76319999999999999</v>
      </c>
      <c r="N122" s="34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3" t="s">
        <v>2610</v>
      </c>
      <c r="B20" s="3778" t="s">
        <v>2631</v>
      </c>
      <c r="C20" s="3103" t="s">
        <v>2442</v>
      </c>
      <c r="D20" s="3104"/>
      <c r="E20" s="3105">
        <v>1</v>
      </c>
      <c r="F20" s="3106" t="s">
        <v>2443</v>
      </c>
      <c r="G20" s="3106"/>
    </row>
    <row r="21" spans="1:13" ht="19.5" customHeight="1">
      <c r="A21" s="3784"/>
      <c r="B21" s="3777"/>
      <c r="C21" s="3107" t="s">
        <v>2444</v>
      </c>
      <c r="D21" s="3108"/>
      <c r="E21" s="3109">
        <v>1</v>
      </c>
      <c r="F21" s="3106" t="s">
        <v>2445</v>
      </c>
      <c r="G21" s="3106"/>
    </row>
    <row r="22" spans="1:13" ht="19.5" customHeight="1">
      <c r="A22" s="3784"/>
      <c r="B22" s="3777"/>
      <c r="C22" s="3107" t="s">
        <v>2446</v>
      </c>
      <c r="D22" s="3108"/>
      <c r="E22" s="3109">
        <v>0.9</v>
      </c>
      <c r="F22" s="3106" t="s">
        <v>2447</v>
      </c>
      <c r="G22" s="3106"/>
    </row>
    <row r="23" spans="1:13" ht="19.5" customHeight="1">
      <c r="A23" s="3784"/>
      <c r="B23" s="3777"/>
      <c r="C23" s="3107" t="s">
        <v>2448</v>
      </c>
      <c r="D23" s="3108"/>
      <c r="E23" s="3109">
        <v>0.9</v>
      </c>
      <c r="F23" s="3106" t="s">
        <v>2449</v>
      </c>
      <c r="G23" s="3106"/>
    </row>
    <row r="24" spans="1:13" ht="19.5" customHeight="1">
      <c r="A24" s="3784"/>
      <c r="B24" s="3777"/>
      <c r="C24" s="3107" t="s">
        <v>2450</v>
      </c>
      <c r="D24" s="3108"/>
      <c r="E24" s="3109">
        <v>0.8</v>
      </c>
      <c r="F24" s="3106" t="s">
        <v>2451</v>
      </c>
      <c r="G24" s="3106"/>
    </row>
    <row r="25" spans="1:13" ht="19.5" customHeight="1" thickBot="1">
      <c r="A25" s="3785"/>
      <c r="B25" s="377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0" t="s">
        <v>2634</v>
      </c>
      <c r="B27" s="3778" t="s">
        <v>2615</v>
      </c>
      <c r="C27" s="3103" t="s">
        <v>2455</v>
      </c>
      <c r="D27" s="3104"/>
      <c r="E27" s="3105">
        <v>1</v>
      </c>
      <c r="F27" s="3106" t="s">
        <v>2456</v>
      </c>
      <c r="G27" s="3106"/>
    </row>
    <row r="28" spans="1:13" ht="19.5" customHeight="1">
      <c r="A28" s="3781"/>
      <c r="B28" s="3777"/>
      <c r="C28" s="3107" t="s">
        <v>2457</v>
      </c>
      <c r="D28" s="3108"/>
      <c r="E28" s="3109">
        <v>1</v>
      </c>
      <c r="F28" s="3106" t="s">
        <v>2458</v>
      </c>
      <c r="G28" s="3106"/>
    </row>
    <row r="29" spans="1:13" ht="19.5" customHeight="1">
      <c r="A29" s="3781"/>
      <c r="B29" s="3777"/>
      <c r="C29" s="3107" t="s">
        <v>2459</v>
      </c>
      <c r="D29" s="3108"/>
      <c r="E29" s="3109">
        <v>0.8</v>
      </c>
      <c r="F29" s="3106" t="s">
        <v>2460</v>
      </c>
      <c r="G29" s="3106"/>
    </row>
    <row r="30" spans="1:13" ht="19.5" customHeight="1">
      <c r="A30" s="3781"/>
      <c r="B30" s="3777"/>
      <c r="C30" s="3107" t="s">
        <v>2461</v>
      </c>
      <c r="D30" s="3108"/>
      <c r="E30" s="3109">
        <v>0.8</v>
      </c>
      <c r="F30" s="3106" t="s">
        <v>2462</v>
      </c>
      <c r="G30" s="3106"/>
    </row>
    <row r="31" spans="1:13" ht="19.5" customHeight="1">
      <c r="A31" s="3781"/>
      <c r="B31" s="3777"/>
      <c r="C31" s="3107" t="s">
        <v>2463</v>
      </c>
      <c r="D31" s="3108"/>
      <c r="E31" s="3109">
        <v>0.8</v>
      </c>
      <c r="F31" s="3106" t="s">
        <v>2464</v>
      </c>
      <c r="G31" s="3106"/>
    </row>
    <row r="32" spans="1:13" ht="19.5" customHeight="1">
      <c r="A32" s="3781"/>
      <c r="B32" s="3777"/>
      <c r="C32" s="3107" t="s">
        <v>2465</v>
      </c>
      <c r="D32" s="3108"/>
      <c r="E32" s="3109">
        <v>0.7</v>
      </c>
      <c r="F32" s="3106" t="s">
        <v>2466</v>
      </c>
      <c r="G32" s="3106"/>
    </row>
    <row r="33" spans="1:7" ht="19.5" customHeight="1">
      <c r="A33" s="3781"/>
      <c r="B33" s="3777"/>
      <c r="C33" s="3107" t="s">
        <v>2467</v>
      </c>
      <c r="D33" s="3108"/>
      <c r="E33" s="3109">
        <v>0.8</v>
      </c>
      <c r="F33" s="3106" t="s">
        <v>2468</v>
      </c>
      <c r="G33" s="3106"/>
    </row>
    <row r="34" spans="1:7" ht="19.5" customHeight="1">
      <c r="A34" s="3781"/>
      <c r="B34" s="3777"/>
      <c r="C34" s="3107" t="s">
        <v>2469</v>
      </c>
      <c r="D34" s="3108"/>
      <c r="E34" s="3109">
        <v>0.6</v>
      </c>
      <c r="F34" s="3106" t="s">
        <v>2470</v>
      </c>
      <c r="G34" s="3106"/>
    </row>
    <row r="35" spans="1:7" ht="19.5" customHeight="1">
      <c r="A35" s="3781"/>
      <c r="B35" s="3777"/>
      <c r="C35" s="3107" t="s">
        <v>2471</v>
      </c>
      <c r="D35" s="3108"/>
      <c r="E35" s="3109">
        <v>0.2</v>
      </c>
      <c r="F35" s="3106" t="s">
        <v>2472</v>
      </c>
      <c r="G35" s="3106"/>
    </row>
    <row r="36" spans="1:7" ht="19.5" customHeight="1">
      <c r="A36" s="3781"/>
      <c r="B36" s="3777"/>
      <c r="C36" s="3107" t="s">
        <v>2473</v>
      </c>
      <c r="D36" s="3108"/>
      <c r="E36" s="3109">
        <v>0.2</v>
      </c>
      <c r="F36" s="3106" t="s">
        <v>2474</v>
      </c>
      <c r="G36" s="3106"/>
    </row>
    <row r="37" spans="1:7" ht="19.5" customHeight="1">
      <c r="A37" s="3781"/>
      <c r="B37" s="3775" t="s">
        <v>2635</v>
      </c>
      <c r="C37" s="3107" t="s">
        <v>2475</v>
      </c>
      <c r="D37" s="3108"/>
      <c r="E37" s="3109">
        <v>0.6</v>
      </c>
      <c r="F37" s="3106" t="s">
        <v>2476</v>
      </c>
      <c r="G37" s="3106"/>
    </row>
    <row r="38" spans="1:7" ht="19.5" customHeight="1">
      <c r="A38" s="3781"/>
      <c r="B38" s="3777"/>
      <c r="C38" s="3107" t="s">
        <v>2477</v>
      </c>
      <c r="D38" s="3108"/>
      <c r="E38" s="3109">
        <v>0.6</v>
      </c>
      <c r="F38" s="3106" t="s">
        <v>2478</v>
      </c>
      <c r="G38" s="3106"/>
    </row>
    <row r="39" spans="1:7" ht="19.5" customHeight="1" thickBot="1">
      <c r="A39" s="3782"/>
      <c r="B39" s="377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3" t="s">
        <v>2613</v>
      </c>
      <c r="B41" s="3778" t="s">
        <v>2637</v>
      </c>
      <c r="C41" s="3103" t="s">
        <v>2482</v>
      </c>
      <c r="D41" s="3104"/>
      <c r="E41" s="3105">
        <v>1</v>
      </c>
      <c r="F41" s="3106" t="s">
        <v>2483</v>
      </c>
      <c r="G41" s="3106"/>
    </row>
    <row r="42" spans="1:7" ht="19.5" customHeight="1">
      <c r="A42" s="3784"/>
      <c r="B42" s="3777"/>
      <c r="C42" s="3107" t="s">
        <v>2484</v>
      </c>
      <c r="D42" s="3108"/>
      <c r="E42" s="3109">
        <v>1</v>
      </c>
      <c r="F42" s="3106" t="s">
        <v>2485</v>
      </c>
      <c r="G42" s="3106"/>
    </row>
    <row r="43" spans="1:7" ht="19.5" customHeight="1">
      <c r="A43" s="3784"/>
      <c r="B43" s="3776"/>
      <c r="C43" s="3107" t="s">
        <v>2486</v>
      </c>
      <c r="D43" s="3108"/>
      <c r="E43" s="3109">
        <v>1.5</v>
      </c>
      <c r="F43" s="3106" t="s">
        <v>2487</v>
      </c>
      <c r="G43" s="3106"/>
    </row>
    <row r="44" spans="1:7" ht="19.5" customHeight="1">
      <c r="A44" s="3784"/>
      <c r="B44" s="3118" t="s">
        <v>2638</v>
      </c>
      <c r="C44" s="3107" t="s">
        <v>2639</v>
      </c>
      <c r="D44" s="3108"/>
      <c r="E44" s="3109">
        <v>2</v>
      </c>
      <c r="F44" s="3106" t="s">
        <v>2488</v>
      </c>
      <c r="G44" s="3106"/>
    </row>
    <row r="45" spans="1:7" ht="19.5" customHeight="1">
      <c r="A45" s="3784"/>
      <c r="B45" s="3775" t="s">
        <v>2640</v>
      </c>
      <c r="C45" s="3107" t="s">
        <v>2489</v>
      </c>
      <c r="D45" s="3108"/>
      <c r="E45" s="3109">
        <v>1</v>
      </c>
      <c r="F45" s="3106" t="s">
        <v>2490</v>
      </c>
      <c r="G45" s="3106"/>
    </row>
    <row r="46" spans="1:7" ht="19.5" customHeight="1">
      <c r="A46" s="3784"/>
      <c r="B46" s="3777"/>
      <c r="C46" s="3107" t="s">
        <v>2491</v>
      </c>
      <c r="D46" s="3108"/>
      <c r="E46" s="3109">
        <v>1</v>
      </c>
      <c r="F46" s="3106" t="s">
        <v>2492</v>
      </c>
      <c r="G46" s="3106"/>
    </row>
    <row r="47" spans="1:7" ht="19.5" customHeight="1">
      <c r="A47" s="3784"/>
      <c r="B47" s="3777"/>
      <c r="C47" s="3107" t="s">
        <v>2493</v>
      </c>
      <c r="D47" s="3108"/>
      <c r="E47" s="3109">
        <v>1</v>
      </c>
      <c r="F47" s="3106" t="s">
        <v>2494</v>
      </c>
      <c r="G47" s="3106"/>
    </row>
    <row r="48" spans="1:7" ht="19.5" customHeight="1">
      <c r="A48" s="3784"/>
      <c r="B48" s="3777"/>
      <c r="C48" s="3107" t="s">
        <v>2495</v>
      </c>
      <c r="D48" s="3108"/>
      <c r="E48" s="3109">
        <v>1</v>
      </c>
      <c r="F48" s="3106" t="s">
        <v>2496</v>
      </c>
      <c r="G48" s="3106"/>
    </row>
    <row r="49" spans="1:7" ht="19.5" customHeight="1">
      <c r="A49" s="3784"/>
      <c r="B49" s="3777"/>
      <c r="C49" s="3107" t="s">
        <v>2497</v>
      </c>
      <c r="D49" s="3108"/>
      <c r="E49" s="3109">
        <v>1</v>
      </c>
      <c r="F49" s="3106" t="s">
        <v>2498</v>
      </c>
      <c r="G49" s="3106"/>
    </row>
    <row r="50" spans="1:7" ht="19.5" customHeight="1">
      <c r="A50" s="3784"/>
      <c r="B50" s="3777"/>
      <c r="C50" s="3107" t="s">
        <v>2499</v>
      </c>
      <c r="D50" s="3108"/>
      <c r="E50" s="3109">
        <v>1</v>
      </c>
      <c r="F50" s="3106" t="s">
        <v>2500</v>
      </c>
      <c r="G50" s="3106"/>
    </row>
    <row r="51" spans="1:7" ht="19.5" customHeight="1" thickBot="1">
      <c r="A51" s="3785"/>
      <c r="B51" s="377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5" t="s">
        <v>2654</v>
      </c>
      <c r="C73" s="3092" t="s">
        <v>2655</v>
      </c>
      <c r="D73" s="3092" t="s">
        <v>2656</v>
      </c>
      <c r="E73" s="3118">
        <v>0.2</v>
      </c>
      <c r="F73" s="3118">
        <v>25</v>
      </c>
    </row>
    <row r="74" spans="1:7" ht="24">
      <c r="A74" s="3118">
        <v>2</v>
      </c>
      <c r="B74" s="3777"/>
      <c r="C74" s="3092" t="s">
        <v>2657</v>
      </c>
      <c r="D74" s="3092" t="s">
        <v>2658</v>
      </c>
      <c r="E74" s="3118">
        <v>0.2</v>
      </c>
      <c r="F74" s="3118">
        <v>25</v>
      </c>
    </row>
    <row r="75" spans="1:7" ht="24">
      <c r="A75" s="3118">
        <v>3</v>
      </c>
      <c r="B75" s="3777"/>
      <c r="C75" s="3092" t="s">
        <v>2659</v>
      </c>
      <c r="D75" s="3092" t="s">
        <v>2660</v>
      </c>
      <c r="E75" s="3118">
        <v>0.2</v>
      </c>
      <c r="F75" s="3118">
        <v>25</v>
      </c>
    </row>
    <row r="76" spans="1:7" ht="13.5">
      <c r="A76" s="3118">
        <v>4</v>
      </c>
      <c r="B76" s="3777"/>
      <c r="C76" s="3092" t="s">
        <v>2661</v>
      </c>
      <c r="D76" s="3092" t="s">
        <v>2662</v>
      </c>
      <c r="E76" s="3118">
        <v>0.15</v>
      </c>
      <c r="F76" s="3118">
        <v>20</v>
      </c>
    </row>
    <row r="77" spans="1:7" ht="24">
      <c r="A77" s="3118">
        <v>5</v>
      </c>
      <c r="B77" s="3777"/>
      <c r="C77" s="3092" t="s">
        <v>2663</v>
      </c>
      <c r="D77" s="3092" t="s">
        <v>2664</v>
      </c>
      <c r="E77" s="3118">
        <v>0.15</v>
      </c>
      <c r="F77" s="3118">
        <v>20</v>
      </c>
    </row>
    <row r="78" spans="1:7" ht="24">
      <c r="A78" s="3118">
        <v>6</v>
      </c>
      <c r="B78" s="3777"/>
      <c r="C78" s="3092" t="s">
        <v>2665</v>
      </c>
      <c r="D78" s="3092" t="s">
        <v>2666</v>
      </c>
      <c r="E78" s="3118">
        <v>0.15</v>
      </c>
      <c r="F78" s="3118">
        <v>20</v>
      </c>
    </row>
    <row r="79" spans="1:7" ht="24">
      <c r="A79" s="3118">
        <v>7</v>
      </c>
      <c r="B79" s="3777"/>
      <c r="C79" s="3092" t="s">
        <v>2667</v>
      </c>
      <c r="D79" s="3092" t="s">
        <v>2668</v>
      </c>
      <c r="E79" s="3118">
        <v>0.15</v>
      </c>
      <c r="F79" s="3118">
        <v>20</v>
      </c>
    </row>
    <row r="80" spans="1:7" ht="24">
      <c r="A80" s="3118">
        <v>8</v>
      </c>
      <c r="B80" s="3777"/>
      <c r="C80" s="3092" t="s">
        <v>2669</v>
      </c>
      <c r="D80" s="3092" t="s">
        <v>2670</v>
      </c>
      <c r="E80" s="3118">
        <v>0.1</v>
      </c>
      <c r="F80" s="3118">
        <v>15</v>
      </c>
    </row>
    <row r="81" spans="1:6" ht="24">
      <c r="A81" s="3118">
        <v>9</v>
      </c>
      <c r="B81" s="3777"/>
      <c r="C81" s="3092" t="s">
        <v>2671</v>
      </c>
      <c r="D81" s="3092" t="s">
        <v>2672</v>
      </c>
      <c r="E81" s="3118">
        <v>0.1</v>
      </c>
      <c r="F81" s="3118">
        <v>15</v>
      </c>
    </row>
    <row r="82" spans="1:6" ht="24">
      <c r="A82" s="3118">
        <v>10</v>
      </c>
      <c r="B82" s="3777"/>
      <c r="C82" s="3092" t="s">
        <v>2673</v>
      </c>
      <c r="D82" s="3092" t="s">
        <v>2674</v>
      </c>
      <c r="E82" s="3118">
        <v>0.1</v>
      </c>
      <c r="F82" s="3118">
        <v>15</v>
      </c>
    </row>
    <row r="83" spans="1:6" ht="24">
      <c r="A83" s="3118">
        <v>11</v>
      </c>
      <c r="B83" s="3777"/>
      <c r="C83" s="3092" t="s">
        <v>2675</v>
      </c>
      <c r="D83" s="3092" t="s">
        <v>2676</v>
      </c>
      <c r="E83" s="3118">
        <v>0.1</v>
      </c>
      <c r="F83" s="3118">
        <v>15</v>
      </c>
    </row>
    <row r="84" spans="1:6" ht="24">
      <c r="A84" s="3118">
        <v>12</v>
      </c>
      <c r="B84" s="3777"/>
      <c r="C84" s="3092" t="s">
        <v>2677</v>
      </c>
      <c r="D84" s="3092" t="s">
        <v>2678</v>
      </c>
      <c r="E84" s="3118">
        <v>0.1</v>
      </c>
      <c r="F84" s="3118">
        <v>15</v>
      </c>
    </row>
    <row r="85" spans="1:6" ht="13.5">
      <c r="A85" s="3118">
        <v>13</v>
      </c>
      <c r="B85" s="3777"/>
      <c r="C85" s="3092" t="s">
        <v>2679</v>
      </c>
      <c r="D85" s="3092" t="s">
        <v>2680</v>
      </c>
      <c r="E85" s="3118">
        <v>0.1</v>
      </c>
      <c r="F85" s="3118">
        <v>15</v>
      </c>
    </row>
    <row r="86" spans="1:6" ht="13.5">
      <c r="A86" s="3118">
        <v>14</v>
      </c>
      <c r="B86" s="3777"/>
      <c r="C86" s="3092" t="s">
        <v>2681</v>
      </c>
      <c r="D86" s="3092" t="s">
        <v>2682</v>
      </c>
      <c r="E86" s="3118">
        <v>0.1</v>
      </c>
      <c r="F86" s="3118">
        <v>15</v>
      </c>
    </row>
    <row r="87" spans="1:6" ht="13.5">
      <c r="A87" s="3118">
        <v>15</v>
      </c>
      <c r="B87" s="3777"/>
      <c r="C87" s="3092" t="s">
        <v>2683</v>
      </c>
      <c r="D87" s="3092" t="s">
        <v>2684</v>
      </c>
      <c r="E87" s="3118">
        <v>0.1</v>
      </c>
      <c r="F87" s="3118">
        <v>15</v>
      </c>
    </row>
    <row r="88" spans="1:6" ht="24">
      <c r="A88" s="3118">
        <v>16</v>
      </c>
      <c r="B88" s="3777"/>
      <c r="C88" s="3092" t="s">
        <v>2685</v>
      </c>
      <c r="D88" s="3092" t="s">
        <v>2686</v>
      </c>
      <c r="E88" s="3118">
        <v>0.1</v>
      </c>
      <c r="F88" s="3118">
        <v>15</v>
      </c>
    </row>
    <row r="89" spans="1:6" ht="24">
      <c r="A89" s="3118">
        <v>17</v>
      </c>
      <c r="B89" s="3776"/>
      <c r="C89" s="3092" t="s">
        <v>2687</v>
      </c>
      <c r="D89" s="3092" t="s">
        <v>2688</v>
      </c>
      <c r="E89" s="3118">
        <v>0.1</v>
      </c>
      <c r="F89" s="3118">
        <v>15</v>
      </c>
    </row>
    <row r="90" spans="1:6" ht="13.5">
      <c r="A90" s="3118">
        <v>18</v>
      </c>
      <c r="B90" s="3775" t="s">
        <v>2689</v>
      </c>
      <c r="C90" s="3092" t="s">
        <v>2690</v>
      </c>
      <c r="D90" s="3092" t="s">
        <v>2691</v>
      </c>
      <c r="E90" s="3118">
        <v>0.2</v>
      </c>
      <c r="F90" s="3118">
        <v>25</v>
      </c>
    </row>
    <row r="91" spans="1:6" ht="24">
      <c r="A91" s="3118">
        <v>19</v>
      </c>
      <c r="B91" s="3777"/>
      <c r="C91" s="3092" t="s">
        <v>2692</v>
      </c>
      <c r="D91" s="3092" t="s">
        <v>2693</v>
      </c>
      <c r="E91" s="3118">
        <v>0.2</v>
      </c>
      <c r="F91" s="3118">
        <v>25</v>
      </c>
    </row>
    <row r="92" spans="1:6" ht="13.5">
      <c r="A92" s="3118">
        <v>20</v>
      </c>
      <c r="B92" s="3777"/>
      <c r="C92" s="3092" t="s">
        <v>2694</v>
      </c>
      <c r="D92" s="3092" t="s">
        <v>2695</v>
      </c>
      <c r="E92" s="3118">
        <v>0.15</v>
      </c>
      <c r="F92" s="3118">
        <v>20</v>
      </c>
    </row>
    <row r="93" spans="1:6" ht="13.5">
      <c r="A93" s="3118">
        <v>21</v>
      </c>
      <c r="B93" s="3777"/>
      <c r="C93" s="3092" t="s">
        <v>2696</v>
      </c>
      <c r="D93" s="3092" t="s">
        <v>2697</v>
      </c>
      <c r="E93" s="3118">
        <v>0.15</v>
      </c>
      <c r="F93" s="3118">
        <v>20</v>
      </c>
    </row>
    <row r="94" spans="1:6" ht="13.5">
      <c r="A94" s="3118">
        <v>22</v>
      </c>
      <c r="B94" s="3777"/>
      <c r="C94" s="3092" t="s">
        <v>2698</v>
      </c>
      <c r="D94" s="3092" t="s">
        <v>2699</v>
      </c>
      <c r="E94" s="3118">
        <v>0.15</v>
      </c>
      <c r="F94" s="3118">
        <v>20</v>
      </c>
    </row>
    <row r="95" spans="1:6" ht="36">
      <c r="A95" s="3118">
        <v>23</v>
      </c>
      <c r="B95" s="3777"/>
      <c r="C95" s="3092" t="s">
        <v>2700</v>
      </c>
      <c r="D95" s="3092" t="s">
        <v>2701</v>
      </c>
      <c r="E95" s="3118">
        <v>0.15</v>
      </c>
      <c r="F95" s="3118">
        <v>20</v>
      </c>
    </row>
    <row r="96" spans="1:6" ht="13.5">
      <c r="A96" s="3118">
        <v>24</v>
      </c>
      <c r="B96" s="3777"/>
      <c r="C96" s="3092" t="s">
        <v>2702</v>
      </c>
      <c r="D96" s="3092" t="s">
        <v>2703</v>
      </c>
      <c r="E96" s="3118">
        <v>0.1</v>
      </c>
      <c r="F96" s="3118">
        <v>15</v>
      </c>
    </row>
    <row r="97" spans="1:6" ht="13.5">
      <c r="A97" s="3118">
        <v>25</v>
      </c>
      <c r="B97" s="3777"/>
      <c r="C97" s="3092" t="s">
        <v>2704</v>
      </c>
      <c r="D97" s="3092" t="s">
        <v>2705</v>
      </c>
      <c r="E97" s="3118">
        <v>0.1</v>
      </c>
      <c r="F97" s="3118">
        <v>15</v>
      </c>
    </row>
    <row r="98" spans="1:6" ht="24">
      <c r="A98" s="3118">
        <v>26</v>
      </c>
      <c r="B98" s="3777"/>
      <c r="C98" s="3092" t="s">
        <v>2706</v>
      </c>
      <c r="D98" s="3092" t="s">
        <v>2707</v>
      </c>
      <c r="E98" s="3118">
        <v>0.1</v>
      </c>
      <c r="F98" s="3118">
        <v>15</v>
      </c>
    </row>
    <row r="99" spans="1:6" ht="24">
      <c r="A99" s="3118">
        <v>27</v>
      </c>
      <c r="B99" s="3777"/>
      <c r="C99" s="3092" t="s">
        <v>2708</v>
      </c>
      <c r="D99" s="3092" t="s">
        <v>2709</v>
      </c>
      <c r="E99" s="3118">
        <v>0.1</v>
      </c>
      <c r="F99" s="3118">
        <v>15</v>
      </c>
    </row>
    <row r="100" spans="1:6" ht="13.5">
      <c r="A100" s="3118">
        <v>28</v>
      </c>
      <c r="B100" s="3777"/>
      <c r="C100" s="3092" t="s">
        <v>2710</v>
      </c>
      <c r="D100" s="3092" t="s">
        <v>2711</v>
      </c>
      <c r="E100" s="3118">
        <v>0.1</v>
      </c>
      <c r="F100" s="3118">
        <v>15</v>
      </c>
    </row>
    <row r="101" spans="1:6" ht="13.5">
      <c r="A101" s="3118">
        <v>29</v>
      </c>
      <c r="B101" s="3777"/>
      <c r="C101" s="3092" t="s">
        <v>2712</v>
      </c>
      <c r="D101" s="3092" t="s">
        <v>2713</v>
      </c>
      <c r="E101" s="3118">
        <v>0.1</v>
      </c>
      <c r="F101" s="3118">
        <v>15</v>
      </c>
    </row>
    <row r="102" spans="1:6" ht="13.5">
      <c r="A102" s="3118">
        <v>30</v>
      </c>
      <c r="B102" s="3777"/>
      <c r="C102" s="3092" t="s">
        <v>2714</v>
      </c>
      <c r="D102" s="3092" t="s">
        <v>2715</v>
      </c>
      <c r="E102" s="3118">
        <v>0.1</v>
      </c>
      <c r="F102" s="3118">
        <v>15</v>
      </c>
    </row>
    <row r="103" spans="1:6" ht="24">
      <c r="A103" s="3118">
        <v>31</v>
      </c>
      <c r="B103" s="3777"/>
      <c r="C103" s="3092" t="s">
        <v>2716</v>
      </c>
      <c r="D103" s="3092" t="s">
        <v>2717</v>
      </c>
      <c r="E103" s="3118">
        <v>0.1</v>
      </c>
      <c r="F103" s="3118">
        <v>15</v>
      </c>
    </row>
    <row r="104" spans="1:6" ht="24">
      <c r="A104" s="3118">
        <v>32</v>
      </c>
      <c r="B104" s="3777"/>
      <c r="C104" s="3092" t="s">
        <v>2718</v>
      </c>
      <c r="D104" s="3092" t="s">
        <v>2719</v>
      </c>
      <c r="E104" s="3118">
        <v>0.1</v>
      </c>
      <c r="F104" s="3118">
        <v>15</v>
      </c>
    </row>
    <row r="105" spans="1:6" ht="24">
      <c r="A105" s="3118">
        <v>33</v>
      </c>
      <c r="B105" s="3777"/>
      <c r="C105" s="3092" t="s">
        <v>2720</v>
      </c>
      <c r="D105" s="3092" t="s">
        <v>2721</v>
      </c>
      <c r="E105" s="3118">
        <v>0.1</v>
      </c>
      <c r="F105" s="3118">
        <v>15</v>
      </c>
    </row>
    <row r="106" spans="1:6" ht="24">
      <c r="A106" s="3118">
        <v>34</v>
      </c>
      <c r="B106" s="3776"/>
      <c r="C106" s="3092" t="s">
        <v>2722</v>
      </c>
      <c r="D106" s="3092" t="s">
        <v>2723</v>
      </c>
      <c r="E106" s="3118">
        <v>0.1</v>
      </c>
      <c r="F106" s="3118">
        <v>15</v>
      </c>
    </row>
    <row r="107" spans="1:6" ht="24">
      <c r="A107" s="3118">
        <v>35</v>
      </c>
      <c r="B107" s="3775" t="s">
        <v>2724</v>
      </c>
      <c r="C107" s="3118" t="s">
        <v>2725</v>
      </c>
      <c r="D107" s="3092" t="s">
        <v>2726</v>
      </c>
      <c r="E107" s="3118">
        <v>0.15</v>
      </c>
      <c r="F107" s="3118">
        <v>20</v>
      </c>
    </row>
    <row r="108" spans="1:6" ht="13.5">
      <c r="A108" s="3118">
        <v>36</v>
      </c>
      <c r="B108" s="3777"/>
      <c r="C108" s="3118" t="s">
        <v>2727</v>
      </c>
      <c r="D108" s="3092" t="s">
        <v>2728</v>
      </c>
      <c r="E108" s="3118">
        <v>0.15</v>
      </c>
      <c r="F108" s="3118">
        <v>20</v>
      </c>
    </row>
    <row r="109" spans="1:6" ht="13.5">
      <c r="A109" s="3118">
        <v>37</v>
      </c>
      <c r="B109" s="3777"/>
      <c r="C109" s="3118" t="s">
        <v>2729</v>
      </c>
      <c r="D109" s="3092" t="s">
        <v>2730</v>
      </c>
      <c r="E109" s="3118">
        <v>0.15</v>
      </c>
      <c r="F109" s="3118">
        <v>20</v>
      </c>
    </row>
    <row r="110" spans="1:6" ht="13.5">
      <c r="A110" s="3118">
        <v>38</v>
      </c>
      <c r="B110" s="3777"/>
      <c r="C110" s="3118" t="s">
        <v>2731</v>
      </c>
      <c r="D110" s="3092" t="s">
        <v>2732</v>
      </c>
      <c r="E110" s="3118">
        <v>0.1</v>
      </c>
      <c r="F110" s="3118">
        <v>15</v>
      </c>
    </row>
    <row r="111" spans="1:6" ht="24">
      <c r="A111" s="3118">
        <v>39</v>
      </c>
      <c r="B111" s="3777"/>
      <c r="C111" s="3118" t="s">
        <v>2733</v>
      </c>
      <c r="D111" s="3092" t="s">
        <v>2734</v>
      </c>
      <c r="E111" s="3118">
        <v>0.1</v>
      </c>
      <c r="F111" s="3118">
        <v>15</v>
      </c>
    </row>
    <row r="112" spans="1:6" ht="24">
      <c r="A112" s="3118">
        <v>40</v>
      </c>
      <c r="B112" s="3776"/>
      <c r="C112" s="3118" t="s">
        <v>2735</v>
      </c>
      <c r="D112" s="3092" t="s">
        <v>2736</v>
      </c>
      <c r="E112" s="3118">
        <v>0.1</v>
      </c>
      <c r="F112" s="3118">
        <v>15</v>
      </c>
    </row>
    <row r="113" spans="1:6" ht="13.5">
      <c r="A113" s="3118">
        <v>41</v>
      </c>
      <c r="B113" s="3774" t="s">
        <v>2737</v>
      </c>
      <c r="C113" s="3118" t="s">
        <v>2738</v>
      </c>
      <c r="D113" s="3092" t="s">
        <v>2739</v>
      </c>
      <c r="E113" s="3118">
        <v>0.1</v>
      </c>
      <c r="F113" s="3118">
        <v>15</v>
      </c>
    </row>
    <row r="114" spans="1:6" ht="13.5">
      <c r="A114" s="3118">
        <v>42</v>
      </c>
      <c r="B114" s="3774"/>
      <c r="C114" s="3118" t="s">
        <v>2740</v>
      </c>
      <c r="D114" s="3092" t="s">
        <v>2741</v>
      </c>
      <c r="E114" s="3118">
        <v>0.1</v>
      </c>
      <c r="F114" s="3118">
        <v>15</v>
      </c>
    </row>
    <row r="115" spans="1:6" ht="24">
      <c r="A115" s="3118">
        <v>43</v>
      </c>
      <c r="B115" s="3774"/>
      <c r="C115" s="3118" t="s">
        <v>2742</v>
      </c>
      <c r="D115" s="3092" t="s">
        <v>2743</v>
      </c>
      <c r="E115" s="3118">
        <v>0.1</v>
      </c>
      <c r="F115" s="3118">
        <v>15</v>
      </c>
    </row>
    <row r="116" spans="1:6" ht="13.5">
      <c r="A116" s="3118">
        <v>44</v>
      </c>
      <c r="B116" s="3775" t="s">
        <v>2744</v>
      </c>
      <c r="C116" s="3118" t="s">
        <v>2745</v>
      </c>
      <c r="D116" s="3092" t="s">
        <v>2746</v>
      </c>
      <c r="E116" s="3118">
        <v>0.1</v>
      </c>
      <c r="F116" s="3118">
        <v>15</v>
      </c>
    </row>
    <row r="117" spans="1:6" ht="24">
      <c r="A117" s="3118">
        <v>45</v>
      </c>
      <c r="B117" s="3776"/>
      <c r="C117" s="3092" t="s">
        <v>2747</v>
      </c>
      <c r="D117" s="3092" t="s">
        <v>2748</v>
      </c>
      <c r="E117" s="3118">
        <v>0.1</v>
      </c>
      <c r="F117" s="3118">
        <v>15</v>
      </c>
    </row>
    <row r="118" spans="1:6" ht="24">
      <c r="A118" s="3118">
        <v>46</v>
      </c>
      <c r="B118" s="3775" t="s">
        <v>2749</v>
      </c>
      <c r="C118" s="3118" t="s">
        <v>2750</v>
      </c>
      <c r="D118" s="3092" t="s">
        <v>2751</v>
      </c>
      <c r="E118" s="3118">
        <v>0.1</v>
      </c>
      <c r="F118" s="3118">
        <v>15</v>
      </c>
    </row>
    <row r="119" spans="1:6" ht="24">
      <c r="A119" s="3118">
        <v>47</v>
      </c>
      <c r="B119" s="3776"/>
      <c r="C119" s="3118" t="s">
        <v>2752</v>
      </c>
      <c r="D119" s="3092" t="s">
        <v>2753</v>
      </c>
      <c r="E119" s="3118">
        <v>0.1</v>
      </c>
      <c r="F119" s="3118">
        <v>15</v>
      </c>
    </row>
    <row r="120" spans="1:6" ht="13.5">
      <c r="A120" s="3118">
        <v>48</v>
      </c>
      <c r="B120" s="3775" t="s">
        <v>2754</v>
      </c>
      <c r="C120" s="3118" t="s">
        <v>2755</v>
      </c>
      <c r="D120" s="3092" t="s">
        <v>2756</v>
      </c>
      <c r="E120" s="3118">
        <v>0.1</v>
      </c>
      <c r="F120" s="3118">
        <v>15</v>
      </c>
    </row>
    <row r="121" spans="1:6" ht="13.5">
      <c r="A121" s="3118">
        <v>49</v>
      </c>
      <c r="B121" s="3776"/>
      <c r="C121" s="3118" t="s">
        <v>2757</v>
      </c>
      <c r="D121" s="3092" t="s">
        <v>2758</v>
      </c>
      <c r="E121" s="3118">
        <v>0.1</v>
      </c>
      <c r="F121" s="3118">
        <v>15</v>
      </c>
    </row>
    <row r="122" spans="1:6" ht="24">
      <c r="A122" s="3118">
        <v>50</v>
      </c>
      <c r="B122" s="3774" t="s">
        <v>2759</v>
      </c>
      <c r="C122" s="3118" t="s">
        <v>2760</v>
      </c>
      <c r="D122" s="3092" t="s">
        <v>2761</v>
      </c>
      <c r="E122" s="3118">
        <v>0.1</v>
      </c>
      <c r="F122" s="3118">
        <v>15</v>
      </c>
    </row>
    <row r="123" spans="1:6" ht="24">
      <c r="A123" s="3118">
        <v>51</v>
      </c>
      <c r="B123" s="3774"/>
      <c r="C123" s="3118" t="s">
        <v>2762</v>
      </c>
      <c r="D123" s="3092" t="s">
        <v>2763</v>
      </c>
      <c r="E123" s="3118">
        <v>0.1</v>
      </c>
      <c r="F123" s="3118">
        <v>15</v>
      </c>
    </row>
    <row r="124" spans="1:6" ht="24">
      <c r="A124" s="3118">
        <v>52</v>
      </c>
      <c r="B124" s="3774" t="s">
        <v>2764</v>
      </c>
      <c r="C124" s="3118" t="s">
        <v>2765</v>
      </c>
      <c r="D124" s="3092" t="s">
        <v>2766</v>
      </c>
      <c r="E124" s="3118">
        <v>0.1</v>
      </c>
      <c r="F124" s="3118">
        <v>15</v>
      </c>
    </row>
    <row r="125" spans="1:6" ht="24">
      <c r="A125" s="3118">
        <v>53</v>
      </c>
      <c r="B125" s="3774"/>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4" t="s">
        <v>2772</v>
      </c>
      <c r="C127" s="3118" t="s">
        <v>2773</v>
      </c>
      <c r="D127" s="3092" t="s">
        <v>2774</v>
      </c>
      <c r="E127" s="3118">
        <v>0.1</v>
      </c>
      <c r="F127" s="3118">
        <v>15</v>
      </c>
    </row>
    <row r="128" spans="1:6" ht="13.5">
      <c r="A128" s="3118">
        <v>56</v>
      </c>
      <c r="B128" s="3774"/>
      <c r="C128" s="3118" t="s">
        <v>2775</v>
      </c>
      <c r="D128" s="3092" t="s">
        <v>2776</v>
      </c>
      <c r="E128" s="3118">
        <v>0.1</v>
      </c>
      <c r="F128" s="3118">
        <v>15</v>
      </c>
    </row>
    <row r="129" spans="1:6" ht="24">
      <c r="A129" s="3118">
        <v>57</v>
      </c>
      <c r="B129" s="3774"/>
      <c r="C129" s="3118" t="s">
        <v>2777</v>
      </c>
      <c r="D129" s="3092" t="s">
        <v>2778</v>
      </c>
      <c r="E129" s="3118">
        <v>0.1</v>
      </c>
      <c r="F129" s="3118">
        <v>15</v>
      </c>
    </row>
    <row r="130" spans="1:6" ht="24">
      <c r="A130" s="3118">
        <v>58</v>
      </c>
      <c r="B130" s="3774" t="s">
        <v>2779</v>
      </c>
      <c r="C130" s="3118" t="s">
        <v>2780</v>
      </c>
      <c r="D130" s="3092" t="s">
        <v>2781</v>
      </c>
      <c r="E130" s="3118">
        <v>0.1</v>
      </c>
      <c r="F130" s="3118">
        <v>15</v>
      </c>
    </row>
    <row r="131" spans="1:6" ht="13.5">
      <c r="A131" s="3118">
        <v>59</v>
      </c>
      <c r="B131" s="3774"/>
      <c r="C131" s="3118" t="s">
        <v>2782</v>
      </c>
      <c r="D131" s="3092" t="s">
        <v>2783</v>
      </c>
      <c r="E131" s="3118">
        <v>0.1</v>
      </c>
      <c r="F131" s="3118">
        <v>15</v>
      </c>
    </row>
    <row r="132" spans="1:6" ht="13.5">
      <c r="A132" s="3118">
        <v>60</v>
      </c>
      <c r="B132" s="3775" t="s">
        <v>2784</v>
      </c>
      <c r="C132" s="3118" t="s">
        <v>2785</v>
      </c>
      <c r="D132" s="3092" t="s">
        <v>2786</v>
      </c>
      <c r="E132" s="3118">
        <v>0.1</v>
      </c>
      <c r="F132" s="3118">
        <v>15</v>
      </c>
    </row>
    <row r="133" spans="1:6" ht="13.5">
      <c r="A133" s="3118">
        <v>61</v>
      </c>
      <c r="B133" s="377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4" t="s">
        <v>2792</v>
      </c>
      <c r="C135" s="3118" t="s">
        <v>2793</v>
      </c>
      <c r="D135" s="3092" t="s">
        <v>2794</v>
      </c>
      <c r="E135" s="3118">
        <v>0.1</v>
      </c>
      <c r="F135" s="3118">
        <v>15</v>
      </c>
    </row>
    <row r="136" spans="1:6" ht="13.5">
      <c r="A136" s="3118">
        <v>64</v>
      </c>
      <c r="B136" s="3774"/>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28158</v>
      </c>
      <c r="C2" s="2" t="s">
        <v>106</v>
      </c>
      <c r="D2" s="199"/>
      <c r="E2" s="199"/>
      <c r="F2" s="199"/>
      <c r="G2" s="199"/>
    </row>
    <row r="3" spans="1:7" s="200" customFormat="1" ht="18" customHeight="1" thickBot="1">
      <c r="A3" s="203" t="s">
        <v>58</v>
      </c>
      <c r="B3" s="204">
        <f ca="1">ROUND(B2*10000/'数据-汇总表'!E3,0)</f>
        <v>1022106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v>
      </c>
      <c r="D10" s="845">
        <f>'数据-汇总表'!E6</f>
        <v>275.49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275.49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69</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6</v>
      </c>
      <c r="D37" s="217">
        <f>'数据-汇总表'!E3</f>
        <v>275.49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8.0000000000000004E-4</v>
      </c>
      <c r="D44" s="238"/>
      <c r="E44" s="238"/>
      <c r="F44" s="239"/>
      <c r="G44" s="3650"/>
    </row>
    <row r="45" spans="1:7" s="214" customFormat="1" ht="13.5" customHeight="1">
      <c r="A45" s="777" t="s">
        <v>341</v>
      </c>
      <c r="B45" s="244" t="s">
        <v>85</v>
      </c>
      <c r="C45" s="245">
        <f>C46</f>
        <v>12</v>
      </c>
      <c r="D45" s="235">
        <f>C47</f>
        <v>3.0000000000000001E-3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103</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72</v>
      </c>
      <c r="D51" s="232"/>
      <c r="E51" s="232"/>
      <c r="F51" s="264"/>
      <c r="G51" s="234" t="s">
        <v>37</v>
      </c>
    </row>
    <row r="52" spans="1:7" s="208" customFormat="1" ht="16.5" thickBot="1">
      <c r="A52" s="265" t="s">
        <v>38</v>
      </c>
      <c r="B52" s="266"/>
      <c r="C52" s="267">
        <f ca="1">C31+C51</f>
        <v>28158</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3"/>
      <c r="B4" s="3469" t="s">
        <v>917</v>
      </c>
      <c r="C4" s="3469"/>
      <c r="D4" s="3469"/>
      <c r="E4" s="1493"/>
    </row>
    <row r="5" spans="1:5" ht="16.5" thickTop="1">
      <c r="A5" s="1491"/>
      <c r="B5" s="3467" t="s">
        <v>909</v>
      </c>
      <c r="C5" s="1494" t="s">
        <v>910</v>
      </c>
      <c r="D5" s="850">
        <f ca="1">结果表!H101</f>
        <v>369</v>
      </c>
      <c r="E5" s="1491"/>
    </row>
    <row r="6" spans="1:5" ht="15.75">
      <c r="A6" s="1491"/>
      <c r="B6" s="3467"/>
      <c r="C6" s="1494" t="s">
        <v>911</v>
      </c>
      <c r="D6" s="850" t="str">
        <f ca="1">NUMBERSTRING(INT(D5*10000),2)&amp;"元整"</f>
        <v>叁佰陆拾玖万元整</v>
      </c>
      <c r="E6" s="1491"/>
    </row>
    <row r="7" spans="1:5" ht="15.75">
      <c r="A7" s="1491"/>
      <c r="B7" s="3472"/>
      <c r="C7" s="1495" t="s">
        <v>912</v>
      </c>
      <c r="D7" s="851">
        <f ca="1">结果表!H102</f>
        <v>13411</v>
      </c>
      <c r="E7" s="1491"/>
    </row>
    <row r="8" spans="1:5" ht="15.75">
      <c r="A8" s="1491"/>
      <c r="B8" s="3473" t="str">
        <f>结果表!E103</f>
        <v>2.估价师知悉的法定优先受偿款</v>
      </c>
      <c r="C8" s="1496" t="s">
        <v>913</v>
      </c>
      <c r="D8" s="851">
        <f>结果表!H103</f>
        <v>0</v>
      </c>
      <c r="E8" s="1491"/>
    </row>
    <row r="9" spans="1:5" ht="15.75">
      <c r="A9" s="1491"/>
      <c r="B9" s="347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6" t="str">
        <f>结果表!E107</f>
        <v>3.房地产抵押价值</v>
      </c>
      <c r="C13" s="1499" t="s">
        <v>910</v>
      </c>
      <c r="D13" s="853">
        <f ca="1">结果表!H107</f>
        <v>369</v>
      </c>
      <c r="E13" s="1491"/>
    </row>
    <row r="14" spans="1:5" ht="15.75">
      <c r="A14" s="1491"/>
      <c r="B14" s="3467"/>
      <c r="C14" s="1494" t="s">
        <v>911</v>
      </c>
      <c r="D14" s="850" t="str">
        <f ca="1">NUMBERSTRING(INT(D13*10000),2)&amp;"元整"</f>
        <v>叁佰陆拾玖万元整</v>
      </c>
      <c r="E14" s="1491"/>
    </row>
    <row r="15" spans="1:5" ht="15">
      <c r="A15" s="1491"/>
      <c r="B15" s="3472"/>
      <c r="C15" s="1495" t="s">
        <v>921</v>
      </c>
      <c r="D15" s="859">
        <f ca="1">结果表!H108</f>
        <v>13411</v>
      </c>
      <c r="E15" s="1491"/>
    </row>
    <row r="16" spans="1:5" ht="15">
      <c r="A16" s="1491"/>
      <c r="B16" s="3473" t="str">
        <f>结果表!E109</f>
        <v>——</v>
      </c>
      <c r="C16" s="1499" t="s">
        <v>922</v>
      </c>
      <c r="D16" s="1500" t="str">
        <f>结果表!H109</f>
        <v>——</v>
      </c>
      <c r="E16" s="1491"/>
    </row>
    <row r="17" spans="1:5" ht="15.75">
      <c r="A17" s="1491"/>
      <c r="B17" s="3474"/>
      <c r="C17" s="1494" t="s">
        <v>923</v>
      </c>
      <c r="D17" s="850" t="e">
        <f>NUMBERSTRING(INT(D16*10000),2)&amp;"元整"</f>
        <v>#VALUE!</v>
      </c>
      <c r="E17" s="1491"/>
    </row>
    <row r="18" spans="1:5" ht="15">
      <c r="A18" s="1491"/>
      <c r="B18" s="3475"/>
      <c r="C18" s="1495" t="s">
        <v>912</v>
      </c>
      <c r="D18" s="859" t="str">
        <f>结果表!H110</f>
        <v>——</v>
      </c>
      <c r="E18" s="1491"/>
    </row>
    <row r="19" spans="1:5" ht="15.75">
      <c r="A19" s="1491"/>
      <c r="B19" s="3466" t="str">
        <f>结果表!E111</f>
        <v>——</v>
      </c>
      <c r="C19" s="1499" t="s">
        <v>910</v>
      </c>
      <c r="D19" s="851" t="str">
        <f>结果表!H111</f>
        <v>——</v>
      </c>
      <c r="E19" s="1491"/>
    </row>
    <row r="20" spans="1:5" ht="15.75">
      <c r="A20" s="1491"/>
      <c r="B20" s="3467"/>
      <c r="C20" s="1494" t="s">
        <v>923</v>
      </c>
      <c r="D20" s="850" t="e">
        <f>NUMBERSTRING(INT(D19*10000),2)&amp;"元整"</f>
        <v>#VALUE!</v>
      </c>
      <c r="E20" s="1491"/>
    </row>
    <row r="21" spans="1:5" ht="15.75" thickBot="1">
      <c r="A21" s="1491"/>
      <c r="B21" s="346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88" t="s">
        <v>2848</v>
      </c>
      <c r="B1" s="3788"/>
      <c r="C1" s="3788"/>
      <c r="D1" s="3788"/>
      <c r="E1" s="3788"/>
      <c r="F1" s="3788"/>
      <c r="G1" s="3789"/>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86"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787"/>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90" t="s">
        <v>3190</v>
      </c>
      <c r="B1" s="3790"/>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ht="15">
      <c r="A1" s="3791" t="s">
        <v>3241</v>
      </c>
      <c r="B1" s="3791"/>
      <c r="C1" s="3791"/>
      <c r="D1" s="3791"/>
      <c r="E1" s="3791"/>
      <c r="F1" s="3792"/>
    </row>
    <row r="2" spans="1:6" ht="15">
      <c r="A2" s="3292" t="s">
        <v>3242</v>
      </c>
      <c r="B2" s="3293"/>
      <c r="C2" s="3293"/>
      <c r="D2" s="3293"/>
      <c r="E2" s="3293"/>
      <c r="F2" s="3293"/>
    </row>
    <row r="3" spans="1:6" ht="15">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2">
        <f>基准地价修正!G23</f>
        <v>44930</v>
      </c>
      <c r="B1" s="3211" t="s">
        <v>2847</v>
      </c>
      <c r="C1" s="3212"/>
      <c r="D1" s="3212"/>
      <c r="E1" s="3212"/>
      <c r="F1" s="3212"/>
      <c r="G1" s="3212"/>
      <c r="H1" s="3212"/>
      <c r="I1" s="3212"/>
      <c r="J1" s="3165"/>
      <c r="K1" s="3212" t="s">
        <v>454</v>
      </c>
      <c r="L1" s="3212"/>
      <c r="M1" s="3212"/>
      <c r="N1" s="3212"/>
      <c r="O1" s="3212"/>
      <c r="P1" s="3212"/>
      <c r="Q1" s="3165"/>
      <c r="R1" s="3793" t="s">
        <v>456</v>
      </c>
      <c r="S1" s="3794"/>
      <c r="T1" s="3794"/>
      <c r="U1" s="3794"/>
      <c r="V1" s="3794"/>
      <c r="W1" s="3794"/>
      <c r="X1" s="3165"/>
      <c r="Y1" s="3793" t="s">
        <v>457</v>
      </c>
      <c r="Z1" s="3794"/>
      <c r="AA1" s="3794"/>
      <c r="AB1" s="3794"/>
      <c r="AC1" s="3794"/>
      <c r="AD1" s="379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3364</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3365</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793" t="s">
        <v>2833</v>
      </c>
      <c r="S18" s="3794"/>
      <c r="T18" s="3794"/>
      <c r="U18" s="3794"/>
      <c r="V18" s="3794"/>
      <c r="W18" s="3794"/>
      <c r="X18" s="3165"/>
      <c r="Y18" s="3793" t="s">
        <v>2834</v>
      </c>
      <c r="Z18" s="3794"/>
      <c r="AA18" s="3794"/>
      <c r="AB18" s="3794"/>
      <c r="AC18" s="3794"/>
      <c r="AD18" s="3794"/>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3366</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3365</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8">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8">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8">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8">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44930</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G9"/>
  <sheetViews>
    <sheetView tabSelected="1" workbookViewId="0">
      <selection activeCell="G19" sqref="G19"/>
    </sheetView>
  </sheetViews>
  <sheetFormatPr defaultRowHeight="13.5"/>
  <cols>
    <col min="6" max="6" width="11.375" bestFit="1" customWidth="1"/>
    <col min="7" max="7" width="12.375" bestFit="1" customWidth="1"/>
  </cols>
  <sheetData>
    <row r="6" spans="4:7">
      <c r="D6" s="3806"/>
      <c r="E6" s="3806" t="s">
        <v>3424</v>
      </c>
      <c r="F6" s="3806" t="s">
        <v>3425</v>
      </c>
      <c r="G6" s="3806" t="s">
        <v>3426</v>
      </c>
    </row>
    <row r="7" spans="4:7">
      <c r="D7" s="3806" t="s">
        <v>3427</v>
      </c>
      <c r="E7" s="3806">
        <f>结果表!B118</f>
        <v>275.49</v>
      </c>
      <c r="F7" s="3806">
        <f ca="1">系统读取表!D14</f>
        <v>369</v>
      </c>
      <c r="G7" s="3806">
        <f ca="1">结果表!H108</f>
        <v>13411</v>
      </c>
    </row>
    <row r="8" spans="4:7">
      <c r="D8" s="3806" t="s">
        <v>3428</v>
      </c>
      <c r="E8" s="3806">
        <f>E7</f>
        <v>275.49</v>
      </c>
      <c r="F8" s="3806">
        <f ca="1">F7</f>
        <v>369</v>
      </c>
      <c r="G8" s="3806">
        <f ca="1">G7</f>
        <v>13411</v>
      </c>
    </row>
    <row r="9" spans="4:7">
      <c r="D9" s="3806" t="s">
        <v>3429</v>
      </c>
      <c r="E9" s="3806">
        <f>SUM(E7:E8)</f>
        <v>550.98</v>
      </c>
      <c r="F9" s="3806">
        <f ca="1">SUM(F7:F8)</f>
        <v>738</v>
      </c>
      <c r="G9" s="3806" t="s">
        <v>3430</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854" t="s">
        <v>925</v>
      </c>
      <c r="E3" s="854" t="s">
        <v>931</v>
      </c>
      <c r="F3" s="854" t="s">
        <v>925</v>
      </c>
      <c r="G3" s="854" t="s">
        <v>926</v>
      </c>
      <c r="H3" s="854" t="s">
        <v>925</v>
      </c>
      <c r="I3" s="854" t="s">
        <v>926</v>
      </c>
    </row>
    <row r="4" spans="1:9" ht="15">
      <c r="A4" s="1505" t="str">
        <f>项目基本情况!S2</f>
        <v>北京市房地产</v>
      </c>
      <c r="B4" s="854">
        <f>项目基本情况!C17</f>
        <v>275.49</v>
      </c>
      <c r="C4" s="854">
        <f>项目基本情况!C18</f>
        <v>0</v>
      </c>
      <c r="D4" s="854" t="e">
        <f ca="1">结果表!D118</f>
        <v>#REF!</v>
      </c>
      <c r="E4" s="854" t="e">
        <f ca="1">结果表!E118</f>
        <v>#REF!</v>
      </c>
      <c r="F4" s="854" t="e">
        <f ca="1">结果表!F118</f>
        <v>#REF!</v>
      </c>
      <c r="G4" s="854" t="e">
        <f ca="1">结果表!G118</f>
        <v>#REF!</v>
      </c>
      <c r="H4" s="854">
        <f ca="1">结果表!H118</f>
        <v>369</v>
      </c>
      <c r="I4" s="854">
        <f ca="1">结果表!I118</f>
        <v>13411</v>
      </c>
    </row>
    <row r="5" spans="1:9" ht="30" customHeight="1">
      <c r="A5" s="3479" t="s">
        <v>927</v>
      </c>
      <c r="B5" s="3479"/>
      <c r="C5" s="3479"/>
      <c r="D5" s="3479" t="e">
        <f ca="1">结果表!D119</f>
        <v>#REF!</v>
      </c>
      <c r="E5" s="3479"/>
      <c r="F5" s="3479" t="e">
        <f ca="1">结果表!F119</f>
        <v>#REF!</v>
      </c>
      <c r="G5" s="3479"/>
      <c r="H5" s="3479" t="str">
        <f ca="1">结果表!H119</f>
        <v>叁佰陆拾玖万元整</v>
      </c>
      <c r="I5" s="3479"/>
    </row>
    <row r="6" spans="1:9" ht="15.75">
      <c r="A6" s="3478" t="str">
        <f>结果表!A120</f>
        <v>估价师知悉的法定优先受偿款</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房地产抵押价值</v>
      </c>
      <c r="B8" s="3478"/>
      <c r="C8" s="3478"/>
      <c r="D8" s="3478">
        <f ca="1">结果表!D122</f>
        <v>369</v>
      </c>
      <c r="E8" s="3478"/>
      <c r="F8" s="3478"/>
      <c r="G8" s="3478"/>
      <c r="H8" s="3478"/>
      <c r="I8" s="3478"/>
    </row>
    <row r="9" spans="1:9" ht="15">
      <c r="A9" s="3479" t="s">
        <v>927</v>
      </c>
      <c r="B9" s="3479"/>
      <c r="C9" s="3479"/>
      <c r="D9" s="3479" t="str">
        <f ca="1">结果表!D123</f>
        <v>叁佰陆拾玖万元整</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1" t="s">
        <v>949</v>
      </c>
      <c r="B1" s="3491"/>
      <c r="C1" s="3491"/>
      <c r="D1" s="3491"/>
    </row>
    <row r="2" spans="1:4" ht="18">
      <c r="A2" s="3492" t="s">
        <v>933</v>
      </c>
      <c r="B2" s="3492"/>
      <c r="C2" s="3492"/>
      <c r="D2" s="349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2" t="s">
        <v>939</v>
      </c>
      <c r="B6" s="3492"/>
      <c r="C6" s="3492"/>
      <c r="D6" s="349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9" t="s">
        <v>956</v>
      </c>
      <c r="B15" s="3494" t="s">
        <v>109</v>
      </c>
      <c r="C15" s="3495"/>
    </row>
    <row r="16" spans="1:7" ht="13.5">
      <c r="A16" s="3500"/>
      <c r="B16" s="3494" t="s">
        <v>42</v>
      </c>
      <c r="C16" s="3495"/>
    </row>
    <row r="17" spans="1:3" ht="13.5">
      <c r="A17" s="3500"/>
      <c r="B17" s="3497" t="s">
        <v>957</v>
      </c>
      <c r="C17" s="1532" t="s">
        <v>956</v>
      </c>
    </row>
    <row r="18" spans="1:3" ht="13.5">
      <c r="A18" s="3500"/>
      <c r="B18" s="3497"/>
      <c r="C18" s="1532" t="s">
        <v>958</v>
      </c>
    </row>
    <row r="19" spans="1:3" ht="13.5">
      <c r="A19" s="3500"/>
      <c r="B19" s="3497"/>
      <c r="C19" s="1532" t="s">
        <v>959</v>
      </c>
    </row>
    <row r="20" spans="1:3" ht="13.5">
      <c r="A20" s="3501"/>
      <c r="B20" s="3496" t="s">
        <v>960</v>
      </c>
      <c r="C20" s="3495"/>
    </row>
    <row r="21" spans="1:3" ht="13.5">
      <c r="A21" s="1533" t="s">
        <v>961</v>
      </c>
      <c r="B21" s="1534"/>
      <c r="C21" s="1535"/>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2" t="s">
        <v>967</v>
      </c>
    </row>
    <row r="26" spans="1:3" ht="13.5">
      <c r="A26" s="3498"/>
      <c r="B26" s="3497"/>
      <c r="C26" s="1532" t="s">
        <v>968</v>
      </c>
    </row>
    <row r="27" spans="1:3" ht="13.5">
      <c r="A27" s="3498"/>
      <c r="B27" s="3497"/>
      <c r="C27" s="1532" t="s">
        <v>969</v>
      </c>
    </row>
    <row r="28" spans="1:3" ht="13.5">
      <c r="A28" s="3498"/>
      <c r="B28" s="3497"/>
      <c r="C28" s="1532" t="s">
        <v>970</v>
      </c>
    </row>
    <row r="29" spans="1:3" ht="13.5">
      <c r="A29" s="3498"/>
      <c r="B29" s="3497"/>
      <c r="C29" s="1532" t="s">
        <v>971</v>
      </c>
    </row>
    <row r="30" spans="1:3" ht="13.5">
      <c r="A30" s="3498"/>
      <c r="B30" s="3497"/>
      <c r="C30" s="1532" t="s">
        <v>972</v>
      </c>
    </row>
    <row r="31" spans="1:3" ht="13.5">
      <c r="A31" s="3498"/>
      <c r="B31" s="3497"/>
      <c r="C31" s="1532" t="s">
        <v>973</v>
      </c>
    </row>
    <row r="32" spans="1:3" ht="13.5">
      <c r="A32" s="3498"/>
      <c r="B32" s="3497"/>
      <c r="C32" s="1532" t="s">
        <v>974</v>
      </c>
    </row>
    <row r="33" spans="1:3" ht="13.5">
      <c r="A33" s="3498"/>
      <c r="B33" s="349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44930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2" t="s">
        <v>2160</v>
      </c>
      <c r="B17" s="3502"/>
      <c r="C17" s="3502"/>
      <c r="D17" s="3502"/>
      <c r="E17" s="3502"/>
      <c r="F17" s="3502"/>
      <c r="G17" s="3502"/>
      <c r="H17" s="3502"/>
    </row>
    <row r="18" spans="1:8" ht="24" customHeight="1">
      <c r="A18" s="3503" t="s">
        <v>2161</v>
      </c>
      <c r="B18" s="3503"/>
      <c r="C18" s="3503"/>
      <c r="D18" s="2343"/>
      <c r="E18" s="3504" t="s">
        <v>2162</v>
      </c>
      <c r="F18" s="3503"/>
      <c r="G18" s="350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2023-01-04T07:09:12Z</dcterms:modified>
</cp:coreProperties>
</file>