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红金龙企业港-吴姐询价\"/>
    </mc:Choice>
  </mc:AlternateContent>
  <xr:revisionPtr revIDLastSave="0" documentId="13_ncr:1_{0245B048-275F-40D0-B889-2B29936146C4}" xr6:coauthVersionLast="47" xr6:coauthVersionMax="47" xr10:uidLastSave="{00000000-0000-0000-0000-000000000000}"/>
  <bookViews>
    <workbookView xWindow="-110" yWindow="-110" windowWidth="25820" windowHeight="14020" tabRatio="899" firstSheet="13"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Sheet1" sheetId="80" r:id="rId29"/>
    <sheet name="Sheet2" sheetId="81"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H53" i="37"/>
  <c r="I5" i="37"/>
  <c r="G5" i="37"/>
  <c r="E5" i="37"/>
  <c r="C30" i="37"/>
  <c r="C6" i="69"/>
  <c r="D33" i="43"/>
  <c r="D92" i="37"/>
  <c r="E92" i="37" s="1"/>
  <c r="F92" i="37" s="1"/>
  <c r="G92" i="37" s="1"/>
  <c r="F60" i="37"/>
  <c r="E60" i="37" s="1"/>
  <c r="D60" i="37" s="1"/>
  <c r="C60" i="37" s="1"/>
  <c r="J49" i="67"/>
  <c r="Y6" i="1"/>
  <c r="N6" i="1"/>
  <c r="N19" i="1"/>
  <c r="B59" i="1"/>
  <c r="B21" i="1"/>
  <c r="F19" i="6"/>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S20" i="79"/>
  <c r="AG20" i="79" s="1"/>
  <c r="W22" i="79"/>
  <c r="AK22" i="79" s="1"/>
  <c r="AH22" i="79"/>
  <c r="AR40" i="79"/>
  <c r="AR41" i="79" s="1"/>
  <c r="AR42" i="79" s="1"/>
  <c r="AR43" i="79" s="1"/>
  <c r="AR44" i="79" s="1"/>
  <c r="AR45" i="79" s="1"/>
  <c r="AR46" i="79" s="1"/>
  <c r="AR47" i="79" s="1"/>
  <c r="AR48" i="79" s="1"/>
  <c r="AR49" i="79" s="1"/>
  <c r="AR50" i="79" s="1"/>
  <c r="AR51" i="79" s="1"/>
  <c r="AR52" i="79" s="1"/>
  <c r="AD38" i="79"/>
  <c r="AD37" i="79"/>
  <c r="AD35" i="79"/>
  <c r="AD34" i="79"/>
  <c r="AD36" i="79"/>
  <c r="Z3" i="79"/>
  <c r="S34" i="79"/>
  <c r="AG34" i="79" s="1"/>
  <c r="S35" i="79"/>
  <c r="AG35" i="79" s="1"/>
  <c r="S33" i="79"/>
  <c r="AG33" i="79" s="1"/>
  <c r="AA31" i="79"/>
  <c r="AD31" i="79" s="1"/>
  <c r="T40" i="79"/>
  <c r="U46" i="79"/>
  <c r="AI46" i="79" s="1"/>
  <c r="AD47" i="79"/>
  <c r="S48" i="79"/>
  <c r="AG48" i="79" s="1"/>
  <c r="U50" i="79"/>
  <c r="AI50" i="79" s="1"/>
  <c r="AD5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12" i="79"/>
  <c r="AK12" i="79" s="1"/>
  <c r="AH12"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21" i="79"/>
  <c r="AK21" i="79" s="1"/>
  <c r="AH21"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F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U31" i="21" s="1"/>
  <c r="B96" i="21"/>
  <c r="B94" i="21"/>
  <c r="J29" i="21" s="1"/>
  <c r="AC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s="1"/>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BL388" i="3"/>
  <c r="AZ388" i="3" s="1"/>
  <c r="G389" i="3"/>
  <c r="BA391" i="3"/>
  <c r="AZ391" i="3" s="1"/>
  <c r="BL392" i="3"/>
  <c r="G393" i="3"/>
  <c r="BO5" i="3"/>
  <c r="BM5" i="3"/>
  <c r="F29" i="6" s="1"/>
  <c r="BJ5" i="3"/>
  <c r="BF5" i="3"/>
  <c r="AZ506" i="3"/>
  <c r="AZ496" i="3"/>
  <c r="G548" i="3"/>
  <c r="G538" i="3"/>
  <c r="G520" i="3"/>
  <c r="G502" i="3"/>
  <c r="BS5" i="3"/>
  <c r="BP5" i="3"/>
  <c r="BN5" i="3"/>
  <c r="BK5" i="3"/>
  <c r="BI5" i="3"/>
  <c r="BG5" i="3"/>
  <c r="BE5" i="3"/>
  <c r="BC5" i="3"/>
  <c r="G17" i="3"/>
  <c r="BA17" i="3"/>
  <c r="AZ356" i="3"/>
  <c r="AZ368" i="3"/>
  <c r="BA15" i="3"/>
  <c r="BB5" i="3"/>
  <c r="BR5" i="3"/>
  <c r="AZ392" i="3"/>
  <c r="G509" i="3"/>
  <c r="BL493" i="3"/>
  <c r="AZ493" i="3" s="1"/>
  <c r="U36" i="40"/>
  <c r="F83" i="43"/>
  <c r="H85" i="43" s="1"/>
  <c r="F50" i="43"/>
  <c r="H54" i="43" s="1"/>
  <c r="F72" i="43"/>
  <c r="H75" i="43" s="1"/>
  <c r="U17" i="39"/>
  <c r="S14" i="35"/>
  <c r="U43" i="21"/>
  <c r="U35" i="21"/>
  <c r="AC35" i="21"/>
  <c r="AC11" i="39"/>
  <c r="AZ563" i="3"/>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353" i="3"/>
  <c r="C40" i="11"/>
  <c r="AZ227" i="3"/>
  <c r="AZ248" i="3"/>
  <c r="AZ259" i="3"/>
  <c r="AZ271" i="3"/>
  <c r="AZ133" i="3"/>
  <c r="AZ50"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50"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W27" i="37"/>
  <c r="S32" i="37"/>
  <c r="W30" i="37"/>
  <c r="S36" i="37"/>
  <c r="AA38" i="37"/>
  <c r="U32" i="37"/>
  <c r="S37" i="37"/>
  <c r="J17" i="37"/>
  <c r="W17" i="37" s="1"/>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27" i="33"/>
  <c r="F87" i="33"/>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AA14" i="21"/>
  <c r="D120" i="9"/>
  <c r="D121" i="9" s="1"/>
  <c r="D7" i="52" s="1"/>
  <c r="M20" i="67"/>
  <c r="F34" i="15"/>
  <c r="F62" i="15" s="1"/>
  <c r="G13" i="3"/>
  <c r="BL17" i="3"/>
  <c r="AZ17" i="3"/>
  <c r="J56" i="9"/>
  <c r="J57" i="9" s="1"/>
  <c r="J59" i="9" s="1"/>
  <c r="J61" i="9" s="1"/>
  <c r="A24" i="51"/>
  <c r="B18" i="72"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52" i="9"/>
  <c r="M18" i="67"/>
  <c r="F32" i="67"/>
  <c r="F60" i="67" s="1"/>
  <c r="F32" i="15"/>
  <c r="F60" i="15" s="1"/>
  <c r="M18" i="15"/>
  <c r="F28" i="15"/>
  <c r="AA39" i="40"/>
  <c r="S39" i="40"/>
  <c r="S12" i="33"/>
  <c r="AA12" i="33"/>
  <c r="F54" i="9"/>
  <c r="J32" i="39"/>
  <c r="AC32" i="39" s="1"/>
  <c r="H32" i="39"/>
  <c r="AB32" i="39" s="1"/>
  <c r="S32" i="39"/>
  <c r="AB21" i="39"/>
  <c r="U21" i="39"/>
  <c r="S21" i="39"/>
  <c r="J19" i="37"/>
  <c r="W19" i="37" s="1"/>
  <c r="G75" i="37"/>
  <c r="J23" i="37"/>
  <c r="W23" i="37" s="1"/>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H91" i="33"/>
  <c r="I91" i="33" s="1"/>
  <c r="J91" i="33" s="1"/>
  <c r="K91" i="33" s="1"/>
  <c r="L91" i="33" s="1"/>
  <c r="M91" i="33" s="1"/>
  <c r="J27" i="33"/>
  <c r="U25" i="33"/>
  <c r="AB25" i="33"/>
  <c r="S25" i="33"/>
  <c r="G87" i="33"/>
  <c r="H87" i="33"/>
  <c r="I87" i="33" s="1"/>
  <c r="J87" i="33" s="1"/>
  <c r="K87" i="33" s="1"/>
  <c r="L87" i="33" s="1"/>
  <c r="M87" i="33" s="1"/>
  <c r="J25" i="33"/>
  <c r="AB23" i="33"/>
  <c r="U23" i="33"/>
  <c r="F23" i="33"/>
  <c r="AA19" i="33"/>
  <c r="H19" i="33"/>
  <c r="G81" i="33"/>
  <c r="H17" i="33"/>
  <c r="U17" i="33" s="1"/>
  <c r="F17" i="33"/>
  <c r="S17" i="33" s="1"/>
  <c r="W17" i="33"/>
  <c r="AC17" i="33"/>
  <c r="J23" i="21"/>
  <c r="W23" i="21" s="1"/>
  <c r="F85" i="21"/>
  <c r="G85" i="21" s="1"/>
  <c r="H23" i="21"/>
  <c r="U23" i="21" s="1"/>
  <c r="S13" i="21"/>
  <c r="D6" i="52"/>
  <c r="AP7" i="1"/>
  <c r="AB45" i="21"/>
  <c r="AB9" i="21"/>
  <c r="U9" i="21"/>
  <c r="S32" i="21"/>
  <c r="W9" i="21"/>
  <c r="AC9" i="21"/>
  <c r="U32" i="21"/>
  <c r="U32" i="39"/>
  <c r="W32" i="39"/>
  <c r="J11" i="37"/>
  <c r="AC11" i="37" s="1"/>
  <c r="H70" i="34"/>
  <c r="I70" i="34" s="1"/>
  <c r="J70" i="34" s="1"/>
  <c r="K70" i="34" s="1"/>
  <c r="L70" i="34" s="1"/>
  <c r="M70" i="34" s="1"/>
  <c r="J11" i="34"/>
  <c r="W11" i="34" s="1"/>
  <c r="AB36" i="33"/>
  <c r="W27" i="33"/>
  <c r="AC27" i="33"/>
  <c r="W25" i="33"/>
  <c r="AC25" i="33"/>
  <c r="AB19" i="33"/>
  <c r="U19" i="33"/>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M6" i="15"/>
  <c r="F7" i="15"/>
  <c r="M8" i="67"/>
  <c r="F38" i="15"/>
  <c r="E10" i="76"/>
  <c r="B13" i="76"/>
  <c r="J15" i="15"/>
  <c r="E13" i="76"/>
  <c r="B11" i="76"/>
  <c r="E8" i="76"/>
  <c r="F36" i="15"/>
  <c r="F40" i="67"/>
  <c r="F4" i="73"/>
  <c r="F8" i="15"/>
  <c r="C76" i="67"/>
  <c r="F16" i="15"/>
  <c r="M26" i="67"/>
  <c r="F42" i="15"/>
  <c r="F9" i="15"/>
  <c r="M22" i="15"/>
  <c r="F36" i="67"/>
  <c r="F40" i="15"/>
  <c r="M9" i="67"/>
  <c r="B8" i="76"/>
  <c r="F43" i="15"/>
  <c r="F13" i="15"/>
  <c r="E7" i="76"/>
  <c r="M23" i="15"/>
  <c r="L48" i="15"/>
  <c r="M9" i="15"/>
  <c r="F6" i="15"/>
  <c r="C76" i="15"/>
  <c r="B10" i="76"/>
  <c r="E2" i="68"/>
  <c r="F9" i="67"/>
  <c r="M26" i="15"/>
  <c r="M29" i="67"/>
  <c r="F3" i="73"/>
  <c r="L47" i="67"/>
  <c r="E12" i="76"/>
  <c r="F20" i="31"/>
  <c r="F26" i="15"/>
  <c r="D6" i="73"/>
  <c r="F7" i="67"/>
  <c r="F5" i="73"/>
  <c r="E2" i="69"/>
  <c r="AO13" i="1"/>
  <c r="F6" i="73"/>
  <c r="E11" i="76"/>
  <c r="F42" i="67"/>
  <c r="E9" i="76"/>
  <c r="J15" i="67"/>
  <c r="L48" i="67"/>
  <c r="M8" i="15"/>
  <c r="M29" i="15"/>
  <c r="L47" i="15"/>
  <c r="M23" i="67"/>
  <c r="F37" i="15"/>
  <c r="M28" i="67"/>
  <c r="B12" i="76"/>
  <c r="M28" i="15"/>
  <c r="F8" i="67"/>
  <c r="F7" i="73"/>
  <c r="F37" i="67"/>
  <c r="M24" i="15"/>
  <c r="B7" i="76"/>
  <c r="AA35" i="37" l="1"/>
  <c r="S30" i="37"/>
  <c r="U38" i="37"/>
  <c r="AC12" i="37"/>
  <c r="J25" i="37"/>
  <c r="C52" i="37"/>
  <c r="D52" i="37" s="1"/>
  <c r="W39" i="37"/>
  <c r="C18" i="9"/>
  <c r="D18" i="9" s="1"/>
  <c r="AC23" i="37"/>
  <c r="AA23" i="37"/>
  <c r="U23" i="37"/>
  <c r="AA19" i="37"/>
  <c r="U19" i="37"/>
  <c r="AC17" i="37"/>
  <c r="AA15" i="37"/>
  <c r="AC15" i="37"/>
  <c r="U29" i="37"/>
  <c r="AC35" i="37"/>
  <c r="W31" i="37"/>
  <c r="U36" i="37"/>
  <c r="AB31" i="37"/>
  <c r="W37" i="37"/>
  <c r="AA40" i="37"/>
  <c r="S40" i="37"/>
  <c r="J40" i="37"/>
  <c r="W38" i="37"/>
  <c r="H40" i="37"/>
  <c r="U39" i="37"/>
  <c r="AB35" i="37"/>
  <c r="AA31" i="37"/>
  <c r="U30" i="37"/>
  <c r="AA29" i="37"/>
  <c r="AC29" i="37"/>
  <c r="F34" i="67"/>
  <c r="F62" i="67" s="1"/>
  <c r="C40" i="68"/>
  <c r="E19" i="69"/>
  <c r="D22" i="15"/>
  <c r="D23" i="15"/>
  <c r="BT5" i="3"/>
  <c r="G29" i="6"/>
  <c r="BA13" i="3"/>
  <c r="AB15" i="21"/>
  <c r="AA37" i="21"/>
  <c r="S37" i="21"/>
  <c r="S23" i="21"/>
  <c r="W15" i="21"/>
  <c r="AC27" i="21"/>
  <c r="W27" i="21"/>
  <c r="AA43" i="34"/>
  <c r="S43" i="34"/>
  <c r="S35" i="33"/>
  <c r="AA35" i="33"/>
  <c r="AZ115" i="3"/>
  <c r="S17" i="37"/>
  <c r="AZ587" i="3"/>
  <c r="AA17" i="33"/>
  <c r="AZ14" i="3"/>
  <c r="AZ334" i="3"/>
  <c r="AZ324" i="3"/>
  <c r="AZ523" i="3"/>
  <c r="AZ547" i="3"/>
  <c r="AZ571" i="3"/>
  <c r="AZ579" i="3"/>
  <c r="BL585" i="3"/>
  <c r="F12" i="35"/>
  <c r="J12" i="35"/>
  <c r="S20" i="35"/>
  <c r="AZ387" i="3"/>
  <c r="AZ362" i="3"/>
  <c r="AZ338" i="3"/>
  <c r="AZ390" i="3"/>
  <c r="AZ371" i="3"/>
  <c r="AZ351" i="3"/>
  <c r="AZ336" i="3"/>
  <c r="AZ305" i="3"/>
  <c r="AZ375" i="3"/>
  <c r="AZ360" i="3"/>
  <c r="G521" i="3"/>
  <c r="AZ539" i="3"/>
  <c r="AZ529" i="3"/>
  <c r="AZ537" i="3"/>
  <c r="AZ518" i="3"/>
  <c r="AZ526" i="3"/>
  <c r="AZ546" i="3"/>
  <c r="AZ564" i="3"/>
  <c r="AZ580" i="3"/>
  <c r="AZ585" i="3"/>
  <c r="AB45" i="33"/>
  <c r="S11" i="36"/>
  <c r="S14" i="37"/>
  <c r="AA44" i="34"/>
  <c r="AA29" i="35"/>
  <c r="AB17" i="34"/>
  <c r="AZ306" i="3"/>
  <c r="AZ513" i="3"/>
  <c r="AZ502" i="3"/>
  <c r="G585" i="3"/>
  <c r="BL587" i="3"/>
  <c r="BL586" i="3"/>
  <c r="AZ586" i="3" s="1"/>
  <c r="J9" i="33"/>
  <c r="F9" i="33"/>
  <c r="AA9" i="33" s="1"/>
  <c r="AZ443" i="3"/>
  <c r="D68" i="9"/>
  <c r="F30" i="69"/>
  <c r="F48" i="69" s="1"/>
  <c r="F31" i="12"/>
  <c r="AB20" i="35"/>
  <c r="AB19" i="40"/>
  <c r="AZ357" i="3"/>
  <c r="AZ322" i="3"/>
  <c r="AZ328" i="3"/>
  <c r="AZ313" i="3"/>
  <c r="AZ394" i="3"/>
  <c r="S14" i="40"/>
  <c r="AA25" i="21"/>
  <c r="AZ531" i="3"/>
  <c r="AZ583" i="3"/>
  <c r="AZ568" i="3"/>
  <c r="AZ576" i="3"/>
  <c r="AA14" i="34"/>
  <c r="B101" i="43"/>
  <c r="B79" i="43"/>
  <c r="H12" i="35"/>
  <c r="J23" i="35"/>
  <c r="H23" i="35"/>
  <c r="BA401" i="3"/>
  <c r="AZ401" i="3" s="1"/>
  <c r="BA403" i="3"/>
  <c r="BA404" i="3"/>
  <c r="AZ404" i="3" s="1"/>
  <c r="BA405" i="3"/>
  <c r="AZ405" i="3" s="1"/>
  <c r="G409" i="3"/>
  <c r="BL410" i="3"/>
  <c r="G419" i="3"/>
  <c r="BA422" i="3"/>
  <c r="AZ422" i="3" s="1"/>
  <c r="G430" i="3"/>
  <c r="BL431" i="3"/>
  <c r="BL434" i="3"/>
  <c r="G437" i="3"/>
  <c r="BL438" i="3"/>
  <c r="BL439" i="3"/>
  <c r="BA441" i="3"/>
  <c r="AZ441" i="3" s="1"/>
  <c r="BL445" i="3"/>
  <c r="AZ445" i="3" s="1"/>
  <c r="BL446" i="3"/>
  <c r="BL449" i="3"/>
  <c r="BL450" i="3"/>
  <c r="BL452" i="3"/>
  <c r="G455" i="3"/>
  <c r="BL456" i="3"/>
  <c r="BA464" i="3"/>
  <c r="AZ464" i="3" s="1"/>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AZ218" i="3" s="1"/>
  <c r="BL218" i="3"/>
  <c r="BL220" i="3"/>
  <c r="BL221" i="3"/>
  <c r="AZ221" i="3" s="1"/>
  <c r="BL223" i="3"/>
  <c r="AZ223" i="3" s="1"/>
  <c r="F25" i="37"/>
  <c r="BA551" i="3"/>
  <c r="AZ551" i="3" s="1"/>
  <c r="BA550" i="3"/>
  <c r="AZ550" i="3" s="1"/>
  <c r="BL548" i="3"/>
  <c r="AZ548" i="3" s="1"/>
  <c r="G399" i="3"/>
  <c r="BL400" i="3"/>
  <c r="AZ400" i="3" s="1"/>
  <c r="BL408" i="3"/>
  <c r="BL411" i="3"/>
  <c r="BL413" i="3"/>
  <c r="AZ413" i="3" s="1"/>
  <c r="G416" i="3"/>
  <c r="BL417" i="3"/>
  <c r="BL418" i="3"/>
  <c r="BL420" i="3"/>
  <c r="G423" i="3"/>
  <c r="BL424" i="3"/>
  <c r="AZ424" i="3" s="1"/>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AZ467" i="3" s="1"/>
  <c r="BA468" i="3"/>
  <c r="BL471" i="3"/>
  <c r="BL475" i="3"/>
  <c r="BA477" i="3"/>
  <c r="AZ477" i="3" s="1"/>
  <c r="BA478" i="3"/>
  <c r="BA481" i="3"/>
  <c r="G484" i="3"/>
  <c r="BA488" i="3"/>
  <c r="AZ488" i="3" s="1"/>
  <c r="BA491" i="3"/>
  <c r="BL324" i="3"/>
  <c r="BL328" i="3"/>
  <c r="G329" i="3"/>
  <c r="BA335" i="3"/>
  <c r="AZ335" i="3" s="1"/>
  <c r="BA339" i="3"/>
  <c r="AZ339" i="3" s="1"/>
  <c r="G343" i="3"/>
  <c r="G347" i="3"/>
  <c r="BA348" i="3"/>
  <c r="BA350" i="3"/>
  <c r="AZ350" i="3" s="1"/>
  <c r="BA354" i="3"/>
  <c r="BA366" i="3"/>
  <c r="AZ366" i="3" s="1"/>
  <c r="BL375" i="3"/>
  <c r="BL385" i="3"/>
  <c r="G392" i="3"/>
  <c r="BA397" i="3"/>
  <c r="AZ397" i="3" s="1"/>
  <c r="BL397" i="3"/>
  <c r="BA210" i="3"/>
  <c r="BL210" i="3"/>
  <c r="BL212" i="3"/>
  <c r="AZ212" i="3" s="1"/>
  <c r="G214" i="3"/>
  <c r="BL214" i="3"/>
  <c r="AZ214" i="3" s="1"/>
  <c r="G216" i="3"/>
  <c r="BL225" i="3"/>
  <c r="BL226" i="3"/>
  <c r="G227" i="3"/>
  <c r="G228" i="3"/>
  <c r="BL228" i="3"/>
  <c r="AZ228" i="3" s="1"/>
  <c r="BA230" i="3"/>
  <c r="AZ230" i="3" s="1"/>
  <c r="BA235" i="3"/>
  <c r="BA265" i="3"/>
  <c r="AZ265" i="3" s="1"/>
  <c r="AZ270" i="3"/>
  <c r="BL272" i="3"/>
  <c r="H38" i="40"/>
  <c r="BL398" i="3"/>
  <c r="AZ398" i="3" s="1"/>
  <c r="G402" i="3"/>
  <c r="BL403" i="3"/>
  <c r="G405" i="3"/>
  <c r="G406" i="3"/>
  <c r="BA408" i="3"/>
  <c r="AZ408" i="3" s="1"/>
  <c r="BA409" i="3"/>
  <c r="AZ409" i="3" s="1"/>
  <c r="BA411" i="3"/>
  <c r="AZ411" i="3" s="1"/>
  <c r="BL414" i="3"/>
  <c r="BL415" i="3"/>
  <c r="BA417" i="3"/>
  <c r="BL421" i="3"/>
  <c r="BL422" i="3"/>
  <c r="BL425" i="3"/>
  <c r="AZ425" i="3" s="1"/>
  <c r="BL426" i="3"/>
  <c r="BA428" i="3"/>
  <c r="AZ428" i="3" s="1"/>
  <c r="BA429" i="3"/>
  <c r="AZ429" i="3" s="1"/>
  <c r="BA430" i="3"/>
  <c r="AZ430" i="3" s="1"/>
  <c r="BA432" i="3"/>
  <c r="BA434" i="3"/>
  <c r="BA436" i="3"/>
  <c r="BA438" i="3"/>
  <c r="G442" i="3"/>
  <c r="G443" i="3"/>
  <c r="BA446" i="3"/>
  <c r="BA450" i="3"/>
  <c r="AZ450" i="3" s="1"/>
  <c r="BA453" i="3"/>
  <c r="AZ453" i="3" s="1"/>
  <c r="BA455" i="3"/>
  <c r="AZ455" i="3" s="1"/>
  <c r="BL457" i="3"/>
  <c r="AZ457" i="3" s="1"/>
  <c r="BL460" i="3"/>
  <c r="BL461" i="3"/>
  <c r="BL463" i="3"/>
  <c r="G465" i="3"/>
  <c r="BA471" i="3"/>
  <c r="AZ471" i="3" s="1"/>
  <c r="G486" i="3"/>
  <c r="AZ487" i="3"/>
  <c r="BL231" i="3"/>
  <c r="BA257" i="3"/>
  <c r="G263" i="3"/>
  <c r="AZ301" i="3"/>
  <c r="AZ125" i="3"/>
  <c r="H9" i="34"/>
  <c r="F12" i="34"/>
  <c r="S12" i="34" s="1"/>
  <c r="J23" i="36"/>
  <c r="H39" i="40"/>
  <c r="G551" i="3"/>
  <c r="BL550" i="3"/>
  <c r="G542" i="3"/>
  <c r="BL15" i="3"/>
  <c r="AZ15" i="3" s="1"/>
  <c r="AZ414" i="3"/>
  <c r="AZ415" i="3"/>
  <c r="AZ418" i="3"/>
  <c r="AZ421" i="3"/>
  <c r="AZ435" i="3"/>
  <c r="AZ451" i="3"/>
  <c r="AZ454" i="3"/>
  <c r="AZ460" i="3"/>
  <c r="AZ461" i="3"/>
  <c r="AZ469" i="3"/>
  <c r="AZ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29" i="3"/>
  <c r="AZ229" i="3" s="1"/>
  <c r="BL229" i="3"/>
  <c r="BA233" i="3"/>
  <c r="AZ233" i="3" s="1"/>
  <c r="BA255" i="3"/>
  <c r="G271" i="3"/>
  <c r="AZ52" i="3"/>
  <c r="D31" i="71"/>
  <c r="C32" i="71"/>
  <c r="D50" i="71"/>
  <c r="C51" i="71"/>
  <c r="V24" i="71"/>
  <c r="E23" i="71"/>
  <c r="E22" i="71" s="1"/>
  <c r="E21" i="71" s="1"/>
  <c r="E20" i="71" s="1"/>
  <c r="BA237" i="3"/>
  <c r="AZ237" i="3" s="1"/>
  <c r="BL240" i="3"/>
  <c r="AZ240" i="3" s="1"/>
  <c r="BA242" i="3"/>
  <c r="AZ242" i="3" s="1"/>
  <c r="BL245" i="3"/>
  <c r="AZ245" i="3" s="1"/>
  <c r="BL255" i="3"/>
  <c r="BL257" i="3"/>
  <c r="BL258" i="3"/>
  <c r="AZ258" i="3" s="1"/>
  <c r="BA262" i="3"/>
  <c r="AZ262" i="3" s="1"/>
  <c r="BL265" i="3"/>
  <c r="BA273" i="3"/>
  <c r="AZ273" i="3" s="1"/>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BL54" i="3"/>
  <c r="BL55" i="3"/>
  <c r="AZ55" i="3" s="1"/>
  <c r="G58" i="3"/>
  <c r="BA59" i="3"/>
  <c r="BL61" i="3"/>
  <c r="G64" i="3"/>
  <c r="BA64" i="3"/>
  <c r="BA68" i="3"/>
  <c r="BL74" i="3"/>
  <c r="BA77" i="3"/>
  <c r="AZ77" i="3" s="1"/>
  <c r="BA87" i="3"/>
  <c r="T28" i="71"/>
  <c r="D28" i="71"/>
  <c r="U28" i="71" s="1"/>
  <c r="C27" i="71"/>
  <c r="C60" i="71"/>
  <c r="D59" i="71"/>
  <c r="F66" i="71"/>
  <c r="Q67" i="71"/>
  <c r="BL233" i="3"/>
  <c r="BL235" i="3"/>
  <c r="BL236" i="3"/>
  <c r="BL238" i="3"/>
  <c r="AZ238" i="3" s="1"/>
  <c r="BL243" i="3"/>
  <c r="AZ243" i="3" s="1"/>
  <c r="BA247" i="3"/>
  <c r="BL247" i="3"/>
  <c r="BA249" i="3"/>
  <c r="AZ249" i="3" s="1"/>
  <c r="BL249" i="3"/>
  <c r="BA251" i="3"/>
  <c r="BL251" i="3"/>
  <c r="BA253" i="3"/>
  <c r="BL260" i="3"/>
  <c r="G262" i="3"/>
  <c r="BL263" i="3"/>
  <c r="AZ263" i="3" s="1"/>
  <c r="G264" i="3"/>
  <c r="BL270" i="3"/>
  <c r="BA272" i="3"/>
  <c r="AZ272" i="3" s="1"/>
  <c r="BL275" i="3"/>
  <c r="AZ275" i="3" s="1"/>
  <c r="G277" i="3"/>
  <c r="G280" i="3"/>
  <c r="BL285" i="3"/>
  <c r="BL287" i="3"/>
  <c r="BA290" i="3"/>
  <c r="BL299" i="3"/>
  <c r="BL113" i="3"/>
  <c r="BL115" i="3"/>
  <c r="BA118" i="3"/>
  <c r="AZ118" i="3" s="1"/>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AZ27" i="3" s="1"/>
  <c r="BA28" i="3"/>
  <c r="BA31" i="3"/>
  <c r="BA32" i="3"/>
  <c r="G38" i="3"/>
  <c r="BA38" i="3"/>
  <c r="BA41" i="3"/>
  <c r="BA42" i="3"/>
  <c r="G47" i="3"/>
  <c r="BL48" i="3"/>
  <c r="BA51" i="3"/>
  <c r="G55" i="3"/>
  <c r="BL56" i="3"/>
  <c r="BA58" i="3"/>
  <c r="BL59" i="3"/>
  <c r="BL60" i="3"/>
  <c r="BA61" i="3"/>
  <c r="AZ61" i="3" s="1"/>
  <c r="BL69" i="3"/>
  <c r="AZ69" i="3" s="1"/>
  <c r="BL70" i="3"/>
  <c r="AZ70" i="3" s="1"/>
  <c r="BL71" i="3"/>
  <c r="BL72" i="3"/>
  <c r="AZ72" i="3" s="1"/>
  <c r="BL79" i="3"/>
  <c r="G85" i="3"/>
  <c r="BL85" i="3"/>
  <c r="BA86" i="3"/>
  <c r="AZ86" i="3" s="1"/>
  <c r="G89" i="3"/>
  <c r="BA92" i="3"/>
  <c r="BL96" i="3"/>
  <c r="BL97" i="3"/>
  <c r="AZ97" i="3" s="1"/>
  <c r="D44" i="71"/>
  <c r="T44" i="71"/>
  <c r="D34" i="71"/>
  <c r="C35" i="71"/>
  <c r="C55" i="71"/>
  <c r="D54" i="71"/>
  <c r="D67" i="71"/>
  <c r="C66" i="71"/>
  <c r="O67" i="71"/>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L64" i="3"/>
  <c r="G65" i="3"/>
  <c r="BL65" i="3"/>
  <c r="AZ65" i="3" s="1"/>
  <c r="BL66" i="3"/>
  <c r="BL67" i="3"/>
  <c r="AZ67" i="3" s="1"/>
  <c r="G69" i="3"/>
  <c r="G72" i="3"/>
  <c r="BL73" i="3"/>
  <c r="BA74" i="3"/>
  <c r="AZ74" i="3" s="1"/>
  <c r="G78" i="3"/>
  <c r="BA80" i="3"/>
  <c r="BA91" i="3"/>
  <c r="AZ91" i="3" s="1"/>
  <c r="BL93" i="3"/>
  <c r="G95" i="3"/>
  <c r="G96" i="3"/>
  <c r="C64" i="71"/>
  <c r="D63" i="71"/>
  <c r="G103" i="3"/>
  <c r="BA103" i="3"/>
  <c r="AZ103" i="3" s="1"/>
  <c r="BA104" i="3"/>
  <c r="AZ104" i="3" s="1"/>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AZ53" i="3" s="1"/>
  <c r="BA56" i="3"/>
  <c r="BA57" i="3"/>
  <c r="AZ57" i="3" s="1"/>
  <c r="BL58" i="3"/>
  <c r="G60" i="3"/>
  <c r="BA60" i="3"/>
  <c r="BA63" i="3"/>
  <c r="AZ63" i="3" s="1"/>
  <c r="BA66" i="3"/>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G75" i="3"/>
  <c r="BL75" i="3"/>
  <c r="AZ75" i="3"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8" i="3"/>
  <c r="AZ470" i="3"/>
  <c r="W35" i="39"/>
  <c r="F27" i="34"/>
  <c r="C21" i="39"/>
  <c r="U9" i="36"/>
  <c r="U14" i="37"/>
  <c r="H12" i="21"/>
  <c r="G526" i="3"/>
  <c r="AZ420"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C27" i="15"/>
  <c r="F65" i="15"/>
  <c r="N59" i="67"/>
  <c r="L59" i="67"/>
  <c r="L58" i="67"/>
  <c r="M59" i="67"/>
  <c r="B13" i="70"/>
  <c r="M7" i="67"/>
  <c r="F50" i="67"/>
  <c r="F68" i="67"/>
  <c r="F64" i="67"/>
  <c r="F68" i="15"/>
  <c r="C36" i="68"/>
  <c r="D9" i="68"/>
  <c r="C36" i="69"/>
  <c r="F38" i="67"/>
  <c r="D7" i="73"/>
  <c r="F6" i="67"/>
  <c r="C16" i="15"/>
  <c r="D4" i="73"/>
  <c r="F26" i="67"/>
  <c r="D9" i="69"/>
  <c r="M22" i="67"/>
  <c r="D3" i="73"/>
  <c r="M6" i="67"/>
  <c r="M24" i="67"/>
  <c r="F16" i="67"/>
  <c r="D5" i="73"/>
  <c r="F43" i="67"/>
  <c r="F13" i="67"/>
  <c r="N370" i="46" l="1"/>
  <c r="G26" i="43"/>
  <c r="J26" i="43"/>
  <c r="N94" i="46"/>
  <c r="AC25" i="37"/>
  <c r="W25" i="37"/>
  <c r="W40" i="37"/>
  <c r="AC40" i="37"/>
  <c r="U40" i="37"/>
  <c r="AB40" i="37"/>
  <c r="F26" i="43"/>
  <c r="E26" i="43"/>
  <c r="P6" i="1"/>
  <c r="C13" i="12" s="1"/>
  <c r="Q16" i="1"/>
  <c r="H16" i="1"/>
  <c r="J7" i="36"/>
  <c r="C27" i="67"/>
  <c r="C6" i="67"/>
  <c r="C32" i="67" s="1"/>
  <c r="F31" i="67"/>
  <c r="F71" i="67"/>
  <c r="F66" i="67"/>
  <c r="J6" i="67"/>
  <c r="J18" i="67" s="1"/>
  <c r="G5" i="3"/>
  <c r="B3" i="3" s="1"/>
  <c r="E212" i="3" s="1"/>
  <c r="C70" i="71"/>
  <c r="D70" i="71" s="1"/>
  <c r="D71" i="71"/>
  <c r="O65" i="71"/>
  <c r="D66" i="71"/>
  <c r="O66" i="71"/>
  <c r="C36" i="71"/>
  <c r="D35" i="71"/>
  <c r="C26" i="71"/>
  <c r="D26" i="71" s="1"/>
  <c r="D27" i="71"/>
  <c r="AC23" i="36"/>
  <c r="W23" i="36"/>
  <c r="U23" i="35"/>
  <c r="AB23" i="35"/>
  <c r="C40" i="71"/>
  <c r="D39" i="71"/>
  <c r="D75" i="71"/>
  <c r="C74" i="71"/>
  <c r="D74" i="71" s="1"/>
  <c r="AZ277" i="3"/>
  <c r="AZ256" i="3"/>
  <c r="C52" i="71"/>
  <c r="D51" i="71"/>
  <c r="AC23" i="35"/>
  <c r="W23" i="35"/>
  <c r="AC9" i="33"/>
  <c r="W9" i="33"/>
  <c r="W12" i="35"/>
  <c r="AC12" i="35"/>
  <c r="E28" i="6"/>
  <c r="K14" i="1" s="1"/>
  <c r="K16" i="1" s="1"/>
  <c r="AZ83" i="3"/>
  <c r="AZ111" i="3"/>
  <c r="AZ66" i="3"/>
  <c r="D79" i="71"/>
  <c r="C78" i="71"/>
  <c r="D78" i="71" s="1"/>
  <c r="AZ130" i="3"/>
  <c r="AZ244" i="3"/>
  <c r="AZ239" i="3"/>
  <c r="AZ51" i="3"/>
  <c r="AZ41" i="3"/>
  <c r="AZ31" i="3"/>
  <c r="AZ20" i="3"/>
  <c r="AZ251" i="3"/>
  <c r="AZ247" i="3"/>
  <c r="AZ59" i="3"/>
  <c r="AZ25" i="3"/>
  <c r="AZ294" i="3"/>
  <c r="AB9" i="34"/>
  <c r="U9" i="34"/>
  <c r="AB38" i="40"/>
  <c r="U38" i="40"/>
  <c r="AZ235" i="3"/>
  <c r="AZ210" i="3"/>
  <c r="AA25" i="37"/>
  <c r="S25" i="37"/>
  <c r="AZ403" i="3"/>
  <c r="U12" i="35"/>
  <c r="AB12" i="35"/>
  <c r="AZ206" i="3"/>
  <c r="AZ474" i="3"/>
  <c r="D83" i="71"/>
  <c r="C82" i="71"/>
  <c r="D82" i="71" s="1"/>
  <c r="AZ282" i="3"/>
  <c r="C56" i="71"/>
  <c r="D55" i="71"/>
  <c r="AZ58" i="3"/>
  <c r="AZ28" i="3"/>
  <c r="AZ178" i="3"/>
  <c r="D60" i="71"/>
  <c r="T60" i="71"/>
  <c r="AZ64" i="3"/>
  <c r="AZ150" i="3"/>
  <c r="T32" i="71"/>
  <c r="D32" i="71"/>
  <c r="U39" i="40"/>
  <c r="AB39" i="40"/>
  <c r="AZ257" i="3"/>
  <c r="AZ432" i="3"/>
  <c r="AZ417" i="3"/>
  <c r="AZ491" i="3"/>
  <c r="AZ332" i="3"/>
  <c r="G16" i="1"/>
  <c r="F10" i="39" s="1"/>
  <c r="S10" i="39" s="1"/>
  <c r="J7" i="37"/>
  <c r="AC7" i="37" s="1"/>
  <c r="K1" i="73"/>
  <c r="E467" i="3"/>
  <c r="E497" i="3"/>
  <c r="E498" i="3"/>
  <c r="E540" i="3"/>
  <c r="E36" i="3"/>
  <c r="E165" i="3"/>
  <c r="E222" i="3"/>
  <c r="E323" i="3"/>
  <c r="E39" i="3"/>
  <c r="E459" i="3"/>
  <c r="E167" i="3"/>
  <c r="E307" i="3"/>
  <c r="E461" i="3"/>
  <c r="E157" i="3"/>
  <c r="E313" i="3"/>
  <c r="E529" i="3"/>
  <c r="E438" i="3"/>
  <c r="W6" i="3"/>
  <c r="E471" i="3"/>
  <c r="E54" i="3"/>
  <c r="E208" i="3"/>
  <c r="E257" i="3"/>
  <c r="E357" i="3"/>
  <c r="E93" i="3"/>
  <c r="E397" i="3"/>
  <c r="E196" i="3"/>
  <c r="E145" i="3"/>
  <c r="E379" i="3"/>
  <c r="U6" i="3"/>
  <c r="E548" i="3"/>
  <c r="E432" i="3"/>
  <c r="E36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AE6" i="1"/>
  <c r="F41" i="67"/>
  <c r="C16" i="67"/>
  <c r="F27" i="69"/>
  <c r="W7" i="37" l="1"/>
  <c r="F45" i="69"/>
  <c r="D26" i="43"/>
  <c r="C25" i="43" s="1"/>
  <c r="C29" i="69"/>
  <c r="D27" i="69" s="1"/>
  <c r="C47" i="69"/>
  <c r="D45" i="69" s="1"/>
  <c r="J5" i="67"/>
  <c r="J24" i="67" s="1"/>
  <c r="M14" i="1"/>
  <c r="E352" i="3"/>
  <c r="E82" i="3"/>
  <c r="E504" i="3"/>
  <c r="E195" i="3"/>
  <c r="E66" i="3"/>
  <c r="E266" i="3"/>
  <c r="E110" i="3"/>
  <c r="E348" i="3"/>
  <c r="E20" i="3"/>
  <c r="E194" i="3"/>
  <c r="E226" i="3"/>
  <c r="E105" i="3"/>
  <c r="E18" i="3"/>
  <c r="E547" i="3"/>
  <c r="E411" i="3"/>
  <c r="E207" i="3"/>
  <c r="E14" i="3"/>
  <c r="E168" i="3"/>
  <c r="E537" i="3"/>
  <c r="E474" i="3"/>
  <c r="E224" i="3"/>
  <c r="E136" i="3"/>
  <c r="E127" i="3"/>
  <c r="E413" i="3"/>
  <c r="E488" i="3"/>
  <c r="E462" i="3"/>
  <c r="E436" i="3"/>
  <c r="E416" i="3"/>
  <c r="E566" i="3"/>
  <c r="E289" i="3"/>
  <c r="E79" i="3"/>
  <c r="E25" i="3"/>
  <c r="E220" i="3"/>
  <c r="E63" i="3"/>
  <c r="E475" i="3"/>
  <c r="E288" i="3"/>
  <c r="E532" i="3"/>
  <c r="E306" i="3"/>
  <c r="E122" i="3"/>
  <c r="E98" i="3"/>
  <c r="E154" i="3"/>
  <c r="E179" i="3"/>
  <c r="E542" i="3"/>
  <c r="E354" i="3"/>
  <c r="E386" i="3"/>
  <c r="E265" i="3"/>
  <c r="E325" i="3"/>
  <c r="E372" i="3"/>
  <c r="E422" i="3"/>
  <c r="E22" i="3"/>
  <c r="E442" i="3"/>
  <c r="E341" i="3"/>
  <c r="E375" i="3"/>
  <c r="E464" i="3"/>
  <c r="E284" i="3"/>
  <c r="E138" i="3"/>
  <c r="E520" i="3"/>
  <c r="E312" i="3"/>
  <c r="E250" i="3"/>
  <c r="E521" i="3"/>
  <c r="E90" i="3"/>
  <c r="E552" i="3"/>
  <c r="E524" i="3"/>
  <c r="E176" i="3"/>
  <c r="E364" i="3"/>
  <c r="E123" i="3"/>
  <c r="AQ6" i="3"/>
  <c r="E299" i="3"/>
  <c r="E170" i="3"/>
  <c r="E15" i="3"/>
  <c r="E60" i="3"/>
  <c r="E346" i="3"/>
  <c r="E178" i="3"/>
  <c r="E401" i="3"/>
  <c r="E376" i="3"/>
  <c r="E486" i="3"/>
  <c r="E158" i="3"/>
  <c r="E115" i="3"/>
  <c r="E405" i="3"/>
  <c r="E34" i="3"/>
  <c r="E198" i="3"/>
  <c r="E492" i="3"/>
  <c r="E95"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19" i="3"/>
  <c r="E490" i="3"/>
  <c r="E543" i="3"/>
  <c r="E49" i="3"/>
  <c r="E420" i="3"/>
  <c r="E173" i="3"/>
  <c r="E235" i="3"/>
  <c r="E309" i="3"/>
  <c r="E267" i="3"/>
  <c r="E554"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AH6" i="3"/>
  <c r="E507" i="3"/>
  <c r="E16" i="3"/>
  <c r="E428" i="3"/>
  <c r="E408" i="3"/>
  <c r="E102" i="3"/>
  <c r="AL6" i="3"/>
  <c r="E184" i="3"/>
  <c r="E389" i="3"/>
  <c r="E536" i="3"/>
  <c r="E564" i="3"/>
  <c r="E116" i="3"/>
  <c r="E329" i="3"/>
  <c r="E80" i="3"/>
  <c r="E35" i="3"/>
  <c r="E190" i="3"/>
  <c r="E356" i="3"/>
  <c r="E41" i="3"/>
  <c r="E470" i="3"/>
  <c r="E556" i="3"/>
  <c r="E512" i="3"/>
  <c r="T6" i="3"/>
  <c r="E197" i="3"/>
  <c r="E308" i="3"/>
  <c r="AF6" i="3"/>
  <c r="E86" i="3"/>
  <c r="E174" i="3"/>
  <c r="E482" i="3"/>
  <c r="E391" i="3"/>
  <c r="E494" i="3"/>
  <c r="E283" i="3"/>
  <c r="E68" i="3"/>
  <c r="E33" i="3"/>
  <c r="E310" i="3"/>
  <c r="E160" i="3"/>
  <c r="E484" i="3"/>
  <c r="E349" i="3"/>
  <c r="E37" i="3"/>
  <c r="AP6" i="3"/>
  <c r="E502" i="3"/>
  <c r="E539" i="3"/>
  <c r="E3" i="6"/>
  <c r="E493" i="3"/>
  <c r="E223" i="3"/>
  <c r="E83" i="3"/>
  <c r="E370" i="3"/>
  <c r="E342" i="3"/>
  <c r="E78" i="3"/>
  <c r="E243" i="3"/>
  <c r="E104" i="3"/>
  <c r="E452" i="3"/>
  <c r="E360" i="3"/>
  <c r="E469" i="3"/>
  <c r="E534" i="3"/>
  <c r="E140" i="3"/>
  <c r="E287" i="3"/>
  <c r="E251" i="3"/>
  <c r="E522" i="3"/>
  <c r="E129" i="3"/>
  <c r="E75" i="3"/>
  <c r="E332" i="3"/>
  <c r="E21" i="3"/>
  <c r="E264" i="3"/>
  <c r="E355" i="3"/>
  <c r="E67" i="3"/>
  <c r="E371" i="3"/>
  <c r="E46" i="3"/>
  <c r="E409" i="3"/>
  <c r="E241" i="3"/>
  <c r="E417" i="3"/>
  <c r="E449" i="3"/>
  <c r="E575" i="3"/>
  <c r="E463" i="3"/>
  <c r="J6" i="3"/>
  <c r="E440" i="3"/>
  <c r="E427" i="3"/>
  <c r="E393" i="3"/>
  <c r="E188" i="3"/>
  <c r="E326" i="3"/>
  <c r="E232" i="3"/>
  <c r="E324" i="3"/>
  <c r="E412" i="3"/>
  <c r="E225" i="3"/>
  <c r="E26" i="3"/>
  <c r="E13" i="3"/>
  <c r="E451" i="3"/>
  <c r="E456" i="3"/>
  <c r="E525" i="3"/>
  <c r="E205" i="3"/>
  <c r="E113" i="3"/>
  <c r="E206" i="3"/>
  <c r="E383" i="3"/>
  <c r="E96" i="3"/>
  <c r="E42" i="3"/>
  <c r="E281" i="3"/>
  <c r="E513" i="3"/>
  <c r="E81" i="3"/>
  <c r="E233" i="3"/>
  <c r="E84" i="3"/>
  <c r="E249" i="3"/>
  <c r="E64" i="3"/>
  <c r="E59" i="3"/>
  <c r="E258" i="3"/>
  <c r="E491" i="3"/>
  <c r="E430" i="3"/>
  <c r="E286" i="3"/>
  <c r="AA10" i="39"/>
  <c r="H10" i="39"/>
  <c r="U10" i="39" s="1"/>
  <c r="J10" i="40"/>
  <c r="AC10" i="40" s="1"/>
  <c r="F10" i="40"/>
  <c r="S10" i="40" s="1"/>
  <c r="H10" i="40"/>
  <c r="AB10" i="40" s="1"/>
  <c r="J10" i="39"/>
  <c r="W10" i="39" s="1"/>
  <c r="T52" i="71"/>
  <c r="D52" i="71"/>
  <c r="R36" i="36"/>
  <c r="E381" i="3"/>
  <c r="E144" i="3"/>
  <c r="E23" i="3"/>
  <c r="E300" i="3"/>
  <c r="E103" i="3"/>
  <c r="E425" i="3"/>
  <c r="E76" i="3"/>
  <c r="E363" i="3"/>
  <c r="E192" i="3"/>
  <c r="E56" i="3"/>
  <c r="E435" i="3"/>
  <c r="I3" i="6"/>
  <c r="E541" i="3"/>
  <c r="R6" i="3"/>
  <c r="E199" i="3"/>
  <c r="E510" i="3"/>
  <c r="E544" i="3"/>
  <c r="E292" i="3"/>
  <c r="E152" i="3"/>
  <c r="E479" i="3"/>
  <c r="E517" i="3"/>
  <c r="E255" i="3"/>
  <c r="E466" i="3"/>
  <c r="E499" i="3"/>
  <c r="D56" i="71"/>
  <c r="T56" i="71"/>
  <c r="T40" i="71"/>
  <c r="D40"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F41" i="15"/>
  <c r="M27" i="67"/>
  <c r="D116" i="43" l="1"/>
  <c r="I46" i="37"/>
  <c r="J46" i="37" s="1"/>
  <c r="U10" i="40"/>
  <c r="AC6" i="3"/>
  <c r="E6" i="3" s="1"/>
  <c r="F25" i="12"/>
  <c r="C26" i="12" s="1"/>
  <c r="D25" i="12" s="1"/>
  <c r="AA10" i="40"/>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8"/>
  <c r="C14" i="67"/>
  <c r="C17" i="15"/>
  <c r="C17" i="67"/>
  <c r="C34" i="69"/>
  <c r="D10" i="69"/>
  <c r="C23" i="68" l="1"/>
  <c r="C44" i="11"/>
  <c r="D41" i="11" s="1"/>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5"/>
  <c r="D2" i="34"/>
  <c r="D2" i="37"/>
  <c r="L51" i="15"/>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10" i="1"/>
  <c r="AO7" i="1"/>
  <c r="AO9" i="1"/>
  <c r="D20" i="9"/>
  <c r="AO8" i="1"/>
  <c r="AO11" i="1"/>
  <c r="AO12" i="1"/>
  <c r="C102" i="9" l="1"/>
  <c r="C21" i="9"/>
  <c r="D22" i="9"/>
  <c r="G19" i="9"/>
  <c r="G21" i="9" s="1"/>
  <c r="B3" i="37"/>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H27" i="9" l="1"/>
  <c r="C103" i="9"/>
  <c r="G20" i="9"/>
  <c r="C32" i="9" s="1"/>
  <c r="D35" i="9" s="1"/>
  <c r="H26" i="9"/>
  <c r="H25" i="9"/>
  <c r="C35"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28" i="9" l="1"/>
  <c r="H29" i="9" s="1"/>
  <c r="I29" i="9" s="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H102" i="9" l="1"/>
  <c r="E14" i="74"/>
  <c r="H118" i="9"/>
  <c r="H4" i="52" s="1"/>
  <c r="F4" i="52"/>
  <c r="B51" i="72" s="1"/>
  <c r="D7" i="53"/>
  <c r="B21" i="72" s="1"/>
  <c r="E118" i="9"/>
  <c r="I4" i="52"/>
  <c r="C105" i="9"/>
  <c r="H101" i="9" l="1"/>
  <c r="D5" i="53" s="1"/>
  <c r="D14" i="74"/>
  <c r="G14" i="74" s="1"/>
  <c r="B6" i="74" s="1"/>
  <c r="D6" i="74" s="1"/>
  <c r="H107" i="9"/>
  <c r="D13" i="53" s="1"/>
  <c r="H119" i="9"/>
  <c r="H5" i="52" s="1"/>
  <c r="C104" i="9"/>
  <c r="D45" i="9"/>
  <c r="C72" i="9" s="1"/>
  <c r="M48" i="9"/>
  <c r="D122" i="9"/>
  <c r="E4" i="52"/>
  <c r="B48" i="72" s="1"/>
  <c r="D118" i="9"/>
  <c r="B20" i="72"/>
  <c r="D6" i="53"/>
  <c r="B22" i="72" s="1"/>
  <c r="C64" i="9" l="1"/>
  <c r="C63" i="9" s="1"/>
  <c r="C67" i="9" s="1"/>
  <c r="H108" i="9"/>
  <c r="D15" i="53" s="1"/>
  <c r="B31" i="72" s="1"/>
  <c r="M49" i="9"/>
  <c r="L67" i="9" s="1"/>
  <c r="M67" i="9" s="1"/>
  <c r="F14" i="74"/>
  <c r="B5" i="74"/>
  <c r="D52" i="9"/>
  <c r="D55" i="9"/>
  <c r="M53" i="9" s="1"/>
  <c r="C93" i="9"/>
  <c r="C86" i="9" s="1"/>
  <c r="C85" i="9"/>
  <c r="C78" i="9"/>
  <c r="C73" i="9" s="1"/>
  <c r="C79" i="9" s="1"/>
  <c r="D53" i="9"/>
  <c r="C6" i="74"/>
  <c r="C68" i="9"/>
  <c r="D54" i="9" s="1"/>
  <c r="D59" i="9"/>
  <c r="M55" i="9" s="1"/>
  <c r="L65" i="9"/>
  <c r="M65" i="9" s="1"/>
  <c r="L63" i="9"/>
  <c r="M63" i="9" s="1"/>
  <c r="D119" i="9"/>
  <c r="D5" i="52" s="1"/>
  <c r="B49" i="72" s="1"/>
  <c r="D4" i="52"/>
  <c r="B47" i="72" s="1"/>
  <c r="D14" i="53"/>
  <c r="B32" i="72" s="1"/>
  <c r="B30" i="72"/>
  <c r="D8" i="52"/>
  <c r="D123" i="9"/>
  <c r="D9" i="52" s="1"/>
  <c r="L66" i="9" l="1"/>
  <c r="M66" i="9" s="1"/>
  <c r="L68" i="9"/>
  <c r="M68" i="9" s="1"/>
  <c r="L64" i="9"/>
  <c r="M64" i="9" s="1"/>
  <c r="M69" i="9" s="1"/>
  <c r="N69" i="9" s="1"/>
  <c r="D5" i="74"/>
  <c r="C5" i="74"/>
  <c r="C95" i="9"/>
  <c r="C96" i="9" s="1"/>
  <c r="E96" i="9" s="1"/>
  <c r="E97" i="9" s="1"/>
  <c r="C80" i="9"/>
  <c r="E80" i="9" s="1"/>
  <c r="E81" i="9" s="1"/>
  <c r="C97" i="9" l="1"/>
  <c r="D58" i="9" s="1"/>
  <c r="D56" i="9" s="1"/>
  <c r="M54" i="9" s="1"/>
  <c r="N57" i="9" s="1"/>
  <c r="N58" i="9" s="1"/>
  <c r="C81" i="9"/>
  <c r="N59" i="9" l="1"/>
  <c r="P57" i="9"/>
  <c r="N60" i="9"/>
  <c r="H111" i="9"/>
  <c r="N61" i="9"/>
  <c r="H112" i="9" s="1"/>
  <c r="C8" i="74" l="1"/>
  <c r="D21" i="53"/>
  <c r="B39" i="72" s="1"/>
  <c r="D126" i="9"/>
  <c r="D19" i="53"/>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<sst xmlns="http://schemas.openxmlformats.org/spreadsheetml/2006/main" count="7951" uniqueCount="3485">
  <si>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</si>
  <si>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</si>
  <si>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</si>
  <si>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</si>
  <si>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</si>
  <si>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</si>
  <si>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</si>
  <si>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</si>
  <si>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</si>
  <si>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</si>
  <si>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</si>
  <si>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</si>
  <si>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</si>
  <si>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</si>
  <si>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</si>
  <si>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</si>
  <si>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</si>
  <si>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</si>
  <si>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</si>
  <si>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</si>
  <si>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</si>
  <si>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</si>
  <si>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</si>
  <si>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</si>
  <si>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</si>
  <si>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</si>
  <si>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</si>
  <si>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</si>
  <si>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</si>
  <si>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</si>
  <si>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</si>
  <si>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</si>
  <si>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</si>
  <si>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</si>
  <si>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</si>
  <si>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</si>
  <si>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</si>
  <si>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</si>
  <si>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</si>
  <si>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</si>
  <si>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</si>
  <si>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</si>
  <si>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</si>
  <si>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</si>
  <si>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</si>
  <si>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</si>
  <si>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</si>
  <si>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</si>
  <si>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</si>
  <si>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</si>
  <si>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</si>
  <si>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</si>
  <si>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</si>
  <si>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</si>
  <si>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</si>
  <si>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</si>
  <si>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</si>
  <si>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</si>
  <si>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</si>
  <si>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</si>
  <si>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</si>
  <si>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</si>
  <si>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</si>
  <si>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</si>
  <si>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</si>
  <si>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</si>
  <si>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</si>
  <si>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</si>
  <si>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</si>
  <si>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</si>
  <si>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</si>
  <si>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</si>
  <si>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</si>
  <si>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</si>
  <si>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</si>
  <si>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</si>
  <si>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</si>
  <si>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</si>
  <si>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</si>
  <si>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</si>
  <si>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</si>
  <si>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</si>
  <si>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</si>
  <si>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</si>
  <si>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</si>
  <si>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</si>
  <si>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</si>
  <si>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</si>
  <si>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</si>
  <si>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</si>
  <si>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</si>
  <si>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</si>
  <si>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</si>
  <si>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</si>
  <si>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</si>
  <si>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</si>
  <si>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</si>
  <si>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</si>
  <si>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</si>
  <si>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</si>
  <si>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</si>
  <si>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</si>
  <si>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</si>
  <si>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</si>
  <si>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</si>
  <si>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</si>
  <si>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</si>
  <si>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</si>
  <si>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</si>
  <si>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</si>
  <si>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</si>
  <si>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</si>
  <si>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</si>
  <si>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</si>
  <si>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</si>
  <si>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</si>
  <si>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</si>
  <si>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</si>
  <si>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</si>
  <si>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</si>
  <si>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</si>
  <si>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</si>
  <si>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</si>
  <si>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</si>
  <si>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</si>
  <si>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</si>
  <si>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</si>
  <si>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</si>
  <si>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</si>
  <si>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</si>
  <si>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</si>
  <si>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</si>
  <si>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</si>
  <si>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</si>
  <si>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</si>
  <si>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</si>
  <si>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</si>
  <si>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</si>
  <si>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</si>
  <si>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</si>
  <si>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</si>
  <si>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</si>
  <si>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</si>
  <si>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</si>
  <si>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</si>
  <si>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</si>
  <si>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</si>
  <si>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</si>
  <si>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</si>
  <si>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</si>
  <si>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</si>
  <si>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</si>
  <si>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</si>
  <si>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</si>
  <si>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</si>
  <si>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</si>
  <si>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</si>
  <si>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</si>
  <si>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</si>
  <si>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</si>
  <si>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</si>
  <si>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</si>
  <si>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</si>
  <si>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</si>
  <si>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</si>
  <si>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</si>
  <si>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</si>
  <si>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</si>
  <si>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</si>
  <si>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</si>
  <si>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</si>
  <si>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</si>
  <si>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</si>
  <si>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</si>
  <si>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</si>
  <si>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</si>
  <si>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</si>
  <si>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</si>
  <si>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</si>
  <si>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</si>
  <si>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</si>
  <si>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</si>
  <si>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</si>
  <si>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</si>
  <si>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</si>
  <si>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</si>
  <si>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</si>
  <si>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</si>
  <si>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</si>
  <si>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</si>
  <si>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</si>
  <si>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</si>
  <si>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</si>
  <si>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</si>
  <si>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</si>
  <si>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</si>
  <si>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</si>
  <si>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</si>
  <si>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</si>
  <si>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</si>
  <si>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</si>
  <si>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</si>
  <si>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</si>
  <si>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</si>
  <si>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</si>
  <si>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</si>
  <si>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</si>
  <si>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</si>
  <si>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</si>
  <si>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</si>
  <si>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</si>
  <si>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</si>
  <si>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</si>
  <si>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</si>
  <si>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</si>
  <si>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</si>
  <si>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</si>
  <si>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</si>
  <si>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</si>
  <si>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</si>
  <si>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</si>
  <si>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</si>
  <si>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</si>
  <si>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</si>
  <si>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</si>
  <si>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</si>
  <si>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</si>
  <si>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</si>
  <si>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</si>
  <si>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</si>
  <si>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</si>
  <si>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</si>
  <si>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</si>
  <si>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</si>
  <si>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</si>
  <si>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</si>
  <si>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</si>
  <si>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</si>
  <si>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</si>
  <si>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</si>
  <si>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</si>
  <si>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</si>
  <si>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</si>
  <si>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</si>
  <si>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</si>
  <si>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</si>
  <si>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</si>
  <si>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</si>
  <si>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</si>
  <si>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</si>
  <si>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</si>
  <si>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</si>
  <si>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</si>
  <si>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</si>
  <si>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</si>
  <si>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</si>
  <si>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</si>
  <si>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</si>
  <si>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</si>
  <si>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</si>
  <si>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</si>
  <si>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</si>
  <si>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</si>
  <si>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</si>
  <si>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</si>
  <si>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</si>
  <si>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</si>
  <si>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</si>
  <si>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</si>
  <si>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</si>
  <si>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</si>
  <si>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</si>
  <si>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</si>
  <si>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</si>
  <si>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</si>
  <si>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</si>
  <si>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</si>
  <si>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</si>
  <si>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</si>
  <si>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</si>
  <si>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</si>
  <si>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</si>
  <si>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</si>
  <si>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</si>
  <si>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</si>
  <si>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</si>
  <si>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</si>
  <si>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</si>
  <si>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</si>
  <si>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</si>
  <si>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</si>
  <si>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</si>
  <si>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</si>
  <si>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</si>
  <si>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</si>
  <si>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</si>
  <si>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</si>
  <si>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</si>
  <si>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</si>
  <si>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</si>
  <si>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</si>
  <si>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</si>
  <si>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</si>
  <si>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</si>
  <si>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</si>
  <si>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</si>
  <si>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</si>
  <si>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</si>
  <si>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</si>
  <si>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</si>
  <si>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</si>
  <si>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</si>
  <si>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</si>
  <si>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</si>
  <si>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</si>
  <si>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</si>
  <si>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</si>
  <si>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</si>
  <si>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</si>
  <si>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</si>
  <si>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</si>
  <si>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</si>
  <si>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</si>
  <si>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</si>
  <si>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</si>
  <si>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</si>
  <si>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</si>
  <si>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</si>
  <si>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</si>
  <si>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</si>
  <si>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</si>
  <si>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</si>
  <si>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</si>
  <si>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</si>
  <si>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</si>
  <si>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</si>
  <si>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</si>
  <si>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</si>
  <si>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</si>
  <si>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</si>
  <si>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</si>
  <si>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</si>
  <si>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</si>
  <si>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</si>
  <si>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</si>
  <si>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</si>
  <si>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</si>
  <si>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</si>
  <si>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</si>
  <si>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</si>
  <si>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</si>
  <si>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</si>
  <si>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</si>
  <si>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</si>
  <si>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</si>
  <si>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</si>
  <si>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</si>
  <si>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</si>
  <si>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</si>
  <si>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</si>
  <si>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</si>
  <si>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</si>
  <si>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</si>
  <si>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</si>
  <si>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</si>
  <si>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</si>
  <si>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</si>
  <si>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</si>
  <si>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</si>
  <si>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</si>
  <si>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</si>
  <si>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</si>
  <si>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</si>
  <si>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</si>
  <si>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</si>
  <si>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</si>
  <si>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</si>
  <si>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</si>
  <si>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</si>
  <si>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</si>
  <si>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</si>
  <si>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</si>
  <si>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</si>
  <si>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</si>
  <si>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</si>
  <si>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</si>
  <si>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</si>
  <si>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</si>
  <si>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</si>
  <si>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</si>
  <si>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</si>
  <si>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</si>
  <si>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</si>
  <si>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</si>
  <si>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</si>
  <si>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</si>
  <si>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</si>
  <si>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</si>
  <si>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</si>
  <si>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</si>
  <si>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</si>
  <si>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</si>
  <si>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</si>
  <si>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</si>
  <si>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</si>
  <si>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</si>
  <si>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</si>
  <si>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</si>
  <si>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</si>
  <si>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</si>
  <si>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</si>
  <si>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</si>
  <si>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</si>
  <si>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</si>
  <si>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</si>
  <si>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</si>
  <si>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</si>
  <si>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</si>
  <si>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</si>
  <si>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</si>
  <si>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</si>
  <si>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</si>
  <si>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</si>
  <si>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</si>
  <si>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</si>
  <si>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</si>
  <si>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</si>
  <si>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</si>
  <si>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</si>
  <si>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</si>
  <si>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</si>
  <si>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</si>
  <si>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</si>
  <si>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</si>
  <si>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</si>
  <si>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</si>
  <si>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</si>
  <si>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</si>
  <si>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</si>
  <si>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</si>
  <si>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</si>
  <si>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</si>
  <si>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</si>
  <si>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</si>
  <si>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</si>
  <si>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</si>
  <si>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</si>
  <si>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</si>
  <si>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</si>
  <si>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</si>
  <si>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</si>
  <si>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</si>
  <si>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</si>
  <si>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</si>
  <si>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</si>
  <si>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</si>
  <si>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</si>
  <si>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</si>
  <si>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</si>
  <si>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</si>
  <si>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</si>
  <si>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</si>
  <si>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</si>
  <si>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</si>
  <si>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</si>
  <si>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</si>
  <si>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</si>
  <si>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</si>
  <si>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</si>
  <si>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</si>
  <si>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</si>
  <si>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</si>
  <si>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</si>
  <si>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</si>
  <si>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</si>
  <si>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</si>
  <si>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</si>
  <si>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</si>
  <si>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</si>
  <si>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</si>
  <si>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</si>
  <si>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</si>
  <si>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</si>
  <si>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</si>
  <si>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</si>
  <si>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</si>
  <si>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</si>
  <si>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</si>
  <si>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</si>
  <si>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</si>
  <si>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</si>
  <si>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</si>
  <si>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</si>
  <si>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</si>
  <si>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</si>
  <si>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</si>
  <si>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</si>
  <si>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</si>
  <si>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</si>
  <si>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</si>
  <si>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</si>
  <si>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</si>
  <si>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</si>
  <si>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</si>
  <si>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</si>
  <si>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</si>
  <si>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</si>
  <si>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</si>
  <si>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</si>
  <si>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</si>
  <si>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</si>
  <si>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</si>
  <si>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</si>
  <si>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</si>
  <si>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</si>
  <si>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</si>
  <si>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</si>
  <si>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</si>
  <si>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</si>
  <si>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</si>
  <si>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</si>
  <si>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</si>
  <si>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</si>
  <si>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</si>
  <si>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</si>
  <si>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</si>
  <si>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</si>
  <si>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</si>
  <si>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</si>
  <si>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</si>
  <si>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</si>
  <si>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</si>
  <si>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</si>
  <si>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</si>
  <si>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</si>
  <si>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</si>
  <si>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</si>
  <si>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</si>
  <si>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</si>
  <si>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</si>
  <si>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</si>
  <si>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</si>
  <si>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</si>
  <si>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</si>
  <si>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</si>
  <si>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</si>
  <si>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</si>
  <si>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</si>
  <si>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</si>
  <si>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</si>
  <si>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</si>
  <si>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</si>
  <si>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</si>
  <si>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</si>
  <si>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</si>
  <si>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</si>
  <si>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</si>
  <si>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</si>
  <si>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</si>
  <si>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</si>
  <si>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</si>
  <si>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</si>
  <si>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</si>
  <si>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</si>
  <si>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</si>
  <si>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</si>
  <si>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</si>
  <si>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</si>
  <si>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</si>
  <si>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</si>
  <si>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</si>
  <si>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</si>
  <si>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</si>
  <si>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</si>
  <si>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</si>
  <si>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</si>
  <si>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</si>
  <si>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</si>
  <si>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</si>
  <si>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</si>
  <si>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</si>
  <si>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</si>
  <si>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</si>
  <si>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</si>
  <si>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</si>
  <si>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</si>
  <si>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</si>
  <si>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</si>
  <si>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</si>
  <si>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</si>
  <si>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</si>
  <si>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</si>
  <si>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</si>
  <si>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</si>
  <si>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</si>
  <si>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</si>
  <si>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</si>
  <si>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</si>
  <si>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</si>
  <si>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</si>
  <si>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</si>
  <si>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</si>
  <si>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</si>
  <si>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</si>
  <si>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</si>
  <si>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</si>
  <si>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</si>
  <si>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</si>
  <si>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</si>
  <si>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</si>
  <si>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</si>
  <si>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</si>
  <si>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</si>
  <si>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</si>
  <si>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</si>
  <si>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</si>
  <si>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</si>
  <si>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</si>
  <si>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</si>
  <si>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</si>
  <si>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</si>
  <si>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</si>
  <si>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</si>
  <si>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</si>
  <si>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</si>
  <si>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</si>
  <si>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</si>
  <si>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</si>
  <si>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</si>
  <si>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</si>
  <si>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</si>
  <si>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</si>
  <si>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</si>
  <si>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</si>
  <si>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</si>
  <si>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</si>
  <si>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</si>
  <si>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</si>
  <si>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</si>
  <si>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</si>
  <si>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</si>
  <si>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</si>
  <si>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</si>
  <si>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</si>
  <si>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</si>
  <si>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</si>
  <si>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</si>
  <si>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</si>
  <si>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</si>
  <si>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</si>
  <si>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</si>
  <si>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</si>
  <si>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</si>
  <si>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</si>
  <si>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</si>
  <si>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</si>
  <si>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</si>
  <si>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</si>
  <si>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</si>
  <si>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</si>
  <si>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</si>
  <si>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</si>
  <si>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</si>
  <si>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</si>
  <si>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</si>
  <si>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</si>
  <si>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</si>
  <si>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</si>
  <si>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</si>
  <si>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</si>
  <si>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</si>
  <si>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</si>
  <si>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</si>
  <si>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</si>
  <si>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</si>
  <si>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</si>
  <si>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</si>
  <si>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</si>
  <si>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</si>
  <si>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</si>
  <si>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</si>
  <si>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</si>
  <si>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</si>
  <si>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</si>
  <si>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</si>
  <si>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</si>
  <si>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</si>
  <si>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</si>
  <si>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</si>
  <si>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</si>
  <si>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</si>
  <si>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</si>
  <si>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</si>
  <si>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</si>
  <si>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</si>
  <si>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</si>
  <si>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</si>
  <si>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</si>
  <si>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</si>
  <si>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</si>
  <si>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</si>
  <si>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</si>
  <si>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</si>
  <si>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</si>
  <si>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</si>
  <si>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</si>
  <si>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</si>
  <si>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</si>
  <si>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</si>
  <si>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</si>
  <si>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</si>
  <si>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</si>
  <si>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</si>
  <si>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</si>
  <si>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</si>
  <si>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</si>
  <si>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</si>
  <si>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</si>
  <si>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</si>
  <si>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</si>
  <si>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</si>
  <si>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</si>
  <si>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</si>
  <si>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</si>
  <si>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</si>
  <si>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</si>
  <si>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</si>
  <si>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</si>
  <si>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</si>
  <si>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</si>
  <si>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</si>
  <si>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</si>
  <si>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</si>
  <si>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</si>
  <si>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</si>
  <si>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</si>
  <si>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</si>
  <si>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</si>
  <si>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</si>
  <si>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</si>
  <si>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</si>
  <si>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</si>
  <si>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</si>
  <si>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</si>
  <si>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</si>
  <si>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</si>
  <si>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</si>
  <si>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</si>
  <si>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</si>
  <si>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</si>
  <si>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</si>
  <si>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</si>
  <si>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</si>
  <si>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</si>
  <si>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</si>
  <si>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</si>
  <si>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</si>
  <si>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</si>
  <si>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</si>
  <si>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</si>
  <si>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</si>
  <si>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</si>
  <si>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</si>
  <si>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</si>
  <si>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</si>
  <si>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</si>
  <si>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</si>
  <si>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</si>
  <si>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</si>
  <si>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</si>
  <si>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</si>
  <si>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</si>
  <si>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</si>
  <si>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</si>
  <si>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</si>
  <si>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</si>
  <si>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</si>
  <si>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</si>
  <si>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</si>
  <si>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</si>
  <si>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</si>
  <si>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</si>
  <si>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</si>
  <si>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</si>
  <si>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</si>
  <si>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</si>
  <si>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</si>
  <si>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</si>
  <si>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</si>
  <si>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</si>
  <si>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</si>
  <si>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</si>
  <si>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</si>
  <si>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</si>
  <si>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</si>
  <si>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</si>
  <si>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</si>
  <si>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</si>
  <si>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</si>
  <si>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</si>
  <si>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</si>
  <si>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</si>
  <si>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</si>
  <si>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</si>
  <si>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</si>
  <si>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</si>
  <si>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</si>
  <si>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</si>
  <si>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</si>
  <si>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</si>
  <si>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</si>
  <si>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</si>
  <si>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</si>
  <si>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</si>
  <si>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</si>
  <si>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</si>
  <si>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</si>
  <si>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</si>
  <si>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</si>
  <si>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</si>
  <si>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</si>
  <si>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</si>
  <si>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</si>
  <si>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</si>
  <si>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</si>
  <si>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</si>
  <si>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</si>
  <si>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</si>
  <si>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</si>
  <si>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</si>
  <si>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</si>
  <si>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</si>
  <si>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</si>
  <si>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</si>
  <si>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</si>
  <si>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</si>
  <si>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</si>
  <si>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</si>
  <si>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</si>
  <si>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</si>
  <si>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</si>
  <si>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</si>
  <si>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</si>
  <si>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</si>
  <si>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</si>
  <si>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</si>
  <si>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</si>
  <si>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</si>
  <si>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</si>
  <si>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</si>
  <si>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</si>
  <si>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</si>
  <si>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</si>
  <si>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</si>
  <si>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</si>
  <si>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</si>
  <si>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</si>
  <si>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</si>
  <si>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</si>
  <si>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</si>
  <si>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</si>
  <si>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</si>
  <si>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</si>
  <si>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</si>
  <si>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</si>
  <si>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</si>
  <si>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</si>
  <si>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</si>
  <si>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</si>
  <si>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</si>
  <si>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</si>
  <si>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</si>
  <si>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</si>
  <si>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</si>
  <si>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</si>
  <si>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</si>
  <si>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</si>
  <si>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</si>
  <si>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</si>
  <si>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</si>
  <si>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</si>
  <si>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</si>
  <si>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</si>
  <si>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</si>
  <si>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</si>
  <si>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</si>
  <si>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</si>
  <si>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</si>
  <si>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</si>
  <si>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</si>
  <si>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</si>
  <si>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</si>
  <si>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</si>
  <si>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</si>
  <si>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</si>
  <si>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</si>
  <si>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</si>
  <si>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</si>
  <si>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</si>
  <si>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</si>
  <si>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</si>
  <si>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</si>
  <si>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</si>
  <si>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</si>
  <si>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</si>
  <si>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</si>
  <si>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</si>
  <si>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</si>
  <si>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</si>
  <si>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</si>
  <si>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</si>
  <si>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</si>
  <si>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</si>
  <si>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</si>
  <si>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</si>
  <si>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</si>
  <si>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</si>
  <si>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</si>
  <si>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</si>
  <si>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</si>
  <si>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</si>
  <si>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</si>
  <si>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</si>
  <si>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</si>
  <si>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</si>
  <si>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</si>
  <si>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</si>
  <si>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</si>
  <si>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</si>
  <si>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</si>
  <si>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</si>
  <si>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</si>
  <si>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</si>
  <si>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</si>
  <si>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</si>
  <si>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</si>
  <si>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</si>
  <si>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</si>
  <si>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</si>
  <si>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</si>
  <si>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</si>
  <si>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</si>
  <si>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</si>
  <si>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</si>
  <si>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</si>
  <si>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</si>
  <si>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</si>
  <si>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</si>
  <si>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</si>
  <si>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</si>
  <si>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</si>
  <si>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</si>
  <si>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</si>
  <si>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</si>
  <si>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</si>
  <si>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</si>
  <si>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</si>
  <si>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</si>
  <si>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</si>
  <si>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</si>
  <si>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</si>
  <si>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</si>
  <si>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</si>
  <si>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</si>
  <si>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</si>
  <si>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</si>
  <si>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</si>
  <si>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</si>
  <si>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</si>
  <si>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</si>
  <si>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</si>
  <si>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</si>
  <si>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</si>
  <si>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</si>
  <si>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</si>
  <si>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</si>
  <si>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</si>
  <si>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</si>
  <si>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</si>
  <si>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</si>
  <si>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</si>
  <si>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</si>
  <si>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</si>
  <si>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</si>
  <si>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</si>
  <si>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</si>
  <si>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</si>
  <si>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</si>
  <si>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</si>
  <si>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</si>
  <si>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</si>
  <si>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</si>
  <si>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</si>
  <si>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</si>
  <si>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</si>
  <si>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</si>
  <si>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</si>
  <si>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</si>
  <si>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</si>
  <si>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</si>
  <si>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</si>
  <si>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</si>
  <si>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</si>
  <si>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</si>
  <si>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</si>
  <si>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</si>
  <si>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</si>
  <si>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</si>
  <si>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</si>
  <si>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</si>
  <si>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</si>
  <si>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</si>
  <si>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</si>
  <si>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</si>
  <si>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</si>
  <si>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</si>
  <si>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</si>
  <si>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</si>
  <si>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</si>
  <si>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</si>
  <si>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</si>
  <si>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</si>
  <si>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</si>
  <si>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</si>
  <si>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</si>
  <si>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</si>
  <si>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</si>
  <si>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</si>
  <si>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</si>
  <si>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</si>
  <si>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</si>
  <si>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</si>
  <si>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</si>
  <si>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</si>
  <si>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</si>
  <si>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</si>
  <si>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</si>
  <si>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</si>
  <si>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</si>
  <si>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</si>
  <si>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</si>
  <si>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</si>
  <si>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</si>
  <si>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</si>
  <si>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</si>
  <si>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</si>
  <si>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</si>
  <si>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</si>
  <si>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</si>
  <si>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</si>
  <si>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</si>
  <si>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</si>
  <si>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</si>
  <si>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</si>
  <si>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</si>
  <si>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</si>
  <si>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</si>
  <si>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</si>
  <si>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</si>
  <si>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</si>
  <si>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</si>
  <si>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</si>
  <si>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</si>
  <si>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</si>
  <si>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</si>
  <si>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</si>
  <si>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</si>
  <si>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</si>
  <si>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</si>
  <si>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</si>
  <si>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</si>
  <si>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</si>
  <si>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</si>
  <si>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</si>
  <si>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</si>
  <si>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</si>
  <si>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</si>
  <si>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</si>
  <si>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</si>
  <si>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</si>
  <si>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</si>
  <si>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</si>
  <si>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</si>
  <si>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</si>
  <si>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</si>
  <si>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</si>
  <si>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</si>
  <si>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</si>
  <si>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</si>
  <si>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</si>
  <si>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</si>
  <si>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</si>
  <si>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</si>
  <si>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</si>
  <si>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</si>
  <si>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</si>
  <si>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</si>
  <si>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</si>
  <si>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</si>
  <si>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</si>
  <si>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</si>
  <si>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</si>
  <si>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</si>
  <si>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</si>
  <si>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</si>
  <si>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</si>
  <si>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</si>
  <si>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</si>
  <si>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</si>
  <si>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</si>
  <si>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</si>
  <si>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</si>
  <si>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</si>
  <si>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</si>
  <si>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</si>
  <si>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</si>
  <si>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</si>
  <si>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</si>
  <si>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</si>
  <si>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</si>
  <si>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</si>
  <si>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</si>
  <si>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</si>
  <si>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</si>
  <si>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</si>
  <si>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</si>
  <si>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</si>
  <si>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</si>
  <si>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</si>
  <si>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</si>
  <si>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</si>
  <si>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</si>
  <si>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</si>
  <si>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</si>
  <si>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</si>
  <si>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</si>
  <si>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</si>
  <si>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</si>
  <si>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</si>
  <si>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</si>
  <si>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</si>
  <si>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</si>
  <si>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</si>
  <si>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</si>
  <si>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</si>
  <si>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</si>
  <si>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</si>
  <si>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</si>
  <si>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</si>
  <si>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</si>
  <si>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</si>
  <si>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</si>
  <si>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</si>
  <si>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</si>
  <si>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</si>
  <si>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</si>
  <si>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</si>
  <si>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</si>
  <si>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</si>
  <si>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</si>
  <si>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</si>
  <si>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</si>
  <si>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</si>
  <si>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</si>
  <si>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</si>
  <si>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</si>
  <si>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</si>
  <si>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</si>
  <si>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</si>
  <si>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</si>
  <si>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</si>
  <si>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</si>
  <si>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</si>
  <si>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</si>
  <si>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</si>
  <si>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</si>
  <si>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</si>
  <si>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</si>
  <si>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</si>
  <si>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</si>
  <si>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</si>
  <si>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</si>
  <si>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</si>
  <si>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</si>
  <si>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</si>
  <si>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</si>
  <si>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</si>
  <si>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</si>
  <si>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</si>
  <si>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</si>
  <si>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</si>
  <si>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</si>
  <si>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</si>
  <si>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</si>
  <si>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</si>
  <si>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</si>
  <si>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</si>
  <si>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</si>
  <si>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</si>
  <si>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</si>
  <si>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</si>
  <si>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</si>
  <si>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</si>
  <si>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</si>
  <si>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</si>
  <si>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</si>
  <si>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</si>
  <si>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</si>
  <si>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</si>
  <si>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</si>
  <si>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</si>
  <si>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</si>
  <si>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</si>
  <si>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</si>
  <si>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</si>
  <si>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</si>
  <si>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</si>
  <si>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</si>
  <si>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</si>
  <si>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</si>
  <si>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</si>
  <si>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</si>
  <si>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</si>
  <si>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</si>
  <si>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</si>
  <si>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</si>
  <si>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</si>
  <si>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</si>
  <si>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</si>
  <si>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</si>
  <si>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</si>
  <si>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</si>
  <si>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</si>
  <si>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</si>
  <si>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</si>
  <si>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</si>
  <si>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</si>
  <si>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</si>
  <si>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</si>
  <si>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</si>
  <si>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</si>
  <si>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</si>
  <si>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</si>
  <si>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</si>
  <si>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</si>
  <si>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</si>
  <si>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</si>
  <si>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</si>
  <si>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</si>
  <si>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</si>
  <si>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</si>
  <si>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</si>
  <si>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</si>
  <si>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</si>
  <si>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</si>
  <si>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</si>
  <si>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</si>
  <si>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</si>
  <si>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</si>
  <si>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</si>
  <si>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</si>
  <si>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</si>
  <si>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</si>
  <si>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</si>
  <si>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</si>
  <si>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</si>
  <si>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</si>
  <si>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</si>
  <si>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</si>
  <si>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</si>
  <si>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</si>
  <si>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</si>
  <si>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</si>
  <si>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</si>
  <si>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</si>
  <si>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</si>
  <si>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</si>
  <si>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</si>
  <si>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</si>
  <si>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</si>
  <si>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</si>
  <si>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</si>
  <si>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</si>
  <si>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</si>
  <si>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</si>
  <si>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</si>
  <si>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</si>
  <si>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</si>
  <si>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</si>
  <si>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</si>
  <si>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</si>
  <si>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</si>
  <si>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</si>
  <si>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</si>
  <si>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</si>
  <si>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</si>
  <si>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</si>
  <si>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</si>
  <si>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</si>
  <si>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</si>
  <si>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</si>
  <si>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</si>
  <si>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</si>
  <si>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</si>
  <si>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</si>
  <si>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</si>
  <si>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</si>
  <si>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</si>
  <si>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</si>
  <si>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</si>
  <si>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</si>
  <si>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</si>
  <si>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</si>
  <si>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</si>
  <si>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</si>
  <si>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</si>
  <si>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</si>
  <si>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</si>
  <si>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</si>
  <si>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</si>
  <si>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</si>
  <si>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</si>
  <si>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</si>
  <si>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</si>
  <si>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</si>
  <si>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</si>
  <si>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</si>
  <si>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</si>
  <si>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</si>
  <si>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</si>
  <si>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</si>
  <si>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</si>
  <si>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</si>
  <si>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</si>
  <si>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</si>
  <si>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</si>
  <si>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</si>
  <si>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</si>
  <si>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</si>
  <si>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</si>
  <si>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</si>
  <si>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</si>
  <si>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</si>
  <si>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</si>
  <si>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</si>
  <si>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</si>
  <si>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</si>
  <si>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</si>
  <si>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</si>
  <si>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</si>
  <si>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</si>
  <si>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</si>
  <si>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</si>
  <si>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</si>
  <si>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</si>
  <si>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</si>
  <si>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</si>
  <si>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</si>
  <si>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</si>
  <si>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</si>
  <si>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</si>
  <si>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</si>
  <si>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</si>
  <si>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</si>
  <si>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</si>
  <si>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</si>
  <si>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</si>
  <si>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</si>
  <si>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</si>
  <si>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</si>
  <si>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</si>
  <si>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</si>
  <si>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</si>
  <si>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</si>
  <si>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</si>
  <si>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</si>
  <si>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</si>
  <si>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</si>
  <si>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</si>
  <si>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</si>
  <si>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</si>
  <si>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</si>
  <si>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</si>
  <si>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</si>
  <si>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</si>
  <si>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</si>
  <si>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</si>
  <si>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</si>
  <si>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</si>
  <si>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</si>
  <si>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</si>
  <si>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</si>
  <si>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</si>
  <si>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</si>
  <si>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</si>
  <si>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</si>
  <si>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</si>
  <si>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</si>
  <si>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</si>
  <si>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</si>
  <si>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</si>
  <si>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</si>
  <si>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</si>
  <si>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</si>
  <si>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</si>
  <si>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</si>
  <si>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</si>
  <si>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</si>
  <si>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</si>
  <si>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</si>
  <si>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</si>
  <si>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</si>
  <si>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</si>
  <si>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</si>
  <si>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</si>
  <si>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</si>
  <si>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</si>
  <si>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</si>
  <si>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</si>
  <si>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</si>
  <si>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</si>
  <si>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</si>
  <si>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</si>
  <si>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</si>
  <si>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</si>
  <si>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</si>
  <si>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</si>
  <si>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</si>
  <si>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</si>
  <si>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</si>
  <si>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</si>
  <si>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</si>
  <si>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</si>
  <si>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</si>
  <si>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</si>
  <si>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</si>
  <si>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</si>
  <si>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</si>
  <si>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</si>
  <si>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</si>
  <si>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</si>
  <si>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</si>
  <si>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</si>
  <si>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</si>
  <si>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</si>
  <si>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</si>
  <si>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</si>
  <si>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</si>
  <si>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</si>
  <si>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</si>
  <si>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</si>
  <si>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</si>
  <si>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</si>
  <si>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</si>
  <si>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</si>
  <si>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</si>
  <si>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</si>
  <si>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</si>
  <si>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</si>
  <si>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</si>
  <si>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</si>
  <si>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</si>
  <si>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</si>
  <si>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</si>
  <si>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</si>
  <si>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</si>
  <si>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</si>
  <si>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</si>
  <si>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</si>
  <si>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</si>
  <si>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</si>
  <si>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</si>
  <si>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</si>
  <si>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</si>
  <si>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</si>
  <si>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</si>
  <si>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</si>
  <si>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</si>
  <si>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</si>
  <si>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</si>
  <si>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</si>
  <si>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</si>
  <si>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</si>
  <si>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</si>
  <si>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</si>
  <si>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</si>
  <si>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</si>
  <si>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</si>
  <si>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</si>
  <si>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</si>
  <si>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</si>
  <si>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</si>
  <si>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</si>
  <si>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</si>
  <si>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</si>
  <si>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</si>
  <si>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</si>
  <si>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</si>
  <si>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</si>
  <si>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</si>
  <si>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</si>
  <si>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</si>
  <si>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</si>
  <si>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</si>
  <si>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</si>
  <si>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</si>
  <si>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</si>
  <si>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</si>
  <si>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</si>
  <si>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</si>
  <si>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</si>
  <si>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</si>
  <si>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</si>
  <si>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</si>
  <si>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</si>
  <si>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</si>
  <si>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</si>
  <si>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</si>
  <si>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</si>
  <si>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</si>
  <si>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</si>
  <si>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</si>
  <si>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</si>
  <si>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</si>
  <si>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</si>
  <si>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</si>
  <si>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</si>
  <si>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</si>
  <si>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</si>
  <si>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</si>
  <si>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</si>
  <si>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</si>
  <si>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</si>
  <si>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</si>
  <si>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</si>
  <si>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</si>
  <si>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</si>
  <si>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</si>
  <si>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</si>
  <si>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</si>
  <si>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</si>
  <si>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</si>
  <si>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</si>
  <si>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</si>
  <si>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</si>
  <si>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</si>
  <si>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</si>
  <si>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</si>
  <si>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</si>
  <si>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</si>
  <si>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</si>
  <si>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</si>
  <si>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</si>
  <si>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</si>
  <si>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</si>
  <si>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</si>
  <si>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</si>
  <si>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</si>
  <si>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</si>
  <si>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</si>
  <si>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</si>
  <si>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</si>
  <si>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</si>
  <si>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</si>
  <si>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</si>
  <si>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</si>
  <si>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</si>
  <si>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</si>
  <si>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</si>
  <si>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</si>
  <si>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</si>
  <si>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</si>
  <si>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</si>
  <si>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</si>
  <si>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</si>
  <si>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</si>
  <si>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</si>
  <si>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</si>
  <si>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</si>
  <si>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</si>
  <si>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</si>
  <si>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</si>
  <si>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</si>
  <si>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</si>
  <si>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</si>
  <si>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</si>
  <si>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</si>
  <si>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</si>
  <si>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</si>
  <si>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</si>
  <si>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</si>
  <si>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</si>
  <si>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</si>
  <si>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</si>
  <si>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</si>
  <si>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</si>
  <si>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</si>
  <si>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</si>
  <si>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</si>
  <si>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</si>
  <si>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</si>
  <si>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</si>
  <si>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</si>
  <si>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</si>
  <si>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</si>
  <si>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</si>
  <si>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</si>
  <si>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</si>
  <si>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</si>
  <si>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</si>
  <si>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</si>
  <si>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</si>
  <si>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</si>
  <si>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</si>
  <si>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</si>
  <si>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</si>
  <si>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</si>
  <si>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</si>
  <si>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</si>
  <si>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</si>
  <si>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</si>
  <si>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</si>
  <si>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</si>
  <si>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</si>
  <si>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</si>
  <si>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</si>
  <si>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</si>
  <si>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</si>
  <si>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</si>
  <si>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</si>
  <si>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</si>
  <si>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</si>
  <si>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</si>
  <si>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</si>
  <si>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</si>
  <si>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</si>
  <si>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</si>
  <si>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</si>
  <si>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</si>
  <si>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</si>
  <si>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</si>
  <si>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</si>
  <si>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</si>
  <si>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</si>
  <si>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</si>
  <si>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</si>
  <si>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</si>
  <si>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</si>
  <si>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</si>
  <si>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</si>
  <si>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</si>
  <si>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</si>
  <si>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</si>
  <si>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</si>
  <si>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</si>
  <si>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</si>
  <si>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</si>
  <si>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</si>
  <si>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</si>
  <si>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</si>
  <si>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</si>
  <si>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</si>
  <si>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</si>
  <si>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</si>
  <si>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</si>
  <si>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</si>
  <si>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</si>
  <si>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</si>
  <si>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</si>
  <si>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</si>
  <si>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</si>
  <si>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</si>
  <si>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</si>
  <si>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</si>
  <si>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</si>
  <si>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</si>
  <si>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</si>
  <si>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</si>
  <si>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</si>
  <si>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</si>
  <si>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</si>
  <si>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</si>
  <si>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</si>
  <si>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</si>
  <si>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</si>
  <si>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</si>
  <si>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</si>
  <si>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</si>
  <si>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</si>
  <si>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</si>
  <si>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</si>
  <si>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</si>
  <si>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</si>
  <si>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</si>
  <si>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</si>
  <si>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</si>
  <si>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</si>
  <si>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</si>
  <si>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</si>
  <si>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</si>
  <si>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</si>
  <si>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</si>
  <si>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</si>
  <si>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</si>
  <si>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</si>
  <si>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</si>
  <si>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</si>
  <si>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</si>
  <si>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</si>
  <si>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</si>
  <si>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</si>
  <si>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</si>
  <si>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</si>
  <si>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</si>
  <si>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</si>
  <si>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</si>
  <si>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</si>
  <si>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</si>
  <si>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</si>
  <si>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</si>
  <si>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</si>
  <si>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</si>
  <si>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</si>
  <si>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</si>
  <si>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</si>
  <si>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</si>
  <si>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</si>
  <si>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</si>
  <si>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</si>
  <si>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</si>
  <si>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</si>
  <si>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</si>
  <si>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</si>
  <si>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</si>
  <si>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</si>
  <si>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</si>
  <si>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</si>
  <si>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</si>
  <si>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</si>
  <si>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</si>
  <si>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</si>
  <si>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</si>
  <si>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</si>
  <si>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</si>
  <si>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</si>
  <si>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</si>
  <si>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</si>
  <si>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</si>
  <si>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</si>
  <si>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</si>
  <si>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</si>
  <si>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</si>
  <si>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</si>
  <si>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</si>
  <si>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</si>
  <si>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</si>
  <si>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</si>
  <si>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</si>
  <si>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</si>
  <si>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</si>
  <si>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</si>
  <si>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</si>
  <si>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</si>
  <si>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</si>
  <si>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</si>
  <si>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</si>
  <si>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</si>
  <si>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</si>
  <si>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</si>
  <si>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</si>
  <si>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</si>
  <si>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</si>
  <si>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</si>
  <si>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</si>
  <si>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</si>
  <si>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</si>
  <si>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</si>
  <si>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</si>
  <si>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</si>
  <si>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</si>
  <si>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</si>
  <si>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</si>
  <si>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</si>
  <si>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</si>
  <si>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</si>
  <si>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</si>
  <si>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</si>
  <si>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</si>
  <si>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</si>
  <si>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</si>
  <si>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</si>
  <si>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</si>
  <si>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</si>
  <si>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</si>
  <si>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</si>
  <si>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</si>
  <si>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</si>
  <si>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</si>
  <si>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</si>
  <si>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</si>
  <si>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</si>
  <si>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</si>
  <si>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</si>
  <si>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</si>
  <si>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</si>
  <si>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</si>
  <si>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</si>
  <si>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</si>
  <si>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</si>
  <si>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</si>
  <si>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</si>
  <si>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</si>
  <si>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</si>
  <si>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</si>
  <si>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</si>
  <si>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</si>
  <si>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</si>
  <si>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</si>
  <si>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</si>
  <si>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</si>
  <si>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</si>
  <si>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</si>
  <si>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</si>
  <si>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</si>
  <si>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</si>
  <si>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</si>
  <si>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</si>
  <si>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</si>
  <si>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</si>
  <si>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</si>
  <si>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</si>
  <si>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</si>
  <si>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</si>
  <si>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</si>
  <si>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</si>
  <si>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</si>
  <si>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</si>
  <si>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</si>
  <si>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</si>
  <si>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</si>
  <si>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</si>
  <si>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</si>
  <si>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</si>
  <si>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</si>
  <si>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</si>
  <si>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</si>
  <si>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</si>
  <si>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</si>
  <si>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</si>
  <si>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</si>
  <si>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</si>
  <si>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</si>
  <si>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</si>
  <si>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</si>
  <si>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</si>
  <si>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</si>
  <si>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</si>
  <si>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</si>
  <si>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</si>
  <si>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</si>
  <si>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</si>
  <si>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</si>
  <si>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</si>
  <si>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</si>
  <si>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</si>
  <si>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</si>
  <si>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</si>
  <si>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</si>
  <si>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</si>
  <si>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</si>
  <si>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</si>
  <si>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</si>
  <si>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</si>
  <si>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</si>
  <si>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</si>
  <si>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</si>
  <si>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</si>
  <si>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</si>
  <si>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</si>
  <si>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</si>
  <si>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</si>
  <si>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</si>
  <si>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</si>
  <si>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</si>
  <si>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</si>
  <si>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</si>
  <si>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</si>
  <si>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</si>
  <si>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</si>
  <si>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</si>
  <si>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</si>
  <si>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</si>
  <si>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</si>
  <si>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</si>
  <si>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</si>
  <si>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</si>
  <si>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</si>
  <si>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</si>
  <si>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</si>
  <si>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</si>
  <si>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</si>
  <si>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</si>
  <si>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</si>
  <si>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</si>
  <si>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</si>
  <si>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</si>
  <si>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</si>
  <si>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</si>
  <si>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</si>
  <si>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</si>
  <si>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</si>
  <si>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</si>
  <si>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</si>
  <si>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</si>
  <si>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</si>
  <si>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</si>
  <si>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</si>
  <si>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</si>
  <si>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</si>
  <si>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</si>
  <si>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</si>
  <si>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</si>
  <si>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</si>
  <si>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</si>
  <si>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</si>
  <si>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</si>
  <si>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</si>
  <si>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</si>
  <si>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</si>
  <si>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</si>
  <si>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</si>
  <si>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</si>
  <si>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</si>
  <si>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</si>
  <si>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</si>
  <si>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</si>
  <si>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</si>
  <si>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</si>
  <si>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</si>
  <si>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</si>
  <si>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</si>
  <si>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</si>
  <si>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</si>
  <si>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</si>
  <si>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</si>
  <si>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</si>
  <si>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</si>
  <si>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</si>
  <si>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</si>
  <si>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</si>
  <si>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</si>
  <si>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</si>
  <si>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</si>
  <si>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</si>
  <si>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</si>
  <si>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</si>
  <si>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</si>
  <si>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</si>
  <si>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</si>
  <si>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</si>
  <si>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</si>
  <si>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</si>
  <si>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</si>
  <si>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</si>
  <si>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</si>
  <si>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</si>
  <si>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</si>
  <si>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</si>
  <si>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</si>
  <si>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</si>
  <si>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</si>
  <si>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</si>
  <si>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</si>
  <si>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</si>
  <si>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</si>
  <si>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</si>
  <si>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</si>
  <si>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</si>
  <si>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</si>
  <si>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</si>
  <si>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</si>
  <si>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</si>
  <si>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</si>
  <si>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</si>
  <si>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</si>
  <si>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</si>
  <si>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</si>
  <si>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</si>
  <si>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</si>
  <si>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</si>
  <si>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</si>
  <si>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</si>
  <si>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</si>
  <si>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</si>
  <si>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</si>
  <si>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</si>
  <si>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</si>
  <si>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</si>
  <si>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</si>
  <si>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</si>
  <si>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</si>
  <si>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</si>
  <si>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</si>
  <si>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</si>
  <si>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</si>
  <si>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</si>
  <si>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</si>
  <si>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</si>
  <si>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</si>
  <si>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</si>
  <si>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</si>
  <si>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</si>
  <si>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</si>
  <si>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</si>
  <si>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</si>
  <si>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</si>
  <si>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</si>
  <si>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</si>
  <si>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</si>
  <si>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</si>
  <si>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</si>
  <si>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</si>
  <si>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</si>
  <si>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</si>
  <si>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</si>
  <si>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</si>
  <si>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</si>
  <si>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</si>
  <si>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</si>
  <si>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</si>
  <si>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</si>
  <si>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</si>
  <si>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</si>
  <si>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</si>
  <si>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</si>
  <si>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</si>
  <si>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</si>
  <si>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</si>
  <si>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</si>
  <si>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</si>
  <si>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</si>
  <si>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</si>
  <si>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</si>
  <si>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</si>
  <si>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</si>
  <si>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</si>
  <si>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</si>
  <si>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</si>
  <si>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</si>
  <si>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</si>
  <si>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</si>
  <si>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</si>
  <si>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</si>
  <si>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</si>
  <si>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</si>
  <si>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</si>
  <si>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</si>
  <si>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</si>
  <si>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</si>
  <si>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</si>
  <si>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</si>
  <si>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</si>
  <si>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</si>
  <si>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</si>
  <si>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</si>
  <si>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</si>
  <si>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</si>
  <si>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</si>
  <si>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</si>
  <si>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</si>
  <si>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</si>
  <si>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</si>
  <si>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</si>
  <si>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</si>
  <si>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</si>
  <si>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</si>
  <si>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</si>
  <si>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</si>
  <si>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</si>
  <si>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</si>
  <si>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</si>
  <si>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</si>
  <si>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</si>
  <si>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</si>
  <si>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</si>
  <si>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</si>
  <si>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</si>
  <si>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</si>
  <si>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</si>
  <si>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</si>
  <si>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</si>
  <si>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</si>
  <si>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</si>
  <si>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</si>
  <si>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</si>
  <si>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</si>
  <si>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</si>
  <si>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</si>
  <si>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</si>
  <si>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</si>
  <si>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</si>
  <si>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</si>
  <si>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</si>
  <si>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</si>
  <si>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</si>
  <si>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</si>
  <si>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</si>
  <si>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</si>
  <si>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</si>
  <si>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</si>
  <si>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</si>
  <si>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</si>
  <si>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</si>
  <si>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</si>
  <si>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</si>
  <si>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</si>
  <si>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</si>
  <si>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</si>
  <si>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</si>
  <si>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</si>
  <si>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</si>
  <si>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</si>
  <si>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</si>
  <si>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</si>
  <si>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</si>
  <si>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</si>
  <si>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</si>
  <si>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</si>
  <si>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</si>
  <si>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</si>
  <si>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</si>
  <si>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</si>
  <si>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</si>
  <si>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</si>
  <si>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</si>
  <si>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</si>
  <si>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</si>
  <si>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</si>
  <si>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</si>
  <si>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</si>
  <si>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</si>
  <si>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</si>
  <si>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</si>
  <si>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</si>
  <si>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</si>
  <si>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</si>
  <si>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</si>
  <si>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</si>
  <si>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</si>
  <si>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</si>
  <si>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</si>
  <si>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</si>
  <si>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</si>
  <si>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</si>
  <si>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</si>
  <si>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</si>
  <si>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</si>
  <si>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</si>
  <si>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</si>
  <si>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</si>
  <si>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</si>
  <si>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</si>
  <si>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</si>
  <si>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</si>
  <si>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</si>
  <si>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</si>
  <si>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</si>
  <si>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</si>
  <si>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</si>
  <si>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</si>
  <si>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</si>
  <si>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</si>
  <si>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</si>
  <si>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</si>
  <si>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</si>
  <si>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</si>
  <si>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</si>
  <si>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</si>
  <si>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</si>
  <si>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</si>
  <si>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</si>
  <si>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</si>
  <si>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</si>
  <si>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</si>
  <si>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</si>
  <si>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</si>
  <si>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</si>
  <si>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</si>
  <si>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</si>
  <si>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</si>
  <si>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</si>
  <si>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</si>
  <si>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</si>
  <si>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</si>
  <si>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</si>
  <si>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</si>
  <si>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</si>
  <si>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</si>
  <si>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</si>
  <si>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</si>
  <si>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</si>
  <si>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</si>
  <si>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</si>
  <si>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</si>
  <si>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</si>
  <si>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</si>
  <si>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</si>
  <si>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</si>
  <si>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</si>
  <si>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</si>
  <si>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</si>
  <si>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</si>
  <si>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</si>
  <si>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</si>
  <si>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</si>
  <si>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</si>
  <si>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</si>
  <si>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</si>
  <si>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</si>
  <si>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</si>
  <si>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</si>
  <si>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</si>
  <si>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</si>
  <si>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</si>
  <si>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</si>
  <si>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</si>
  <si>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</si>
  <si>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</si>
  <si>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</si>
  <si>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</si>
  <si>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</si>
  <si>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</si>
  <si>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</si>
  <si>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</si>
  <si>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</si>
  <si>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</si>
  <si>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</si>
  <si>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</si>
  <si>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</si>
  <si>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</si>
  <si>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</si>
  <si>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</si>
  <si>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</si>
  <si>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</si>
  <si>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</si>
  <si>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</si>
  <si>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</si>
  <si>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</si>
  <si>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</si>
  <si>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</si>
  <si>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</si>
  <si>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</si>
  <si>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</si>
  <si>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</si>
  <si>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</si>
  <si>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</si>
  <si>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</si>
  <si>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</si>
  <si>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</si>
  <si>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</si>
  <si>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</si>
  <si>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</si>
  <si>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</si>
  <si>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</si>
  <si>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</si>
  <si>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</si>
  <si>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</si>
  <si>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</si>
  <si>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</si>
  <si>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</si>
  <si>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</si>
  <si>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</si>
  <si>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</si>
  <si>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</si>
  <si>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</si>
  <si>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</si>
  <si>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</si>
  <si>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</si>
  <si>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</si>
  <si>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</si>
  <si>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</si>
  <si>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</si>
  <si>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</si>
  <si>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</si>
  <si>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</si>
  <si>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</si>
  <si>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</si>
  <si>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</si>
  <si>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</si>
  <si>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</si>
  <si>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</si>
  <si>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</si>
  <si>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</si>
  <si>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</si>
  <si>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</si>
  <si>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</si>
  <si>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</si>
  <si>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</si>
  <si>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</si>
  <si>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</si>
  <si>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</si>
  <si>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</si>
  <si>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</si>
  <si>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</si>
  <si>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</si>
  <si>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</si>
  <si>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</si>
  <si>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</si>
  <si>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</si>
  <si>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</si>
  <si>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</si>
  <si>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</si>
  <si>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</si>
  <si>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</si>
  <si>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</si>
  <si>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</si>
  <si>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</si>
  <si>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</si>
  <si>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</si>
  <si>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</si>
  <si>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</si>
  <si>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</si>
  <si>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</si>
  <si>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</si>
  <si>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</si>
  <si>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</si>
  <si>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</si>
  <si>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</si>
  <si>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</si>
  <si>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</si>
  <si>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</si>
  <si>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</si>
  <si>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</si>
  <si>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</si>
  <si>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</si>
  <si>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</si>
  <si>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</si>
  <si>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</si>
  <si>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</si>
  <si>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</si>
  <si>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</si>
  <si>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</si>
  <si>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</si>
  <si>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</si>
  <si>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</si>
  <si>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</si>
  <si>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</si>
  <si>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</si>
  <si>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</si>
  <si>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</si>
  <si>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</si>
  <si>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</si>
  <si>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</si>
  <si>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</si>
  <si>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</si>
  <si>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</si>
  <si>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</si>
  <si>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</si>
  <si>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</si>
  <si>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</si>
  <si>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</si>
  <si>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</si>
  <si>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</si>
  <si>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</si>
  <si>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</si>
  <si>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</si>
  <si>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</si>
  <si>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</si>
  <si>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</si>
  <si>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</si>
  <si>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</si>
  <si>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</si>
  <si>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</si>
  <si>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</si>
  <si>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</si>
  <si>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</si>
  <si>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</si>
  <si>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</si>
  <si>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</si>
  <si>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</si>
  <si>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</si>
  <si>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</si>
  <si>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</si>
  <si>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</si>
  <si>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</si>
  <si>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</si>
  <si>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</si>
  <si>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</si>
  <si>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</si>
  <si>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</si>
  <si>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</si>
  <si>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</si>
  <si>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</si>
  <si>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</si>
  <si>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</si>
  <si>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</si>
  <si>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</si>
  <si>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</si>
  <si>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</si>
  <si>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</si>
  <si>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</si>
  <si>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</si>
  <si>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</si>
  <si>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</si>
  <si>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</si>
  <si>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</si>
  <si>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</si>
  <si>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</si>
  <si>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</si>
  <si>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</si>
  <si>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</si>
  <si>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</si>
  <si>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</si>
  <si>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</si>
  <si>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</si>
  <si>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</si>
  <si>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</si>
  <si>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</si>
  <si>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</si>
  <si>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</si>
  <si>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</si>
  <si>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</si>
  <si>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</si>
  <si>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</si>
  <si>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</si>
  <si>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</si>
  <si>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</si>
  <si>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</si>
  <si>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</si>
  <si>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</si>
  <si>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</si>
  <si>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</si>
  <si>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</si>
  <si>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</si>
  <si>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</si>
  <si>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</si>
  <si>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</si>
  <si>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</si>
  <si>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</si>
  <si>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</si>
  <si>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</si>
  <si>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</si>
  <si>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</si>
  <si>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</si>
  <si>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</si>
  <si>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</si>
  <si>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</si>
  <si>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</si>
  <si>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</si>
  <si>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</si>
  <si>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</si>
  <si>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</si>
  <si>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</si>
  <si>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</si>
  <si>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</si>
  <si>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</si>
  <si>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</si>
  <si>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</si>
  <si>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</si>
  <si>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</si>
  <si>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</si>
  <si>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</si>
  <si>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</si>
  <si>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</si>
  <si>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</si>
  <si>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</si>
  <si>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</si>
  <si>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</si>
  <si>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</si>
  <si>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</si>
  <si>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</si>
  <si>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</si>
  <si>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</si>
  <si>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</si>
  <si>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</si>
  <si>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</si>
  <si>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</si>
  <si>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</si>
  <si>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</si>
  <si>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</si>
  <si>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</si>
  <si>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</si>
  <si>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</si>
  <si>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</si>
  <si>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</si>
  <si>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</si>
  <si>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</si>
  <si>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</si>
  <si>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</si>
  <si>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</si>
  <si>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</si>
  <si>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</si>
  <si>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</si>
  <si>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</si>
  <si>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</si>
  <si>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</si>
  <si>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</si>
  <si>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</si>
  <si>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</si>
  <si>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</si>
  <si>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</si>
  <si>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</si>
  <si>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</si>
  <si>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</si>
  <si>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</si>
  <si>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</si>
  <si>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</si>
  <si>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</si>
  <si>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</si>
  <si>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</si>
  <si>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</si>
  <si>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</si>
  <si>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</si>
  <si>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</si>
  <si>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</si>
  <si>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</si>
  <si>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</si>
  <si>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</si>
  <si>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</si>
  <si>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</si>
  <si>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</si>
  <si>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</si>
  <si>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</si>
  <si>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</si>
  <si>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</si>
  <si>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</si>
  <si>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</si>
  <si>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</si>
  <si>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</si>
  <si>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</si>
  <si>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</si>
  <si>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</si>
  <si>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</si>
  <si>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</si>
  <si>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</si>
  <si>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</si>
  <si>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</si>
  <si>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</si>
  <si>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</si>
  <si>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</si>
  <si>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</si>
  <si>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</si>
  <si>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</si>
  <si>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</si>
  <si>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</si>
  <si>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</si>
  <si>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</si>
  <si>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</si>
  <si>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</si>
  <si>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</si>
  <si>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</si>
  <si>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</si>
  <si>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</si>
  <si>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</si>
  <si>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</si>
  <si>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</si>
  <si>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</si>
  <si>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</si>
  <si>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</si>
  <si>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</si>
  <si>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</si>
  <si>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</si>
  <si>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</si>
  <si>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</si>
  <si>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</si>
  <si>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</si>
  <si>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</si>
  <si>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</si>
  <si>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</si>
  <si>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</si>
  <si>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</si>
  <si>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</si>
  <si>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</si>
  <si>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</si>
  <si>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</si>
  <si>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</si>
  <si>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</si>
  <si>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</si>
  <si>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</si>
  <si>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</si>
  <si>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</si>
  <si>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</si>
  <si>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</si>
  <si>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</si>
  <si>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</si>
  <si>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</si>
  <si>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</si>
  <si>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</si>
  <si>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</si>
  <si>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</si>
  <si>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</si>
  <si>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</si>
  <si>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</si>
  <si>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</si>
  <si>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</si>
  <si>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</si>
  <si>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</si>
  <si>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</si>
  <si>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</si>
  <si>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</si>
  <si>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</si>
  <si>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</si>
  <si>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</si>
  <si>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</si>
  <si>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</si>
  <si>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</si>
  <si>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</si>
  <si>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</si>
  <si>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</si>
  <si>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</si>
  <si>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</si>
  <si>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</si>
  <si>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</si>
  <si>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</si>
  <si>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</si>
  <si>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</si>
  <si>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</si>
  <si>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</si>
  <si>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</si>
  <si>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</si>
  <si>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</si>
  <si>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</si>
  <si>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</si>
  <si>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</si>
  <si>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</si>
  <si>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</si>
  <si>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</si>
  <si>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</si>
  <si>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</si>
  <si>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</si>
  <si>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</si>
  <si>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</si>
  <si>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</si>
  <si>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</si>
  <si>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</si>
  <si>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</si>
  <si>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</si>
  <si>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</si>
  <si>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</si>
  <si>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</si>
  <si>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</si>
  <si>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</si>
  <si>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</si>
  <si>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</si>
  <si>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</si>
  <si>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</si>
  <si>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</si>
  <si>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</si>
  <si>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</si>
  <si>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</si>
  <si>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</si>
  <si>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</si>
  <si>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</si>
  <si>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</si>
  <si>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</si>
  <si>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</si>
  <si>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</si>
  <si>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</si>
  <si>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</si>
  <si>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</si>
  <si>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</si>
  <si>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</si>
  <si>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</si>
  <si>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</si>
  <si>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</si>
  <si>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</si>
  <si>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</si>
  <si>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</si>
  <si>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</si>
  <si>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</si>
  <si>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</si>
  <si>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</si>
  <si>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</si>
  <si>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</si>
  <si>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</si>
  <si>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</si>
  <si>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</si>
  <si>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</si>
  <si>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</si>
  <si>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</si>
  <si>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</si>
  <si>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</si>
  <si>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</si>
  <si>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</si>
  <si>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</si>
  <si>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</si>
  <si>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</si>
  <si>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</si>
  <si>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</si>
  <si>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</si>
  <si>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</si>
  <si>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</si>
  <si>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</si>
  <si>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</si>
  <si>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</si>
  <si>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</si>
  <si>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</si>
  <si>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</si>
  <si>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</si>
  <si>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</si>
  <si>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</si>
  <si>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</si>
  <si>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</si>
  <si>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</si>
  <si>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</si>
  <si>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</si>
  <si>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</si>
  <si>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</si>
  <si>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</si>
  <si>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</si>
  <si>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</si>
  <si>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</si>
  <si>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</si>
  <si>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</si>
  <si>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</si>
  <si>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</si>
  <si>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</si>
  <si>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</si>
  <si>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</si>
  <si>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</si>
  <si>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</si>
  <si>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</si>
  <si>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</si>
  <si>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</si>
  <si>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</si>
  <si>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</si>
  <si>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</si>
  <si>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</si>
  <si>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</si>
  <si>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</si>
  <si>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</si>
  <si>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</si>
  <si>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</si>
  <si>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</si>
  <si>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</si>
  <si>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</si>
  <si>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</si>
  <si>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</si>
  <si>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</si>
  <si>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</si>
  <si>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</si>
  <si>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</si>
  <si>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</si>
  <si>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</si>
  <si>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</si>
  <si>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</si>
  <si>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</si>
  <si>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</si>
  <si>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</si>
  <si>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</si>
  <si>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</si>
  <si>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</si>
  <si>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</si>
  <si>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</si>
  <si>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</si>
  <si>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</si>
  <si>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</si>
  <si>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</si>
  <si>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</si>
  <si>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</si>
  <si>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</si>
  <si>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</si>
  <si>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</si>
  <si>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</si>
  <si>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</si>
  <si>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</si>
  <si>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</si>
  <si>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</si>
  <si>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</si>
  <si>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</si>
  <si>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</si>
  <si>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</si>
  <si>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</si>
  <si>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</si>
  <si>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</si>
  <si>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</si>
  <si>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</si>
  <si>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</si>
  <si>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</si>
  <si>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</si>
  <si>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</si>
  <si>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</si>
  <si>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</si>
  <si>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</si>
  <si>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</si>
  <si>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</si>
  <si>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</si>
  <si>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</si>
  <si>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</si>
  <si>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</si>
  <si>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</si>
  <si>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</si>
  <si>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</si>
  <si>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</si>
  <si>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</si>
  <si>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</si>
  <si>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</si>
  <si>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</si>
  <si>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</si>
  <si>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</si>
  <si>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</si>
  <si>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</si>
  <si>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</si>
  <si>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</si>
  <si>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</si>
  <si>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</si>
  <si>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</si>
  <si>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</si>
  <si>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</si>
  <si>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</si>
  <si>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</si>
  <si>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</si>
  <si>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</si>
  <si>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</si>
  <si>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</si>
  <si>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</si>
  <si>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</si>
  <si>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</si>
  <si>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</si>
  <si>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</si>
  <si>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</si>
  <si>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</si>
  <si>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</si>
  <si>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</si>
  <si>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</si>
  <si>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</si>
  <si>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</si>
  <si>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</si>
  <si>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</si>
  <si>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</si>
  <si>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</si>
  <si>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</si>
  <si>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</si>
  <si>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</si>
  <si>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</si>
  <si>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</si>
  <si>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</si>
  <si>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</si>
  <si>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</si>
  <si>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</si>
  <si>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</si>
  <si>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</si>
  <si>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</si>
  <si>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</si>
  <si>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</si>
  <si>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</si>
  <si>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</si>
  <si>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</si>
  <si>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</si>
  <si>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</si>
  <si>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</si>
  <si>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</si>
  <si>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</si>
  <si>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</si>
  <si>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</si>
  <si>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</si>
  <si>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</si>
  <si>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</si>
  <si>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</si>
  <si>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</si>
  <si>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</si>
  <si>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</si>
  <si>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</si>
  <si>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</si>
  <si>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</si>
  <si>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</si>
  <si>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</si>
  <si>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</si>
  <si>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</si>
  <si>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</si>
  <si>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</si>
  <si>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</si>
  <si>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</si>
  <si>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</si>
  <si>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</si>
  <si>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</si>
  <si>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</si>
  <si>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</si>
  <si>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</si>
  <si>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</si>
  <si>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</si>
  <si>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</si>
  <si>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</si>
  <si>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</si>
  <si>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</si>
  <si>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</si>
  <si>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</si>
  <si>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</si>
  <si>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</si>
  <si>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</si>
  <si>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</si>
  <si>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</si>
  <si>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</si>
  <si>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</si>
  <si>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</si>
  <si>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</si>
  <si>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</si>
  <si>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</si>
  <si>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</si>
  <si>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</si>
  <si>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</si>
  <si>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</si>
  <si>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</si>
  <si>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</si>
  <si>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</si>
  <si>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</si>
  <si>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</si>
  <si>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</si>
  <si>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</si>
  <si>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</si>
  <si>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</si>
  <si>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</si>
  <si>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</si>
  <si>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</si>
  <si>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</si>
  <si>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</si>
  <si>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</si>
  <si>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</si>
  <si>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</si>
  <si>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</si>
  <si>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</si>
  <si>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</si>
  <si>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</si>
  <si>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</si>
  <si>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</si>
  <si>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</si>
  <si>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</si>
  <si>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</si>
  <si>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</si>
  <si>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</si>
  <si>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</si>
  <si>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</si>
  <si>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</si>
  <si>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</si>
  <si>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</si>
  <si>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</si>
  <si>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</si>
  <si>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</si>
  <si>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</si>
  <si>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</si>
  <si>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</si>
  <si>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</si>
  <si>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</si>
  <si>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</si>
  <si>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</si>
  <si>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</si>
  <si>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</si>
  <si>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</si>
  <si>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</si>
  <si>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</si>
  <si>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</si>
  <si>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</si>
  <si>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</si>
  <si>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</si>
  <si>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</si>
  <si>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</si>
  <si>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</si>
  <si>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</si>
  <si>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</si>
  <si>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</si>
  <si>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</si>
  <si>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</si>
  <si>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</si>
  <si>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</si>
  <si>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</si>
  <si>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</si>
  <si>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</si>
  <si>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</si>
  <si>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</si>
  <si>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</si>
  <si>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</si>
  <si>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</si>
  <si>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</si>
  <si>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</si>
  <si>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</si>
  <si>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</si>
  <si>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</si>
  <si>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</si>
  <si>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</si>
  <si>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</si>
  <si>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</si>
  <si>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</si>
  <si>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</si>
  <si>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</si>
  <si>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</si>
  <si>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</si>
  <si>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</si>
  <si>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</si>
  <si>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</si>
  <si>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</si>
  <si>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</si>
  <si>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</si>
  <si>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</si>
  <si>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</si>
  <si>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</si>
  <si>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</si>
  <si>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</si>
  <si>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</si>
  <si>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</si>
  <si>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</si>
  <si>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</si>
  <si>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</si>
  <si>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</si>
  <si>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</si>
  <si>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</si>
  <si>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</si>
  <si>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</si>
  <si>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</si>
  <si>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</si>
  <si>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</si>
  <si>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</si>
  <si>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</si>
  <si>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</si>
  <si>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</si>
  <si>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</si>
  <si>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</si>
  <si>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</si>
  <si>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</si>
  <si>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</si>
  <si>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</si>
  <si>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</si>
  <si>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</si>
  <si>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</si>
  <si>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</si>
  <si>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</si>
  <si>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</si>
  <si>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</si>
  <si>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</si>
  <si>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</si>
  <si>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</si>
  <si>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</si>
  <si>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</si>
  <si>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</si>
  <si>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</si>
  <si>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</si>
  <si>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</si>
  <si>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</si>
  <si>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</si>
  <si>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</si>
  <si>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</si>
  <si>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</si>
  <si>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</si>
  <si>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</si>
  <si>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</si>
  <si>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</si>
  <si>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</si>
  <si>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</si>
  <si>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</si>
  <si>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</si>
  <si>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</si>
  <si>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</si>
  <si>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</si>
  <si>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</si>
  <si>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</si>
  <si>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</si>
  <si>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</si>
  <si>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</si>
  <si>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</si>
  <si>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</si>
  <si>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</si>
  <si>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</si>
  <si>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</si>
  <si>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</si>
  <si>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</si>
  <si>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</si>
  <si>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</si>
  <si>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</si>
  <si>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</si>
  <si>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</si>
  <si>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</si>
  <si>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</si>
  <si>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</si>
  <si>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</si>
  <si>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</si>
  <si>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</si>
  <si>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</si>
  <si>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</si>
  <si>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</si>
  <si>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</si>
  <si>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</si>
  <si>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</si>
  <si>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</si>
  <si>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</si>
  <si>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</si>
  <si>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</si>
  <si>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</si>
  <si>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</si>
  <si>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</si>
  <si>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</si>
  <si>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</si>
  <si>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</si>
  <si>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</si>
  <si>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</si>
  <si>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</si>
  <si>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</si>
  <si>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</si>
  <si>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</si>
  <si>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</si>
  <si>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</si>
  <si>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</si>
  <si>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</si>
  <si>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</si>
  <si>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</si>
  <si>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</si>
  <si>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</si>
  <si>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</si>
  <si>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</si>
  <si>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</si>
  <si>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</si>
  <si>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</si>
  <si>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</si>
  <si>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</si>
  <si>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</si>
  <si>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</si>
  <si>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</si>
  <si>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</si>
  <si>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</si>
  <si>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</si>
  <si>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</si>
  <si>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</si>
  <si>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</si>
  <si>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</si>
  <si>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</si>
  <si>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</si>
  <si>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</si>
  <si>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</si>
  <si>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</si>
  <si>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</si>
  <si>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</si>
  <si>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</si>
  <si>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</si>
  <si>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</si>
  <si>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</si>
  <si>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</si>
  <si>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</si>
  <si>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</si>
  <si>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</si>
  <si>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</si>
  <si>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</si>
  <si>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</si>
  <si>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</si>
  <si>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</si>
  <si>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</si>
  <si>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</si>
  <si>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</si>
  <si>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</si>
  <si>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</si>
  <si>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</si>
  <si>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</si>
  <si>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</si>
  <si>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</si>
  <si>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</si>
  <si>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</si>
  <si>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</si>
  <si>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</si>
  <si>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</si>
  <si>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</si>
  <si>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</si>
  <si>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</si>
  <si>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</si>
  <si>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</si>
  <si>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</si>
  <si>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</si>
  <si>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</si>
  <si>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</si>
  <si>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</si>
  <si>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</si>
  <si>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</si>
  <si>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</si>
  <si>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</si>
  <si>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</si>
  <si>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</si>
  <si>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</si>
  <si>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</si>
  <si>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</si>
  <si>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</si>
  <si>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</si>
  <si>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</si>
  <si>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</si>
  <si>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</si>
  <si>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</si>
  <si>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</si>
  <si>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</si>
  <si>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</si>
  <si>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</si>
  <si>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</si>
  <si>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</si>
  <si>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</si>
  <si>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</si>
  <si>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</si>
  <si>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</si>
  <si>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</si>
  <si>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</si>
  <si>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</si>
  <si>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</si>
  <si>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</si>
  <si>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</si>
  <si>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</si>
  <si>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</si>
  <si>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</si>
  <si>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</si>
  <si>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</si>
  <si>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</si>
  <si>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</si>
  <si>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</si>
  <si>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</si>
  <si>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</si>
  <si>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</si>
  <si>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</si>
  <si>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</si>
  <si>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</si>
  <si>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</si>
  <si>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</si>
  <si>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</si>
  <si>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</si>
  <si>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</si>
  <si>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</si>
  <si>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</si>
  <si>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</si>
  <si>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</si>
  <si>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</si>
  <si>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</si>
  <si>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</si>
  <si>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</si>
  <si>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</si>
  <si>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</si>
  <si>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</si>
  <si>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</si>
  <si>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</si>
  <si>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</si>
  <si>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</si>
  <si>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</si>
  <si>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</si>
  <si>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</si>
  <si>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</si>
  <si>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</si>
  <si>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</si>
  <si>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</si>
  <si>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</si>
  <si>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</si>
  <si>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</si>
  <si>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</si>
  <si>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</si>
  <si>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</si>
  <si>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</si>
  <si>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</si>
  <si>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</si>
  <si>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</si>
  <si>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</si>
  <si>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</si>
  <si>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</si>
  <si>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</si>
  <si>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</si>
  <si>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</si>
  <si>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</si>
  <si>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</si>
  <si>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</si>
  <si>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</si>
  <si>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</si>
  <si>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</si>
  <si>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</si>
  <si>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</si>
  <si>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</si>
  <si>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</si>
  <si>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</si>
  <si>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</si>
  <si>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</si>
  <si>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</si>
  <si>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</si>
  <si>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</si>
  <si>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</si>
  <si>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</si>
  <si>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</si>
  <si>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</si>
  <si>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</si>
  <si>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</si>
  <si>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</si>
  <si>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</si>
  <si>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</si>
  <si>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</si>
  <si>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</si>
  <si>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</si>
  <si>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</si>
  <si>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</si>
  <si>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</si>
  <si>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</si>
  <si>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</si>
  <si>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</si>
  <si>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</si>
  <si>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</si>
  <si>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</si>
  <si>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</si>
  <si>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</si>
  <si>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</si>
  <si>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</si>
  <si>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</si>
  <si>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</si>
  <si>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</si>
  <si>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</si>
  <si>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</si>
  <si>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</si>
  <si>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</si>
  <si>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</si>
  <si>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</si>
  <si>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</si>
  <si>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</si>
  <si>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</si>
  <si>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</si>
  <si>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</si>
  <si>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</si>
  <si>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</si>
  <si>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</si>
  <si>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</si>
  <si>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</si>
  <si>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</si>
  <si>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</si>
  <si>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</si>
  <si>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</si>
  <si>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</si>
  <si>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</si>
  <si>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</si>
  <si>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</si>
  <si>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</si>
  <si>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</si>
  <si>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</si>
  <si>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</si>
  <si>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</si>
  <si>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</si>
  <si>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</si>
  <si>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</si>
  <si>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</si>
  <si>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</si>
  <si>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</si>
  <si>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</si>
  <si>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</si>
  <si>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</si>
  <si>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</si>
  <si>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</si>
  <si>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</si>
  <si>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</si>
  <si>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</si>
  <si>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</si>
  <si>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</si>
  <si>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</si>
  <si>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</si>
  <si>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</si>
  <si>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</si>
  <si>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</si>
  <si>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</si>
  <si>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</si>
  <si>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</si>
  <si>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</si>
  <si>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</si>
  <si>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</si>
  <si>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</si>
  <si>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</si>
  <si>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</si>
  <si>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</si>
  <si>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</si>
  <si>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</si>
  <si>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</si>
  <si>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</si>
  <si>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</si>
  <si>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</si>
  <si>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</si>
  <si>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</si>
  <si>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</si>
  <si>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</si>
  <si>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</si>
  <si>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</si>
  <si>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</si>
  <si>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</si>
  <si>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</si>
  <si>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</si>
  <si>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</si>
  <si>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</si>
  <si>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</si>
  <si>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</si>
  <si>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</si>
  <si>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</si>
  <si>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</si>
  <si>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</si>
  <si>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</si>
  <si>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</si>
  <si>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</si>
  <si>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</si>
  <si>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</si>
  <si>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</si>
  <si>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</si>
  <si>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</si>
  <si>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</si>
  <si>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</si>
  <si>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</si>
  <si>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</si>
  <si>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</si>
  <si>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</si>
  <si>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</si>
  <si>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</si>
  <si>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</si>
  <si>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</si>
  <si>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</si>
  <si>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</si>
  <si>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</si>
  <si>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</si>
  <si>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</si>
  <si>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</si>
  <si>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</si>
  <si>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</si>
  <si>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</si>
  <si>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</si>
  <si>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</si>
  <si>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</si>
  <si>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</si>
  <si>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</si>
  <si>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</si>
  <si>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</si>
  <si>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</si>
  <si>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</si>
  <si>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</si>
  <si>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抵押</t>
  </si>
  <si>
    <t>房地产抵押价值</t>
  </si>
  <si>
    <t>工业项目</t>
  </si>
  <si>
    <t>现房</t>
  </si>
  <si>
    <t>是</t>
  </si>
  <si>
    <t>地上</t>
  </si>
  <si>
    <t>成新度</t>
  </si>
  <si>
    <t>建成年代</t>
  </si>
  <si>
    <t>中指</t>
  </si>
  <si>
    <t>直线</t>
  </si>
  <si>
    <t>押一</t>
  </si>
  <si>
    <t>钢混</t>
  </si>
  <si>
    <t>非生产用房</t>
  </si>
  <si>
    <t>否</t>
  </si>
  <si>
    <t>收益法 (元)</t>
  </si>
  <si>
    <t>单套模式</t>
  </si>
  <si>
    <t>售价</t>
  </si>
  <si>
    <t>报价</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</si>
  <si>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</si>
  <si>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</si>
  <si>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</si>
  <si>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</si>
  <si>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</si>
  <si>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t>工业立项办公</t>
  </si>
  <si>
    <t>七通</t>
  </si>
  <si>
    <t>六通</t>
  </si>
  <si>
    <t>五通</t>
  </si>
  <si>
    <t>精装修</t>
  </si>
  <si>
    <t>普通装修</t>
  </si>
  <si>
    <t>简单装修</t>
  </si>
  <si>
    <t>毛坯</t>
  </si>
  <si>
    <t>超高层高</t>
  </si>
  <si>
    <t>标准层高</t>
  </si>
  <si>
    <t>单套</t>
  </si>
  <si>
    <t>整栋</t>
  </si>
  <si>
    <t>层高</t>
  </si>
  <si>
    <t>销售类型</t>
  </si>
  <si>
    <t>正常</t>
  </si>
  <si>
    <t>工业</t>
    <phoneticPr fontId="31" type="noConversion"/>
  </si>
  <si>
    <t>比较法-工业</t>
  </si>
  <si>
    <t>税率</t>
  </si>
  <si>
    <t>增值税及附加</t>
  </si>
  <si>
    <t>印花税</t>
  </si>
  <si>
    <t>土地增值税</t>
  </si>
  <si>
    <t>净值</t>
    <phoneticPr fontId="8" type="noConversion"/>
  </si>
  <si>
    <t>合计</t>
    <phoneticPr fontId="8" type="noConversion"/>
  </si>
  <si>
    <t>楼面单价</t>
  </si>
  <si>
    <t>自定义</t>
  </si>
  <si>
    <t>单套</t>
    <phoneticPr fontId="31" type="noConversion"/>
  </si>
  <si>
    <t>整栋</t>
    <phoneticPr fontId="31" type="noConversion"/>
  </si>
  <si>
    <r>
      <t>整栋单价5</t>
    </r>
    <r>
      <rPr>
        <sz val="11"/>
        <color theme="1"/>
        <rFont val="宋体"/>
        <family val="3"/>
        <charset val="134"/>
        <scheme val="minor"/>
      </rPr>
      <t>000</t>
    </r>
    <phoneticPr fontId="134" type="noConversion"/>
  </si>
  <si>
    <t>单价</t>
    <phoneticPr fontId="134" type="noConversion"/>
  </si>
  <si>
    <t>有无独立入口可否独立售卖</t>
    <phoneticPr fontId="31" type="noConversion"/>
  </si>
  <si>
    <t>较好</t>
  </si>
  <si>
    <t>一般</t>
  </si>
  <si>
    <t>较差</t>
  </si>
  <si>
    <t>自定义容积率</t>
  </si>
  <si>
    <t>按公示增长率计算</t>
  </si>
  <si>
    <t>与级别开发程度一致</t>
  </si>
  <si>
    <t>不临65条商业街</t>
  </si>
  <si>
    <t>中心城区</t>
  </si>
  <si>
    <t>未包含在土地购买价格中</t>
  </si>
  <si>
    <t>已包含在土地取得成本中</t>
  </si>
  <si>
    <t>标准层高</t>
    <phoneticPr fontId="31" type="noConversion"/>
  </si>
  <si>
    <t>好</t>
  </si>
  <si>
    <t>金额（万元）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</si>
</sst>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7" fillId="22" borderId="0" xfId="0" applyFont="1" applyFill="1" applyProtection="1">
      <alignment vertical="center"/>
      <protection locked="0"/>
    </xf>
    <xf numFmtId="0" fontId="77" fillId="22" borderId="0" xfId="0" applyFont="1" applyFill="1" applyProtection="1">
      <alignment vertical="center"/>
      <protection locked="0"/>
    </xf>
    <xf numFmtId="0" fontId="19" fillId="22" borderId="0" xfId="0" applyFont="1" applyFill="1" applyAlignment="1" applyProtection="1">
      <alignment horizontal="center" vertical="center"/>
      <protection locked="0"/>
    </xf>
    <xf numFmtId="10" fontId="19" fillId="22" borderId="0" xfId="0" applyNumberFormat="1" applyFont="1" applyFill="1" applyAlignment="1" applyProtection="1">
      <alignment horizontal="center" vertical="center"/>
      <protection locked="0"/>
    </xf>
    <xf numFmtId="10" fontId="53" fillId="22" borderId="0" xfId="0" applyNumberFormat="1" applyFont="1" applyFill="1" applyAlignment="1" applyProtection="1">
      <alignment horizontal="center" vertical="center"/>
      <protection locked="0"/>
    </xf>
    <xf numFmtId="0" fontId="77" fillId="22" borderId="0" xfId="0" applyFont="1" applyFill="1" applyAlignment="1" applyProtection="1">
      <alignment horizontal="center" vertical="center" wrapText="1"/>
      <protection locked="0"/>
    </xf>
    <xf numFmtId="9" fontId="53" fillId="22" borderId="0" xfId="0" applyNumberFormat="1" applyFont="1" applyFill="1" applyAlignment="1" applyProtection="1">
      <alignment horizontal="center" vertical="center" wrapText="1"/>
      <protection locked="0"/>
    </xf>
    <xf numFmtId="0" fontId="77" fillId="6" borderId="0" xfId="0" applyFont="1" applyFill="1" applyProtection="1">
      <alignment vertical="center"/>
      <protection locked="0"/>
    </xf>
    <xf numFmtId="0" fontId="109" fillId="3" borderId="51" xfId="0" applyFont="1" applyFill="1" applyBorder="1" applyAlignment="1" applyProtection="1">
      <alignment vertical="center" wrapText="1"/>
      <protection locked="0"/>
    </xf>
    <xf numFmtId="0" fontId="109" fillId="6" borderId="21" xfId="0" applyFont="1" applyFill="1" applyBorder="1" applyAlignment="1">
      <alignment vertical="center" wrapText="1"/>
    </xf>
    <xf numFmtId="0" fontId="109" fillId="3" borderId="20" xfId="0" applyFont="1" applyFill="1" applyBorder="1" applyAlignment="1" applyProtection="1">
      <alignment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23" fillId="0" borderId="37" xfId="0" applyFont="1" applyBorder="1" applyAlignment="1" applyProtection="1">
      <alignment horizontal="center" vertical="center" wrapText="1"/>
      <protection locked="0"/>
    </xf>
    <xf numFmtId="0" fontId="123" fillId="6" borderId="0" xfId="0" applyFont="1" applyFill="1" applyAlignment="1" applyProtection="1">
      <alignment horizontal="center" vertical="center"/>
      <protection locked="0"/>
    </xf>
    <xf numFmtId="2" fontId="44" fillId="0" borderId="1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504229</xdr:colOff>
      <xdr:row>40</xdr:row>
      <xdr:rowOff>88000</xdr:rowOff>
    </xdr:to>
    <xdr:pic>
      <xdr:nvPicPr>
        <xdr:cNvPr id="2" name="图片 1">
          <a:extLst>
            <a:ext uri="{FF2B5EF4-FFF2-40B4-BE49-F238E27FC236}">
              <a16:creationId xmlns:a16="http://schemas.microsoft.com/office/drawing/2014/main" id="{F93547AE-EDAA-3395-29F5-FC022EC9834B}"/>
            </a:ext>
          </a:extLst>
        </xdr:cNvPr>
        <xdr:cNvPicPr>
          <a:picLocks noChangeAspect="1"/>
        </xdr:cNvPicPr>
      </xdr:nvPicPr>
      <xdr:blipFill>
        <a:blip xmlns:r="http://schemas.openxmlformats.org/officeDocument/2006/relationships" r:embed="rId1"/>
        <a:stretch>
          <a:fillRect/>
        </a:stretch>
      </xdr:blipFill>
      <xdr:spPr>
        <a:xfrm>
          <a:off x="0" y="0"/>
          <a:ext cx="4771429" cy="7200000"/>
        </a:xfrm>
        <a:prstGeom prst="rect">
          <a:avLst/>
        </a:prstGeom>
      </xdr:spPr>
    </xdr:pic>
    <xdr:clientData/>
  </xdr:twoCellAnchor>
  <xdr:twoCellAnchor editAs="oneCell">
    <xdr:from>
      <xdr:col>8</xdr:col>
      <xdr:colOff>0</xdr:colOff>
      <xdr:row>64</xdr:row>
      <xdr:rowOff>0</xdr:rowOff>
    </xdr:from>
    <xdr:to>
      <xdr:col>28</xdr:col>
      <xdr:colOff>265143</xdr:colOff>
      <xdr:row>120</xdr:row>
      <xdr:rowOff>157486</xdr:rowOff>
    </xdr:to>
    <xdr:pic>
      <xdr:nvPicPr>
        <xdr:cNvPr id="4" name="图片 3">
          <a:extLst>
            <a:ext uri="{FF2B5EF4-FFF2-40B4-BE49-F238E27FC236}">
              <a16:creationId xmlns:a16="http://schemas.microsoft.com/office/drawing/2014/main" id="{2E50B547-48ED-561E-EECA-496C47C67922}"/>
            </a:ext>
          </a:extLst>
        </xdr:cNvPr>
        <xdr:cNvPicPr>
          <a:picLocks noChangeAspect="1"/>
        </xdr:cNvPicPr>
      </xdr:nvPicPr>
      <xdr:blipFill>
        <a:blip xmlns:r="http://schemas.openxmlformats.org/officeDocument/2006/relationships" r:embed="rId2"/>
        <a:stretch>
          <a:fillRect/>
        </a:stretch>
      </xdr:blipFill>
      <xdr:spPr>
        <a:xfrm>
          <a:off x="4876800" y="11379200"/>
          <a:ext cx="12457143" cy="10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19286</xdr:colOff>
      <xdr:row>0</xdr:row>
      <xdr:rowOff>0</xdr:rowOff>
    </xdr:from>
    <xdr:to>
      <xdr:col>9</xdr:col>
      <xdr:colOff>5099</xdr:colOff>
      <xdr:row>30</xdr:row>
      <xdr:rowOff>122578</xdr:rowOff>
    </xdr:to>
    <xdr:pic>
      <xdr:nvPicPr>
        <xdr:cNvPr id="2" name="图片 1">
          <a:extLst>
            <a:ext uri="{FF2B5EF4-FFF2-40B4-BE49-F238E27FC236}">
              <a16:creationId xmlns:a16="http://schemas.microsoft.com/office/drawing/2014/main" id="{4FC8EB47-8DAA-A034-0202-EE0E8A2C08F8}"/>
            </a:ext>
          </a:extLst>
        </xdr:cNvPr>
        <xdr:cNvPicPr>
          <a:picLocks noChangeAspect="1"/>
        </xdr:cNvPicPr>
      </xdr:nvPicPr>
      <xdr:blipFill>
        <a:blip xmlns:r="http://schemas.openxmlformats.org/officeDocument/2006/relationships" r:embed="rId1"/>
        <a:stretch>
          <a:fillRect/>
        </a:stretch>
      </xdr:blipFill>
      <xdr:spPr>
        <a:xfrm>
          <a:off x="19286" y="0"/>
          <a:ext cx="5472213" cy="5456578"/>
        </a:xfrm>
        <a:prstGeom prst="rect">
          <a:avLst/>
        </a:prstGeom>
      </xdr:spPr>
    </xdr:pic>
    <xdr:clientData/>
  </xdr:twoCellAnchor>
  <xdr:twoCellAnchor editAs="oneCell">
    <xdr:from>
      <xdr:col>0</xdr:col>
      <xdr:colOff>50800</xdr:colOff>
      <xdr:row>29</xdr:row>
      <xdr:rowOff>146050</xdr:rowOff>
    </xdr:from>
    <xdr:to>
      <xdr:col>9</xdr:col>
      <xdr:colOff>125977</xdr:colOff>
      <xdr:row>60</xdr:row>
      <xdr:rowOff>163864</xdr:rowOff>
    </xdr:to>
    <xdr:pic>
      <xdr:nvPicPr>
        <xdr:cNvPr id="3" name="图片 2">
          <a:extLst>
            <a:ext uri="{FF2B5EF4-FFF2-40B4-BE49-F238E27FC236}">
              <a16:creationId xmlns:a16="http://schemas.microsoft.com/office/drawing/2014/main" id="{2E32557F-6CA7-0656-1178-F10025A517B4}"/>
            </a:ext>
          </a:extLst>
        </xdr:cNvPr>
        <xdr:cNvPicPr>
          <a:picLocks noChangeAspect="1"/>
        </xdr:cNvPicPr>
      </xdr:nvPicPr>
      <xdr:blipFill>
        <a:blip xmlns:r="http://schemas.openxmlformats.org/officeDocument/2006/relationships" r:embed="rId2"/>
        <a:stretch>
          <a:fillRect/>
        </a:stretch>
      </xdr:blipFill>
      <xdr:spPr>
        <a:xfrm>
          <a:off x="50800" y="5302250"/>
          <a:ext cx="5561577" cy="5529614"/>
        </a:xfrm>
        <a:prstGeom prst="rect">
          <a:avLst/>
        </a:prstGeom>
      </xdr:spPr>
    </xdr:pic>
    <xdr:clientData/>
  </xdr:twoCellAnchor>
  <xdr:twoCellAnchor editAs="oneCell">
    <xdr:from>
      <xdr:col>15</xdr:col>
      <xdr:colOff>6350</xdr:colOff>
      <xdr:row>0</xdr:row>
      <xdr:rowOff>0</xdr:rowOff>
    </xdr:from>
    <xdr:to>
      <xdr:col>24</xdr:col>
      <xdr:colOff>374650</xdr:colOff>
      <xdr:row>38</xdr:row>
      <xdr:rowOff>11932</xdr:rowOff>
    </xdr:to>
    <xdr:pic>
      <xdr:nvPicPr>
        <xdr:cNvPr id="4" name="图片 3">
          <a:extLst>
            <a:ext uri="{FF2B5EF4-FFF2-40B4-BE49-F238E27FC236}">
              <a16:creationId xmlns:a16="http://schemas.microsoft.com/office/drawing/2014/main" id="{99C1EE75-DA39-9120-6112-FB7BFA99E017}"/>
            </a:ext>
          </a:extLst>
        </xdr:cNvPr>
        <xdr:cNvPicPr>
          <a:picLocks noChangeAspect="1"/>
        </xdr:cNvPicPr>
      </xdr:nvPicPr>
      <xdr:blipFill>
        <a:blip xmlns:r="http://schemas.openxmlformats.org/officeDocument/2006/relationships" r:embed="rId3"/>
        <a:stretch>
          <a:fillRect/>
        </a:stretch>
      </xdr:blipFill>
      <xdr:spPr>
        <a:xfrm>
          <a:off x="9150350" y="0"/>
          <a:ext cx="5854700" cy="6768332"/>
        </a:xfrm>
        <a:prstGeom prst="rect">
          <a:avLst/>
        </a:prstGeom>
      </xdr:spPr>
    </xdr:pic>
    <xdr:clientData/>
  </xdr:twoCellAnchor>
  <xdr:twoCellAnchor editAs="oneCell">
    <xdr:from>
      <xdr:col>15</xdr:col>
      <xdr:colOff>456736</xdr:colOff>
      <xdr:row>54</xdr:row>
      <xdr:rowOff>171450</xdr:rowOff>
    </xdr:from>
    <xdr:to>
      <xdr:col>30</xdr:col>
      <xdr:colOff>137661</xdr:colOff>
      <xdr:row>100</xdr:row>
      <xdr:rowOff>102816</xdr:rowOff>
    </xdr:to>
    <xdr:pic>
      <xdr:nvPicPr>
        <xdr:cNvPr id="5" name="图片 4">
          <a:extLst>
            <a:ext uri="{FF2B5EF4-FFF2-40B4-BE49-F238E27FC236}">
              <a16:creationId xmlns:a16="http://schemas.microsoft.com/office/drawing/2014/main" id="{2295BAC5-C638-4D8B-8A77-AC18A71DD7D1}"/>
            </a:ext>
          </a:extLst>
        </xdr:cNvPr>
        <xdr:cNvPicPr>
          <a:picLocks noChangeAspect="1"/>
        </xdr:cNvPicPr>
      </xdr:nvPicPr>
      <xdr:blipFill>
        <a:blip xmlns:r="http://schemas.openxmlformats.org/officeDocument/2006/relationships" r:embed="rId4"/>
        <a:stretch>
          <a:fillRect/>
        </a:stretch>
      </xdr:blipFill>
      <xdr:spPr>
        <a:xfrm>
          <a:off x="9600736" y="9772650"/>
          <a:ext cx="8824925" cy="81101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24402;&#26723;\2025-1-0537-P01&#32418;&#37329;&#40857;&#22269;&#38469;&#20225;&#19994;&#28207;-&#21556;&#22992;-&#39044;&#35780;-&#37073;&#12289;&#21556;-1,2\P01\&#26368;&#32456;\2025-1-0537-P01&#32418;&#37329;&#40857;&#22269;&#38469;&#20225;&#19994;&#28207;&#27979;&#31639;&#34920;-&#21407;&#20540;&#21644;&#35013;&#20462;-&#20928;&#20540;&#26368;&#32456;&#20351;&#29992;&#31616;&#26131;&#35745;&#31246;.xlsx" TargetMode="External"/><Relationship Id="rId1" Type="http://schemas.openxmlformats.org/officeDocument/2006/relationships/externalLinkPath" Target="file:///E:\2025\&#24402;&#26723;\2025-1-0537-P01&#32418;&#37329;&#40857;&#22269;&#38469;&#20225;&#19994;&#28207;-&#21556;&#22992;-&#39044;&#35780;-&#37073;&#12289;&#21556;-1,2\P01\&#26368;&#32456;\2025-1-0537-P01&#32418;&#37329;&#40857;&#22269;&#38469;&#20225;&#19994;&#28207;&#27979;&#31639;&#34920;-&#21407;&#20540;&#21644;&#35013;&#20462;-&#20928;&#20540;&#26368;&#32456;&#20351;&#29992;&#31616;&#26131;&#35745;&#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酒店模型"/>
      <sheetName val="收益法（汇总）"/>
      <sheetName val="比较法-住宅"/>
      <sheetName val="比较法-商业"/>
      <sheetName val="比较法-办公"/>
      <sheetName val="结果表101"/>
      <sheetName val="结果表201"/>
      <sheetName val="结果表301"/>
      <sheetName val="结果表-101"/>
      <sheetName val="比较法-工业"/>
      <sheetName val="比较法-车位"/>
      <sheetName val="比较法-仓储"/>
      <sheetName val="土地比较法-住宅、综合"/>
      <sheetName val="土地比较法-工业"/>
      <sheetName val="典型户型修正"/>
      <sheetName val="基准地价（汇总）"/>
      <sheetName val="收益法 (元)"/>
      <sheetName val="面积信息"/>
      <sheetName val="售价案例"/>
      <sheetName val="中指交易信息表"/>
      <sheetName val="租金案例"/>
      <sheetName val="项目介绍"/>
      <sheetName val="修正"/>
      <sheetName val="容积率修正"/>
      <sheetName val="成本法（废）"/>
      <sheetName val="因素修正幅度"/>
      <sheetName val="区片价（范围）"/>
      <sheetName val="中指"/>
      <sheetName val="成本法 (元)"/>
      <sheetName val="基准地价修正"/>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8">
          <cell r="M18" t="str">
            <v>联东U谷</v>
          </cell>
        </row>
        <row r="19">
          <cell r="M19" t="str">
            <v>联东U谷</v>
          </cell>
        </row>
        <row r="20">
          <cell r="M20" t="str">
            <v>红金龙国际企业港</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估价对象为北京市房地产,属开发建设的工业项目，该项目尚在开发建设中。根据《国有土地使用证》[]，估价对象（分摊）出让国有建设用地使用权面积为0平方米，规划建筑面积为759.2平方米。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2025年12月3日</v>
      </c>
    </row>
    <row r="13" spans="1:2">
      <c r="A13" s="1119" t="s">
        <v>529</v>
      </c>
      <c r="B13" s="1120" t="str">
        <f>'预评函-1'!A18</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616</v>
      </c>
    </row>
    <row r="21" spans="1:2">
      <c r="A21" s="1119" t="s">
        <v>537</v>
      </c>
      <c r="B21" s="1120">
        <f ca="1">'预评函-2'!D7</f>
        <v>8114</v>
      </c>
    </row>
    <row r="22" spans="1:2">
      <c r="A22" s="1119" t="s">
        <v>538</v>
      </c>
      <c r="B22" s="1120" t="str">
        <f ca="1">'预评函-2'!D6</f>
        <v>陆佰壹拾陆万元整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616</v>
      </c>
    </row>
    <row r="31" spans="1:2">
      <c r="A31" s="1119" t="s">
        <v>576</v>
      </c>
      <c r="B31" s="1120">
        <f ca="1">'预评函-2'!D15</f>
        <v>8114</v>
      </c>
    </row>
    <row r="32" spans="1:2">
      <c r="A32" s="1119" t="s">
        <v>543</v>
      </c>
      <c r="B32" s="1120" t="str">
        <f ca="1">'预评函-2'!D14</f>
        <v>陆佰壹拾陆万元整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261</v>
      </c>
    </row>
    <row r="39" spans="1:2">
      <c r="A39" s="1119" t="s">
        <v>545</v>
      </c>
      <c r="B39" s="1120">
        <f ca="1">'预评函-2'!D21</f>
        <v>3438</v>
      </c>
    </row>
    <row r="40" spans="1:2">
      <c r="A40" s="1119" t="s">
        <v>546</v>
      </c>
      <c r="B40" s="1120" t="str">
        <f ca="1">'预评函-2'!D20</f>
        <v>贰佰陆拾壹万元整</v>
      </c>
    </row>
    <row r="41" spans="1:2">
      <c r="A41" s="1119" t="s">
        <v>592</v>
      </c>
      <c r="B41" s="1120" t="str">
        <f>'预评函-3'!A4</f>
        <v>北京市房地产</v>
      </c>
    </row>
    <row r="42" spans="1:2" ht="30">
      <c r="A42" s="1119" t="s">
        <v>590</v>
      </c>
      <c r="B42" s="1120" t="str">
        <f>'预评函-3'!B2</f>
        <v>建筑面积</v>
      </c>
    </row>
    <row r="43" spans="1:2">
      <c r="A43" s="1119" t="s">
        <v>591</v>
      </c>
      <c r="B43" s="1120">
        <f>'预评函-3'!B4</f>
        <v>759.2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7" t="s">
        <v>385</v>
      </c>
      <c r="C54" s="1445" t="s">
        <v>583</v>
      </c>
    </row>
    <row r="55" spans="1:4">
      <c r="A55" s="3238"/>
      <c r="B55" s="1447" t="s">
        <v>386</v>
      </c>
      <c r="C55" s="1445" t="s">
        <v>584</v>
      </c>
    </row>
    <row r="56" spans="1:4">
      <c r="A56" s="3238"/>
      <c r="B56" s="1447" t="s">
        <v>387</v>
      </c>
      <c r="C56" s="1445" t="s">
        <v>588</v>
      </c>
    </row>
    <row r="57" spans="1:4">
      <c r="A57" s="323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39" t="s">
        <v>2580</v>
      </c>
      <c r="J2" s="3239"/>
      <c r="K2" s="3239"/>
      <c r="L2" s="3239"/>
      <c r="M2" s="3239"/>
      <c r="N2" s="3239"/>
      <c r="O2" s="3239"/>
      <c r="P2" s="3239"/>
      <c r="Q2" s="3239"/>
      <c r="R2" s="3239"/>
    </row>
    <row r="3" spans="1:18">
      <c r="A3" s="2763" t="s">
        <v>2501</v>
      </c>
      <c r="B3" s="2764">
        <f>项目基本情况!D3</f>
        <v>45994</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11.05</v>
      </c>
      <c r="D6" s="2768">
        <f>IF(ISERROR(ROUND(POWER(1+E6,A6-C6)*(POWER(1+E6,C6)-1)/(POWER(1+E6,A6)-1),3)),0,ROUND(POWER(1+E6,A6-C6)*(POWER(1+E6,C6)-1)/(POWER(1+E6,A6)-1),4))</f>
        <v>0.4093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31.06</v>
      </c>
      <c r="D7" s="2768">
        <f>IF(ISERROR(ROUND(POWER(1+E7,A7-C7)*(POWER(1+E7,C7)-1)/(POWER(1+E7,A7)-1),3)),0,ROUND(POWER(1+E7,A7-C7)*(POWER(1+E7,C7)-1)/(POWER(1+E7,A7)-1),4))</f>
        <v>0.75260000000000005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3" zoomScaleNormal="100" zoomScaleSheetLayoutView="100" workbookViewId="0">
      <selection activeCell="E38" sqref="E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0" t="str">
        <f>IF(B10="北京市","北京市",C10)&amp;F10&amp;IF(结果表!G1="在建","出让国有建设用地使用权及在建建筑物",IF(结果表!G1="土地","出让国有建设用地使用权",))&amp;B9&amp;"预评估"</f>
        <v>北京市房地产抵押价值预评估</v>
      </c>
      <c r="C1" s="3241"/>
      <c r="D1" s="3241"/>
      <c r="E1" s="3241"/>
      <c r="F1" s="3241"/>
      <c r="G1" s="3241"/>
      <c r="H1" s="3241"/>
      <c r="I1" s="324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45994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3419</v>
      </c>
      <c r="C8" s="2201"/>
      <c r="D8" s="3243" t="s">
        <v>2177</v>
      </c>
      <c r="E8" s="2202" t="s">
        <v>3420</v>
      </c>
      <c r="F8" s="2203"/>
      <c r="G8" s="2442"/>
      <c r="H8" s="2442"/>
      <c r="I8" s="2442"/>
      <c r="J8" s="2245"/>
      <c r="K8" s="2400"/>
      <c r="L8" s="2399"/>
      <c r="M8" s="2399"/>
      <c r="N8" s="2245"/>
      <c r="O8" s="1670"/>
      <c r="P8" s="2245"/>
      <c r="Q8" s="2245"/>
      <c r="R8" s="2245"/>
    </row>
    <row r="9" spans="1:30" ht="13.5" thickBot="1">
      <c r="A9" s="2204" t="s">
        <v>2178</v>
      </c>
      <c r="B9" s="2205" t="s">
        <v>3420</v>
      </c>
      <c r="C9" s="2206"/>
      <c r="D9" s="3244"/>
      <c r="E9" s="2205" t="s">
        <v>587</v>
      </c>
      <c r="F9" s="2207"/>
      <c r="G9" s="2443"/>
      <c r="H9" s="2443"/>
      <c r="I9" s="2443"/>
      <c r="J9" s="2245"/>
      <c r="K9" s="2402"/>
      <c r="L9" s="2399"/>
      <c r="M9" s="2399"/>
      <c r="N9" s="2245"/>
      <c r="O9" s="1670"/>
      <c r="P9" s="2245"/>
      <c r="Q9" s="2245"/>
      <c r="R9" s="2245"/>
    </row>
    <row r="10" spans="1:30" ht="13.5" thickTop="1">
      <c r="A10" s="2208" t="s">
        <v>2179</v>
      </c>
      <c r="B10" s="2209" t="s">
        <v>3417</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t="s">
        <v>3418</v>
      </c>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v>55635</v>
      </c>
      <c r="I13" s="803"/>
      <c r="J13" s="2803"/>
      <c r="K13" s="2399"/>
      <c r="L13" s="2399"/>
      <c r="M13" s="2245"/>
      <c r="N13" s="1670"/>
      <c r="O13" s="2245"/>
      <c r="P13" s="2245"/>
      <c r="Q13" s="2245"/>
      <c r="AD13" s="1618"/>
    </row>
    <row r="14" spans="1:30" ht="13">
      <c r="A14" s="1018"/>
      <c r="B14" s="2218" t="s">
        <v>2191</v>
      </c>
      <c r="C14" s="2219"/>
      <c r="D14" s="2219"/>
      <c r="E14" s="2219"/>
      <c r="F14" s="2219"/>
      <c r="G14" s="2219"/>
      <c r="H14" s="2219">
        <v>50</v>
      </c>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26.41</v>
      </c>
      <c r="I15" s="2221" t="str">
        <f>IF(A13="出让",IF(I13="","",ROUNDDOWN(MIN((I13-$D$3)/365,I14),2)),I14)</f>
        <v/>
      </c>
      <c r="J15" s="2805"/>
      <c r="K15" s="1670"/>
      <c r="L15" s="1670"/>
      <c r="M15" s="2245"/>
      <c r="N15" s="1670"/>
      <c r="O15" s="2245"/>
      <c r="P15" s="2245"/>
      <c r="Q15" s="2245"/>
      <c r="AD15" s="1618"/>
    </row>
    <row r="16" spans="1:30" ht="13">
      <c r="A16" s="2211" t="s">
        <v>2193</v>
      </c>
      <c r="B16" s="3250"/>
      <c r="C16" s="3251"/>
      <c r="D16" s="3252"/>
      <c r="E16" s="2222" t="s">
        <v>2194</v>
      </c>
      <c r="F16" s="3253"/>
      <c r="G16" s="3254"/>
      <c r="H16" s="3254"/>
      <c r="I16" s="3255"/>
      <c r="J16" s="2245"/>
      <c r="K16" s="2403"/>
      <c r="L16" s="1670"/>
      <c r="M16" s="1670"/>
      <c r="N16" s="2245"/>
      <c r="O16" s="1670"/>
      <c r="P16" s="2245"/>
      <c r="Q16" s="2245"/>
      <c r="R16" s="2245"/>
    </row>
    <row r="17" spans="1:28" ht="13">
      <c r="A17" s="305" t="s">
        <v>2195</v>
      </c>
      <c r="B17" s="294" t="s">
        <v>2196</v>
      </c>
      <c r="C17" s="8">
        <f>'数据-汇总表'!E3</f>
        <v>759.2</v>
      </c>
      <c r="D17" s="1256" t="s">
        <v>2197</v>
      </c>
      <c r="E17" s="3256" t="s">
        <v>2198</v>
      </c>
      <c r="F17" s="3257"/>
      <c r="G17" s="3257"/>
      <c r="H17" s="3257"/>
      <c r="I17" s="325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59" t="s">
        <v>2202</v>
      </c>
      <c r="F18" s="3260"/>
      <c r="G18" s="3260"/>
      <c r="H18" s="3260"/>
      <c r="I18" s="3261"/>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46" t="s">
        <v>2206</v>
      </c>
      <c r="C20" s="3247"/>
      <c r="D20" s="3248" t="s">
        <v>2207</v>
      </c>
      <c r="E20" s="3249"/>
      <c r="F20" s="2430" t="s">
        <v>1056</v>
      </c>
      <c r="G20" s="2442"/>
      <c r="H20" s="2442"/>
      <c r="I20" s="2442"/>
      <c r="J20" s="2245"/>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3"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6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6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64"/>
      <c r="B30" s="294" t="s">
        <v>2218</v>
      </c>
      <c r="C30" s="3265"/>
      <c r="D30" s="3266"/>
      <c r="E30" s="2442"/>
      <c r="F30" s="2442"/>
      <c r="G30" s="2442"/>
      <c r="H30" s="2442"/>
      <c r="I30" s="2442"/>
      <c r="J30" s="2245"/>
      <c r="K30" s="2402"/>
      <c r="L30" s="2399"/>
      <c r="M30" s="2399"/>
      <c r="N30" s="2245"/>
      <c r="O30" s="1670"/>
      <c r="P30" s="2245"/>
      <c r="Q30" s="2245"/>
      <c r="R30" s="2245"/>
      <c r="S30" s="2245"/>
      <c r="T30" s="2245"/>
      <c r="U30" s="2245"/>
      <c r="V30" s="2245"/>
    </row>
    <row r="31" spans="1:28">
      <c r="A31" s="3267" t="s">
        <v>2219</v>
      </c>
      <c r="B31" s="2231" t="s">
        <v>3422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5"/>
      <c r="V34" s="2245"/>
    </row>
    <row r="35" spans="1:30">
      <c r="A35" s="2236"/>
      <c r="B35" s="3262" t="s">
        <v>2229</v>
      </c>
      <c r="C35" s="3262"/>
      <c r="D35" s="3262"/>
      <c r="E35" s="326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3005</v>
      </c>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759.2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759.2</v>
      </c>
      <c r="H5" s="13">
        <f t="shared" ref="H5:AT5" si="0">SUM(H13:H656)</f>
        <v>759.2</v>
      </c>
      <c r="I5" s="13">
        <f t="shared" si="0"/>
        <v>759.2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759.2</v>
      </c>
      <c r="BA5" s="15">
        <f t="shared" si="1"/>
        <v>759.2</v>
      </c>
      <c r="BB5" s="15">
        <f t="shared" si="1"/>
        <v>759.2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3423</v>
      </c>
      <c r="E13" s="13">
        <f>IF($C$3="是",ROUND($A$3*G13/$B$3,2),ROUND($A$3*(G13-AT13)/$B$3,2))</f>
        <v>0</v>
      </c>
      <c r="F13" s="29"/>
      <c r="G13" s="30">
        <f>H13+AC13+AT13</f>
        <v>759.2</v>
      </c>
      <c r="H13" s="17">
        <f>SUMIF(I$12:AB$12,"总值",I13:AB13)</f>
        <v>759.2</v>
      </c>
      <c r="I13" s="1514">
        <v>759.2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759.2</v>
      </c>
      <c r="BA13" s="13">
        <f>SUM(BB13:BK13)</f>
        <v>759.2</v>
      </c>
      <c r="BB13" s="13">
        <f>IF($D13="是",I13-J13,0)</f>
        <v>759.2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78" t="s">
        <v>1131</v>
      </c>
      <c r="B2" s="3278"/>
      <c r="C2" s="3278"/>
      <c r="D2" s="748" t="s">
        <v>1107</v>
      </c>
      <c r="E2" s="1523" t="s">
        <v>1108</v>
      </c>
      <c r="F2" s="2439"/>
      <c r="G2" s="2432"/>
      <c r="H2" s="2433"/>
      <c r="I2" s="2146" t="s">
        <v>1132</v>
      </c>
      <c r="J2" s="2439"/>
      <c r="K2" s="2439"/>
      <c r="L2" s="2439"/>
      <c r="M2" s="2439"/>
      <c r="N2" s="2440"/>
      <c r="O2" s="2439"/>
      <c r="P2" s="2439"/>
    </row>
    <row r="3" spans="1:16" ht="14.5" thickBot="1">
      <c r="A3" s="3279" t="s">
        <v>1105</v>
      </c>
      <c r="B3" s="3279"/>
      <c r="C3" s="3279"/>
      <c r="D3" s="41">
        <f>'数据-基础表'!AY6</f>
        <v>0</v>
      </c>
      <c r="E3" s="41">
        <f>'数据-基础表'!AZ5</f>
        <v>759.2</v>
      </c>
      <c r="F3" s="2439"/>
      <c r="G3" s="42"/>
      <c r="H3" s="43" t="s">
        <v>1106</v>
      </c>
      <c r="I3" s="802" t="e">
        <f>ROUND('数据-基础表'!B3/'数据-基础表'!A3,2)</f>
        <v>#DIV/0!</v>
      </c>
      <c r="J3" s="2439"/>
      <c r="K3" s="2439"/>
      <c r="L3" s="2439"/>
      <c r="M3" s="2439"/>
      <c r="N3" s="2440"/>
      <c r="O3" s="2439"/>
      <c r="P3" s="2439"/>
    </row>
    <row r="4" spans="1:16">
      <c r="A4" s="3280"/>
      <c r="B4" s="3281"/>
      <c r="C4" s="328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3" t="s">
        <v>1110</v>
      </c>
      <c r="C5" s="328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83" t="s">
        <v>1111</v>
      </c>
      <c r="C6" s="3283"/>
      <c r="D6" s="43">
        <f>ROUND($D$3*E6/$E$3,2)</f>
        <v>0</v>
      </c>
      <c r="E6" s="44">
        <f>E3-E5</f>
        <v>759.2</v>
      </c>
      <c r="F6" s="2439"/>
      <c r="G6" s="1529" t="s">
        <v>1112</v>
      </c>
      <c r="H6" s="45" t="s">
        <v>1113</v>
      </c>
      <c r="I6" s="2435" t="e">
        <f>ROUND(F31/D31,2)</f>
        <v>#DIV/0!</v>
      </c>
      <c r="J6" s="2439"/>
      <c r="K6" s="2439"/>
      <c r="L6" s="2439"/>
      <c r="M6" s="2439"/>
      <c r="N6" s="2439"/>
      <c r="O6" s="2439"/>
      <c r="P6" s="2439"/>
    </row>
    <row r="7" spans="1:16" ht="14.5" thickBot="1">
      <c r="A7" s="3275"/>
      <c r="B7" s="3276"/>
      <c r="C7" s="3277"/>
      <c r="D7" s="1524" t="s">
        <v>1107</v>
      </c>
      <c r="E7" s="1528" t="s">
        <v>1114</v>
      </c>
      <c r="F7" s="2439"/>
      <c r="G7" s="2436" t="s">
        <v>1115</v>
      </c>
      <c r="H7" s="95"/>
      <c r="I7" s="2437">
        <v>2.4900000000000002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759.2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759.2</v>
      </c>
      <c r="F16" s="2439"/>
      <c r="G16" s="2439"/>
      <c r="H16" s="1531" t="s">
        <v>1135</v>
      </c>
      <c r="I16" s="1532"/>
      <c r="J16" s="1071"/>
      <c r="K16" s="3272" t="s">
        <v>1135</v>
      </c>
      <c r="L16" s="3273"/>
      <c r="M16" s="3273"/>
      <c r="N16" s="3273"/>
      <c r="O16" s="3273"/>
      <c r="P16" s="3274"/>
    </row>
    <row r="17" spans="1:19">
      <c r="A17" s="1533" t="s">
        <v>1136</v>
      </c>
      <c r="B17" s="1534" t="s">
        <v>1137</v>
      </c>
      <c r="C17" s="1535" t="s">
        <v>1138</v>
      </c>
      <c r="D17" s="1536" t="s">
        <v>1126</v>
      </c>
      <c r="E17" s="1537" t="s">
        <v>1127</v>
      </c>
      <c r="F17" s="1538"/>
      <c r="G17" s="1539"/>
      <c r="H17" s="1540" t="s">
        <v>1139</v>
      </c>
      <c r="I17" s="1541" t="s">
        <v>1124</v>
      </c>
      <c r="J17" s="1071"/>
      <c r="K17" s="3269" t="s">
        <v>1140</v>
      </c>
      <c r="L17" s="3270"/>
      <c r="M17" s="3271"/>
      <c r="N17" s="3269" t="s">
        <v>1141</v>
      </c>
      <c r="O17" s="3270"/>
      <c r="P17" s="327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301</v>
      </c>
      <c r="D19" s="43">
        <f>ROUND($D$3*E19/$E$3,2)</f>
        <v>0</v>
      </c>
      <c r="E19" s="51">
        <f t="shared" ref="E19:E26" si="1">SUM(F19:G19)</f>
        <v>759.2</v>
      </c>
      <c r="F19" s="2558">
        <f>'数据-基础表'!G13</f>
        <v>759.2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759.2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759.2</v>
      </c>
      <c r="F27" s="1072">
        <f>IF(SUM(F19:F26)=E8,SUM(F19:F26),"地上面积有误")</f>
        <v>759.2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759.2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759.2</v>
      </c>
      <c r="F31" s="644">
        <f>F27+F30</f>
        <v>759.2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301</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26.41</v>
      </c>
      <c r="G6" s="62">
        <f>IF(ISERROR(ROUND(POWER(1+H6,D6-F6)*(POWER(1+H6,F6)-1)/(POWER(1+H6,D6)-1),3)),0,ROUND(POWER(1+H6,D6-F6)*(POWER(1+H6,F6)-1)/(POWER(1+H6,D6)-1),3))</f>
        <v>0.79400000000000004</v>
      </c>
      <c r="H6" s="691">
        <v>0.05</v>
      </c>
      <c r="I6" s="691">
        <v>5.5E-2</v>
      </c>
      <c r="J6" s="63">
        <v>7.0000000000000007E-2</v>
      </c>
      <c r="K6" s="970">
        <f>SUMIF('数据-汇总表'!C$19:C$33,A6,'数据-汇总表'!E$19:E$33)</f>
        <v>759.2</v>
      </c>
      <c r="L6" s="692">
        <v>4000</v>
      </c>
      <c r="M6" s="64">
        <f t="shared" ref="M6:M14" si="0">ROUND(K6*L6/10000,0)</f>
        <v>304</v>
      </c>
      <c r="N6" s="690">
        <f>N19</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v>
      </c>
      <c r="V6" s="67">
        <v>0.02</v>
      </c>
      <c r="W6" s="67">
        <v>0.1</v>
      </c>
      <c r="X6" s="979"/>
      <c r="Y6" s="68">
        <f>N6</f>
        <v>0.8</v>
      </c>
      <c r="Z6" s="69"/>
      <c r="AA6" s="63"/>
      <c r="AB6" s="63"/>
      <c r="AC6" s="979"/>
      <c r="AD6" s="70"/>
      <c r="AE6" s="980">
        <f ca="1">IF(AN6="",0,SUMIF(INDIRECT("'"&amp;AN6&amp;"'"&amp;"!E:E"),$AE$5,INDIRECT("'"&amp;AN6&amp;"'"&amp;"!F:F")))</f>
        <v>26.41</v>
      </c>
      <c r="AF6" s="74"/>
      <c r="AG6" s="130">
        <f>IF(AF6="",0,AE6-AF6)</f>
        <v>0</v>
      </c>
      <c r="AH6" s="71"/>
      <c r="AI6" s="73">
        <v>365</v>
      </c>
      <c r="AJ6" s="74"/>
      <c r="AK6" s="75">
        <v>5.0000000000000001E-3</v>
      </c>
      <c r="AL6" s="76">
        <v>1E-3</v>
      </c>
      <c r="AM6" s="77">
        <v>5.0000000000000001E-3</v>
      </c>
      <c r="AN6" s="1589" t="s">
        <v>3433</v>
      </c>
      <c r="AO6" s="50">
        <f ca="1">SUMIF(INDIRECT("'"&amp;AN6&amp;"'"&amp;"!A:A"),"总价",INDIRECT("'"&amp;AN6&amp;"'"&amp;"!B:B"))</f>
        <v>332.2885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759.2</v>
      </c>
      <c r="L16" s="87">
        <f>ROUND(M16*10000/SUM(K6:K14),0)</f>
        <v>4004</v>
      </c>
      <c r="M16" s="87">
        <f>SUM(M6:M14)</f>
        <v>304</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0" t="s">
        <v>3426</v>
      </c>
      <c r="N18" s="2449">
        <v>2015</v>
      </c>
      <c r="O18" s="3170" t="s">
        <v>3427</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3170" t="s">
        <v>3428</v>
      </c>
      <c r="N19" s="2449">
        <f>ROUND(1-(1-0)*(2025-N18)/50,2)</f>
        <v>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f>C59</f>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84" t="s">
        <v>2286</v>
      </c>
      <c r="B1" s="3285"/>
      <c r="C1" s="3285"/>
      <c r="D1" s="3285"/>
      <c r="E1" s="3285"/>
      <c r="F1" s="3285"/>
      <c r="G1" s="328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0" sqref="G10"/>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759.2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45994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616</v>
      </c>
      <c r="C5" s="2300">
        <f ca="1">IF(B5=D14,结果表!H102,ROUND(B5*10000/$B$1,0))</f>
        <v>8114</v>
      </c>
      <c r="D5" s="2300" t="e">
        <f ca="1">ROUND(B5*10000/$B$2,0)</f>
        <v>#DIV/0!</v>
      </c>
      <c r="E5" s="2462"/>
      <c r="F5" s="2463"/>
      <c r="G5" s="2463"/>
      <c r="H5" s="2463"/>
      <c r="I5" s="2463"/>
      <c r="J5" s="2463"/>
      <c r="K5" s="2463"/>
    </row>
    <row r="6" spans="1:11" ht="16.5">
      <c r="A6" s="2300" t="s">
        <v>656</v>
      </c>
      <c r="B6" s="2300">
        <f ca="1">SUM(G14:G23)</f>
        <v>616</v>
      </c>
      <c r="C6" s="2300">
        <f ca="1">IF(B6=G14,结果表!H108,ROUND(B6*10000/$B$1,0))</f>
        <v>8114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f ca="1">IF(B8=I14,结果表!H112,ROUND(B8*10000/$B$1,0))</f>
        <v>3438</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759.2</v>
      </c>
      <c r="C14" s="2306"/>
      <c r="D14" s="2306">
        <f ca="1">结果表!H118</f>
        <v>616</v>
      </c>
      <c r="E14" s="2306">
        <f ca="1">结果表!I118</f>
        <v>8114</v>
      </c>
      <c r="F14" s="2306" t="e">
        <f ca="1">ROUND(D14*10000/C14,0)</f>
        <v>#DIV/0!</v>
      </c>
      <c r="G14" s="2306">
        <f ca="1">D14</f>
        <v>616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0" zoomScaleNormal="100" zoomScaleSheetLayoutView="100" zoomScalePageLayoutView="80" workbookViewId="0">
      <selection activeCell="I29" sqref="I2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301</v>
      </c>
      <c r="D1" s="646"/>
      <c r="E1" s="646"/>
      <c r="F1" s="1621" t="s">
        <v>1263</v>
      </c>
      <c r="G1" s="1453"/>
      <c r="H1" s="1621" t="str">
        <f>IF(G1="现房","——","估价对象范围")</f>
        <v>估价对象范围</v>
      </c>
      <c r="I1" s="1622"/>
    </row>
    <row r="2" spans="1:12" ht="21.75" customHeight="1" thickBot="1">
      <c r="A2" s="3353" t="str">
        <f>项目基本情况!S2</f>
        <v>北京市房地产</v>
      </c>
      <c r="B2" s="3354"/>
      <c r="C2" s="3354"/>
      <c r="D2" s="3354"/>
      <c r="E2" s="3354"/>
      <c r="F2" s="3354"/>
      <c r="G2" s="3354"/>
      <c r="H2" s="3354"/>
      <c r="I2" s="3355"/>
    </row>
    <row r="3" spans="1:12" ht="13">
      <c r="A3" s="3357" t="s">
        <v>1264</v>
      </c>
      <c r="B3" s="3358"/>
      <c r="C3" s="3358"/>
      <c r="D3" s="3358"/>
      <c r="E3" s="3358"/>
      <c r="F3" s="3358"/>
      <c r="G3" s="3358"/>
      <c r="H3" s="3358"/>
      <c r="I3" s="3358"/>
    </row>
    <row r="4" spans="1:12" ht="14">
      <c r="A4" s="1624" t="s">
        <v>1265</v>
      </c>
      <c r="B4" s="1625" t="s">
        <v>1266</v>
      </c>
      <c r="C4" s="1626" t="s">
        <v>3458</v>
      </c>
      <c r="D4" s="1626" t="s">
        <v>3433</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301" t="s">
        <v>1268</v>
      </c>
      <c r="B5" s="3356">
        <v>25</v>
      </c>
      <c r="C5" s="3359"/>
      <c r="D5" s="3347"/>
      <c r="E5" s="123" t="s">
        <v>1269</v>
      </c>
      <c r="F5" s="1627"/>
      <c r="G5" s="1627"/>
      <c r="H5" s="1627"/>
      <c r="I5" s="1281"/>
    </row>
    <row r="6" spans="1:12" ht="13">
      <c r="A6" s="3301"/>
      <c r="B6" s="3356"/>
      <c r="C6" s="3361"/>
      <c r="D6" s="3347"/>
      <c r="E6" s="123" t="s">
        <v>1270</v>
      </c>
      <c r="F6" s="1627"/>
      <c r="G6" s="1627"/>
      <c r="H6" s="1627"/>
      <c r="I6" s="1281"/>
    </row>
    <row r="7" spans="1:12" ht="13">
      <c r="A7" s="3301"/>
      <c r="B7" s="3356"/>
      <c r="C7" s="3360"/>
      <c r="D7" s="3347"/>
      <c r="E7" s="123" t="s">
        <v>1271</v>
      </c>
      <c r="F7" s="1627"/>
      <c r="G7" s="1627"/>
      <c r="H7" s="1627"/>
      <c r="I7" s="1281"/>
    </row>
    <row r="8" spans="1:12" ht="13">
      <c r="A8" s="3301" t="s">
        <v>1272</v>
      </c>
      <c r="B8" s="3356">
        <v>15</v>
      </c>
      <c r="C8" s="3359"/>
      <c r="D8" s="3347"/>
      <c r="E8" s="123" t="s">
        <v>1273</v>
      </c>
      <c r="F8" s="1627"/>
      <c r="G8" s="1627"/>
      <c r="H8" s="1627"/>
      <c r="I8" s="1281"/>
    </row>
    <row r="9" spans="1:12" ht="13">
      <c r="A9" s="3301"/>
      <c r="B9" s="3356"/>
      <c r="C9" s="3360"/>
      <c r="D9" s="3347"/>
      <c r="E9" s="123" t="s">
        <v>1274</v>
      </c>
      <c r="F9" s="1627"/>
      <c r="G9" s="1627"/>
      <c r="H9" s="1627"/>
      <c r="I9" s="1281"/>
    </row>
    <row r="10" spans="1:12" ht="13">
      <c r="A10" s="3301" t="s">
        <v>1275</v>
      </c>
      <c r="B10" s="3356">
        <v>15</v>
      </c>
      <c r="C10" s="3359"/>
      <c r="D10" s="3347"/>
      <c r="E10" s="123" t="s">
        <v>1276</v>
      </c>
      <c r="F10" s="1627"/>
      <c r="G10" s="1627"/>
      <c r="H10" s="1627"/>
      <c r="I10" s="1281"/>
    </row>
    <row r="11" spans="1:12" ht="13">
      <c r="A11" s="3301"/>
      <c r="B11" s="3356"/>
      <c r="C11" s="3360"/>
      <c r="D11" s="3347"/>
      <c r="E11" s="123" t="s">
        <v>1277</v>
      </c>
      <c r="F11" s="1627"/>
      <c r="G11" s="1627"/>
      <c r="H11" s="1627"/>
      <c r="I11" s="1281"/>
    </row>
    <row r="12" spans="1:12" ht="13">
      <c r="A12" s="3301" t="s">
        <v>1278</v>
      </c>
      <c r="B12" s="3356">
        <v>15</v>
      </c>
      <c r="C12" s="3359"/>
      <c r="D12" s="3347"/>
      <c r="E12" s="123" t="s">
        <v>1279</v>
      </c>
      <c r="F12" s="1627"/>
      <c r="G12" s="1627"/>
      <c r="H12" s="1627"/>
      <c r="I12" s="1281"/>
    </row>
    <row r="13" spans="1:12" ht="13">
      <c r="A13" s="3301"/>
      <c r="B13" s="3356"/>
      <c r="C13" s="3360"/>
      <c r="D13" s="3347"/>
      <c r="E13" s="123" t="s">
        <v>1280</v>
      </c>
      <c r="F13" s="1627"/>
      <c r="G13" s="1627"/>
      <c r="H13" s="1627"/>
      <c r="I13" s="1281"/>
    </row>
    <row r="14" spans="1:12" ht="13">
      <c r="A14" s="3301" t="s">
        <v>1281</v>
      </c>
      <c r="B14" s="3356">
        <v>30</v>
      </c>
      <c r="C14" s="3359">
        <v>7</v>
      </c>
      <c r="D14" s="3347">
        <v>3</v>
      </c>
      <c r="E14" s="123" t="s">
        <v>1282</v>
      </c>
      <c r="F14" s="1627"/>
      <c r="G14" s="1627"/>
      <c r="H14" s="1627"/>
      <c r="I14" s="1281"/>
    </row>
    <row r="15" spans="1:12" ht="13">
      <c r="A15" s="3301"/>
      <c r="B15" s="3356"/>
      <c r="C15" s="3361"/>
      <c r="D15" s="3347"/>
      <c r="E15" s="123" t="s">
        <v>1283</v>
      </c>
      <c r="F15" s="1627"/>
      <c r="G15" s="1627"/>
      <c r="H15" s="1627"/>
      <c r="I15" s="1281"/>
    </row>
    <row r="16" spans="1:12" ht="13">
      <c r="A16" s="3301"/>
      <c r="B16" s="3356"/>
      <c r="C16" s="3360"/>
      <c r="D16" s="3347"/>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78" t="s">
        <v>2131</v>
      </c>
      <c r="F18" s="3379"/>
      <c r="G18" s="3379"/>
      <c r="H18" s="3379"/>
      <c r="I18" s="3379"/>
      <c r="K18" s="294" t="s">
        <v>1289</v>
      </c>
      <c r="L18" s="294">
        <f>IF(C1="",'数据-汇总表'!E3,SUMIF(项目类型,C1,'数据-汇总表'!E17:E26)+SUMIF(项目类型,C1,'数据-汇总表'!I17:I26))</f>
        <v>759.2</v>
      </c>
      <c r="M18" s="294">
        <f>IF(C1="",'数据-汇总表'!E3,SUMIF(项目类型,C1,'数据-汇总表'!E17:E26))</f>
        <v>759.2</v>
      </c>
    </row>
    <row r="19" spans="1:36" ht="14">
      <c r="A19" s="1630" t="s">
        <v>1290</v>
      </c>
      <c r="B19" s="1631" t="s">
        <v>1291</v>
      </c>
      <c r="C19" s="126">
        <f ca="1">SUMIF(INDIRECT("'"&amp;C4&amp;"'"&amp;"!A:A"),结果表!B19,INDIRECT("'"&amp;C4&amp;"'"&amp;"!B:B"))</f>
        <v>737.63869999999997</v>
      </c>
      <c r="D19" s="127">
        <f ca="1">SUMIF(INDIRECT("'"&amp;D4&amp;"'"&amp;"!A:A"),结果表!B19,INDIRECT("'"&amp;D4&amp;"'"&amp;"!B:B"))</f>
        <v>332.2885</v>
      </c>
      <c r="E19" s="1630" t="s">
        <v>1292</v>
      </c>
      <c r="F19" s="1631" t="s">
        <v>1291</v>
      </c>
      <c r="G19" s="128">
        <f ca="1">ROUND(C19*$C$18+D19*$D$18,0)</f>
        <v>616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9716</v>
      </c>
      <c r="D20" s="130">
        <f ca="1">SUMIF(INDIRECT("'"&amp;D4&amp;"'"&amp;"!A:A"),结果表!B20,INDIRECT("'"&amp;D4&amp;"'"&amp;"!B:B"))</f>
        <v>4377</v>
      </c>
      <c r="E20" s="1633"/>
      <c r="F20" s="43" t="s">
        <v>1295</v>
      </c>
      <c r="G20" s="131">
        <f ca="1">ROUND(C20*$C$18+D20*$D$18,0)</f>
        <v>8114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1.2198742959807514</v>
      </c>
      <c r="E22" s="121"/>
      <c r="F22" s="121"/>
      <c r="G22" s="121"/>
      <c r="H22" s="121"/>
      <c r="I22" s="121"/>
    </row>
    <row r="23" spans="1:36" ht="13" thickBot="1">
      <c r="A23" s="646"/>
      <c r="B23" s="646"/>
      <c r="C23" s="646"/>
      <c r="D23" s="646"/>
      <c r="E23" s="121"/>
      <c r="F23" s="121"/>
      <c r="G23" s="121"/>
      <c r="H23" s="121"/>
      <c r="I23" s="121"/>
    </row>
    <row r="24" spans="1:36" ht="14">
      <c r="A24" s="3371" t="s">
        <v>1299</v>
      </c>
      <c r="B24" s="1631" t="s">
        <v>1291</v>
      </c>
      <c r="C24" s="128">
        <f>IF(B30=0,0,D30)</f>
        <v>0</v>
      </c>
      <c r="D24" s="1637"/>
      <c r="E24" s="121"/>
      <c r="F24" s="3181"/>
      <c r="G24" s="3182" t="s">
        <v>3459</v>
      </c>
      <c r="H24" s="3188" t="s">
        <v>3484</v>
      </c>
      <c r="I24" s="121"/>
    </row>
    <row r="25" spans="1:36" ht="14">
      <c r="A25" s="3372"/>
      <c r="B25" s="43" t="s">
        <v>1295</v>
      </c>
      <c r="C25" s="133">
        <f>IF(B30=0,0,C30)</f>
        <v>0</v>
      </c>
      <c r="D25" s="1638"/>
      <c r="E25" s="121"/>
      <c r="F25" s="3183" t="s">
        <v>3460</v>
      </c>
      <c r="G25" s="3184">
        <v>5.6000000000000001E-2</v>
      </c>
      <c r="H25" s="121">
        <f ca="1">ROUND(G19/1.05*G25,2)</f>
        <v>32.85</v>
      </c>
      <c r="I25" s="121"/>
    </row>
    <row r="26" spans="1:36" ht="13.5" customHeight="1">
      <c r="A26" s="1639" t="s">
        <v>1300</v>
      </c>
      <c r="B26" s="134" t="s">
        <v>1301</v>
      </c>
      <c r="C26" s="134" t="s">
        <v>1302</v>
      </c>
      <c r="D26" s="135" t="s">
        <v>1303</v>
      </c>
      <c r="E26" s="121"/>
      <c r="F26" s="3184" t="s">
        <v>3461</v>
      </c>
      <c r="G26" s="3185">
        <v>5.0000000000000001E-4</v>
      </c>
      <c r="H26" s="121">
        <f ca="1">ROUND(G19*G26,2)</f>
        <v>0.31</v>
      </c>
      <c r="I26" s="121"/>
    </row>
    <row r="27" spans="1:36" ht="14">
      <c r="A27" s="1639"/>
      <c r="B27" s="134">
        <v>0</v>
      </c>
      <c r="C27" s="134">
        <v>0</v>
      </c>
      <c r="D27" s="135">
        <f>ROUND(C27*B27/10000,0)</f>
        <v>0</v>
      </c>
      <c r="E27" s="121"/>
      <c r="F27" s="3186" t="s">
        <v>3462</v>
      </c>
      <c r="G27" s="3187">
        <v>0.05</v>
      </c>
      <c r="H27" s="121">
        <f ca="1">ROUND(G19/1.05*G27,2)</f>
        <v>29.33</v>
      </c>
      <c r="I27" s="121"/>
    </row>
    <row r="28" spans="1:36" ht="14">
      <c r="A28" s="1639"/>
      <c r="B28" s="134"/>
      <c r="C28" s="134"/>
      <c r="D28" s="135"/>
      <c r="E28" s="121"/>
      <c r="F28" s="121"/>
      <c r="G28" s="3188" t="s">
        <v>3464</v>
      </c>
      <c r="H28" s="121">
        <f ca="1">H25+H26+H27</f>
        <v>62.49</v>
      </c>
      <c r="I28" s="121"/>
    </row>
    <row r="29" spans="1:36" ht="14">
      <c r="A29" s="1639"/>
      <c r="B29" s="134"/>
      <c r="C29" s="134"/>
      <c r="D29" s="135"/>
      <c r="E29" s="121"/>
      <c r="F29" s="121"/>
      <c r="G29" s="3188" t="s">
        <v>3463</v>
      </c>
      <c r="H29" s="121">
        <f ca="1">G19-H28</f>
        <v>553.51</v>
      </c>
      <c r="I29" s="121">
        <f ca="1">ROUND(H29*10000/B118,0)</f>
        <v>7291</v>
      </c>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8114</v>
      </c>
      <c r="D32" s="1641" t="s">
        <v>3465</v>
      </c>
      <c r="E32" s="121"/>
      <c r="F32" s="121"/>
      <c r="G32" s="121"/>
      <c r="H32" s="121"/>
      <c r="I32" s="121"/>
    </row>
    <row r="33" spans="1:15" ht="14">
      <c r="A33" s="740" t="s">
        <v>1306</v>
      </c>
      <c r="B33" s="123"/>
      <c r="C33" s="1642" t="s">
        <v>3466</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48" t="s">
        <v>1312</v>
      </c>
      <c r="B36" s="1652" t="s">
        <v>1313</v>
      </c>
      <c r="C36" s="137"/>
      <c r="D36" s="1653"/>
      <c r="E36" s="1567"/>
      <c r="F36" s="1654"/>
      <c r="G36" s="121"/>
      <c r="H36" s="121"/>
      <c r="I36" s="121"/>
    </row>
    <row r="37" spans="1:15" ht="14.5" thickBot="1">
      <c r="A37" s="3349"/>
      <c r="B37" s="1555" t="s">
        <v>1314</v>
      </c>
      <c r="C37" s="139"/>
      <c r="D37" s="1071"/>
      <c r="E37" s="1071"/>
      <c r="F37" s="1654"/>
      <c r="G37" s="121"/>
      <c r="H37" s="121"/>
      <c r="I37" s="121"/>
    </row>
    <row r="38" spans="1:15" ht="14.5" thickBot="1">
      <c r="A38" s="335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68" t="s">
        <v>1326</v>
      </c>
      <c r="B45" s="3369"/>
      <c r="C45" s="3370"/>
      <c r="D45" s="147">
        <f ca="1">ROUND(H101*F45,0)</f>
        <v>616</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8"/>
      <c r="I46" s="151"/>
      <c r="J46" s="2310">
        <v>1</v>
      </c>
      <c r="K46" s="3289" t="s">
        <v>1331</v>
      </c>
      <c r="L46" s="3289"/>
      <c r="M46" s="3290"/>
      <c r="N46" s="3290"/>
      <c r="O46" s="3290"/>
    </row>
    <row r="47" spans="1:15" ht="12" customHeight="1">
      <c r="A47" s="152" t="s">
        <v>1332</v>
      </c>
      <c r="B47" s="153"/>
      <c r="C47" s="154"/>
      <c r="D47" s="1024" t="s">
        <v>1333</v>
      </c>
      <c r="E47" s="294" t="s">
        <v>1334</v>
      </c>
      <c r="F47" s="155" t="s">
        <v>1335</v>
      </c>
      <c r="G47" s="2333" t="s">
        <v>1336</v>
      </c>
      <c r="H47" s="2334"/>
      <c r="I47" s="151"/>
      <c r="J47" s="2310">
        <v>2</v>
      </c>
      <c r="K47" s="3289" t="s">
        <v>1337</v>
      </c>
      <c r="L47" s="3289"/>
      <c r="M47" s="3291">
        <f>'数据-取费表'!B2</f>
        <v>45994</v>
      </c>
      <c r="N47" s="3291"/>
      <c r="O47" s="3291"/>
    </row>
    <row r="48" spans="1:15" ht="26">
      <c r="A48" s="3351" t="s">
        <v>1338</v>
      </c>
      <c r="B48" s="3352"/>
      <c r="C48" s="335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89" t="s">
        <v>1340</v>
      </c>
      <c r="L48" s="3289"/>
      <c r="M48" s="3292">
        <f ca="1">H101</f>
        <v>616</v>
      </c>
      <c r="N48" s="3292"/>
      <c r="O48" s="3292"/>
    </row>
    <row r="49" spans="1:35" ht="25.5" customHeight="1">
      <c r="A49" s="2152" t="s">
        <v>1341</v>
      </c>
      <c r="B49" s="3337" t="s">
        <v>1342</v>
      </c>
      <c r="C49" s="3337"/>
      <c r="D49" s="1478">
        <v>0</v>
      </c>
      <c r="E49" s="316" t="s">
        <v>1343</v>
      </c>
      <c r="F49" s="2233" t="s">
        <v>28</v>
      </c>
      <c r="G49" s="3320"/>
      <c r="H49" s="2134" t="s">
        <v>2134</v>
      </c>
      <c r="I49" s="2135"/>
      <c r="J49" s="2310">
        <v>4</v>
      </c>
      <c r="K49" s="3289" t="str">
        <f>IF(项目基本情况!E8="房地产抵押价值","房地产抵押价值","抵押担保权已注销时的房地产抵押价值")</f>
        <v>房地产抵押价值</v>
      </c>
      <c r="L49" s="3289"/>
      <c r="M49" s="3292">
        <f ca="1">IF(项目基本情况!E8="房地产抵押价值",H107,H109)</f>
        <v>616</v>
      </c>
      <c r="N49" s="3292"/>
      <c r="O49" s="3292"/>
    </row>
    <row r="50" spans="1:35" ht="25.5" customHeight="1">
      <c r="A50" s="2338"/>
      <c r="B50" s="3337" t="s">
        <v>1344</v>
      </c>
      <c r="C50" s="3337"/>
      <c r="D50" s="2189"/>
      <c r="E50" s="323"/>
      <c r="F50" s="2233"/>
      <c r="G50" s="3321"/>
      <c r="H50" s="2136" t="s">
        <v>2135</v>
      </c>
      <c r="I50" s="2135"/>
      <c r="J50" s="3288" t="s">
        <v>1345</v>
      </c>
      <c r="K50" s="3288"/>
      <c r="L50" s="3288"/>
      <c r="M50" s="3288"/>
      <c r="N50" s="3288"/>
      <c r="O50" s="3288"/>
    </row>
    <row r="51" spans="1:35" ht="20.5" customHeight="1">
      <c r="A51" s="2339"/>
      <c r="B51" s="3337" t="s">
        <v>1346</v>
      </c>
      <c r="C51" s="3337"/>
      <c r="D51" s="1024"/>
      <c r="E51" s="319"/>
      <c r="F51" s="2233"/>
      <c r="G51" s="3322"/>
      <c r="H51" s="2136" t="s">
        <v>2136</v>
      </c>
      <c r="I51" s="2135"/>
      <c r="J51" s="2311" t="s">
        <v>1347</v>
      </c>
      <c r="K51" s="3289" t="s">
        <v>1348</v>
      </c>
      <c r="L51" s="3289"/>
      <c r="M51" s="2311" t="s">
        <v>1349</v>
      </c>
      <c r="N51" s="2311" t="s">
        <v>1350</v>
      </c>
      <c r="O51" s="2311" t="s">
        <v>1351</v>
      </c>
    </row>
    <row r="52" spans="1:35" ht="24" customHeight="1">
      <c r="A52" s="2153" t="s">
        <v>1352</v>
      </c>
      <c r="B52" s="3337" t="s">
        <v>1353</v>
      </c>
      <c r="C52" s="3337"/>
      <c r="D52" s="1024">
        <f ca="1">ROUND(D45*'数据-取费表'!B41/(1+'数据-取费表'!C42),0)</f>
        <v>32</v>
      </c>
      <c r="E52" s="1256" t="s">
        <v>1354</v>
      </c>
      <c r="F52" s="2340">
        <f>'数据-取费表'!B41</f>
        <v>5.5000000000000007E-2</v>
      </c>
      <c r="G52" s="2341"/>
      <c r="H52" s="2331"/>
      <c r="I52" s="1669"/>
      <c r="J52" s="2310">
        <v>1</v>
      </c>
      <c r="K52" s="3314" t="s">
        <v>1355</v>
      </c>
      <c r="L52" s="3314"/>
      <c r="M52" s="2312" t="b">
        <f>D48</f>
        <v>0</v>
      </c>
      <c r="N52" s="2310" t="str">
        <f>E48</f>
        <v>销售额×税（费）率</v>
      </c>
      <c r="O52" s="2313">
        <f>F48</f>
        <v>5.5000000000000007E-2</v>
      </c>
    </row>
    <row r="53" spans="1:35" ht="12" customHeight="1">
      <c r="A53" s="2153" t="s">
        <v>1356</v>
      </c>
      <c r="B53" s="3338" t="s">
        <v>2291</v>
      </c>
      <c r="C53" s="3339"/>
      <c r="D53" s="1024">
        <f ca="1">ROUND(D45*'数据-取费表'!B41/(1+'数据-取费表'!C42),0)</f>
        <v>32</v>
      </c>
      <c r="E53" s="1256" t="s">
        <v>1354</v>
      </c>
      <c r="F53" s="2340">
        <f>'数据-取费表'!B41</f>
        <v>5.5000000000000007E-2</v>
      </c>
      <c r="G53" s="2341"/>
      <c r="H53" s="2331"/>
      <c r="I53" s="1669"/>
      <c r="J53" s="2310">
        <v>2</v>
      </c>
      <c r="K53" s="3314" t="s">
        <v>1357</v>
      </c>
      <c r="L53" s="3314"/>
      <c r="M53" s="2312">
        <f t="shared" ref="M53:O54" ca="1" si="0">D55</f>
        <v>0</v>
      </c>
      <c r="N53" s="2310" t="str">
        <f t="shared" si="0"/>
        <v>销售额×税（费）率</v>
      </c>
      <c r="O53" s="2313" t="str">
        <f t="shared" si="0"/>
        <v>免征</v>
      </c>
    </row>
    <row r="54" spans="1:35" ht="12" customHeight="1">
      <c r="A54" s="2153" t="s">
        <v>1358</v>
      </c>
      <c r="B54" s="3338" t="s">
        <v>2292</v>
      </c>
      <c r="C54" s="3339"/>
      <c r="D54" s="1024">
        <f ca="1">C68</f>
        <v>32</v>
      </c>
      <c r="E54" s="319" t="s">
        <v>1359</v>
      </c>
      <c r="F54" s="2340">
        <f>'数据-取费表'!B41</f>
        <v>5.5000000000000007E-2</v>
      </c>
      <c r="G54" s="2341"/>
      <c r="H54" s="2342"/>
      <c r="I54" s="1669"/>
      <c r="J54" s="2310">
        <v>3</v>
      </c>
      <c r="K54" s="3314" t="s">
        <v>1360</v>
      </c>
      <c r="L54" s="3314"/>
      <c r="M54" s="2312">
        <f t="shared" ca="1" si="0"/>
        <v>349</v>
      </c>
      <c r="N54" s="2310" t="str">
        <f t="shared" si="0"/>
        <v>增值额×税（费）率</v>
      </c>
      <c r="O54" s="2314" t="str">
        <f t="shared" si="0"/>
        <v>免征</v>
      </c>
    </row>
    <row r="55" spans="1:35" ht="24" customHeight="1">
      <c r="A55" s="3374" t="s">
        <v>1361</v>
      </c>
      <c r="B55" s="3352"/>
      <c r="C55" s="3352"/>
      <c r="D55" s="12">
        <f ca="1">IF(H55="个人住宅",0,ROUND(D45*I55,0))</f>
        <v>0</v>
      </c>
      <c r="E55" s="1256" t="s">
        <v>1362</v>
      </c>
      <c r="F55" s="2340" t="str">
        <f>IF(H55="正常",I55,"免征")</f>
        <v>免征</v>
      </c>
      <c r="G55" s="2341"/>
      <c r="H55" s="2337"/>
      <c r="I55" s="157">
        <f>'数据-取费表'!B49</f>
        <v>5.0000000000000001E-4</v>
      </c>
      <c r="J55" s="2310">
        <f>IF(H59="非个人房产","",4)</f>
        <v>4</v>
      </c>
      <c r="K55" s="3314" t="str">
        <f>IF(H59="非个人房产","——","个人所得税")</f>
        <v>个人所得税</v>
      </c>
      <c r="L55" s="3314"/>
      <c r="M55" s="2315">
        <f ca="1">D59</f>
        <v>6</v>
      </c>
      <c r="N55" s="1883" t="str">
        <f>E59</f>
        <v>差额计税</v>
      </c>
      <c r="O55" s="2316">
        <f>F59</f>
        <v>0.01</v>
      </c>
    </row>
    <row r="56" spans="1:35" ht="26">
      <c r="A56" s="3374" t="s">
        <v>1363</v>
      </c>
      <c r="B56" s="3352"/>
      <c r="C56" s="3352"/>
      <c r="D56" s="12">
        <f ca="1">IF(H56="个人住宅",D57,D58)</f>
        <v>349</v>
      </c>
      <c r="E56" s="1256" t="s">
        <v>1364</v>
      </c>
      <c r="F56" s="2340" t="str">
        <f>IF(H56="正常",F58,"免征")</f>
        <v>免征</v>
      </c>
      <c r="G56" s="2343" t="s">
        <v>1365</v>
      </c>
      <c r="H56" s="2344"/>
      <c r="I56" s="1670"/>
      <c r="J56" s="2310" t="str">
        <f>IF(项目基本情况!K6="上海银行",IF(J55="",4,J55+1),"")</f>
        <v/>
      </c>
      <c r="K56" s="3295" t="str">
        <f>IF(项目基本情况!K6="上海银行","其他处置费用","")</f>
        <v/>
      </c>
      <c r="L56" s="3296"/>
      <c r="M56" s="2312" t="str">
        <f>IF(项目基本情况!K6="上海银行",M69,"")</f>
        <v/>
      </c>
      <c r="N56" s="3295" t="str">
        <f>IF(项目基本情况!K6="上海银行","包含处置中涉及的律师、诉讼、拍卖、评估等费用","")</f>
        <v/>
      </c>
      <c r="O56" s="3298"/>
    </row>
    <row r="57" spans="1:35" ht="13">
      <c r="A57" s="2153" t="s">
        <v>1341</v>
      </c>
      <c r="B57" s="3338" t="s">
        <v>1366</v>
      </c>
      <c r="C57" s="3339"/>
      <c r="D57" s="1478">
        <v>0</v>
      </c>
      <c r="E57" s="316" t="s">
        <v>1343</v>
      </c>
      <c r="F57" s="294"/>
      <c r="G57" s="2341"/>
      <c r="H57" s="2345"/>
      <c r="I57" s="1670"/>
      <c r="J57" s="3314">
        <f>IF(AND(J55="",J56=""),4,IF(项目基本情况!K6="上海银行",结果表!J56+1,结果表!J55+1))</f>
        <v>5</v>
      </c>
      <c r="K57" s="3314" t="s">
        <v>1367</v>
      </c>
      <c r="L57" s="2317" t="s">
        <v>1368</v>
      </c>
      <c r="M57" s="2318"/>
      <c r="N57" s="2319">
        <f ca="1">SUMIF(M52:M56,"&lt;9e307")</f>
        <v>355</v>
      </c>
      <c r="O57" s="2320"/>
      <c r="P57" s="2465">
        <f ca="1">N57/M49</f>
        <v>0.57629870129870131</v>
      </c>
    </row>
    <row r="58" spans="1:35" ht="26">
      <c r="A58" s="2153" t="s">
        <v>1352</v>
      </c>
      <c r="B58" s="3338" t="s">
        <v>1369</v>
      </c>
      <c r="C58" s="3337"/>
      <c r="D58" s="12">
        <f ca="1">IF(H58="转让取得",C81,C97)</f>
        <v>349</v>
      </c>
      <c r="E58" s="1256" t="s">
        <v>1364</v>
      </c>
      <c r="F58" s="294" t="s">
        <v>28</v>
      </c>
      <c r="G58" s="2341"/>
      <c r="H58" s="2344"/>
      <c r="I58" s="1670"/>
      <c r="J58" s="3314"/>
      <c r="K58" s="3314"/>
      <c r="L58" s="2317" t="s">
        <v>1370</v>
      </c>
      <c r="M58" s="2321"/>
      <c r="N58" s="2322" t="str">
        <f ca="1">NUMBERSTRING(INT(N57*10000),2)&amp;"元整"</f>
        <v>叁佰伍拾伍万元整</v>
      </c>
      <c r="O58" s="2323"/>
    </row>
    <row r="59" spans="1:35" ht="26.5" thickBot="1">
      <c r="A59" s="3318" t="s">
        <v>1371</v>
      </c>
      <c r="B59" s="3319"/>
      <c r="C59" s="3319"/>
      <c r="D59" s="2346">
        <f ca="1">IF(H59="非个人房产","——",IF(H59="个人住宅（满五唯一有凭证）",0,IF(H59="个人其他（无凭证）",ROUND(D45/(1+'数据-取费表'!C42)*F59,0),ROUND(C67*F59,0))))</f>
        <v>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6">
        <f>J57+1</f>
        <v>6</v>
      </c>
      <c r="K59" s="3314" t="s">
        <v>1372</v>
      </c>
      <c r="L59" s="2310" t="s">
        <v>1368</v>
      </c>
      <c r="M59" s="2324"/>
      <c r="N59" s="2325">
        <f ca="1">M49-N57</f>
        <v>261</v>
      </c>
      <c r="O59" s="2326"/>
    </row>
    <row r="60" spans="1:35" ht="12" customHeight="1">
      <c r="A60" s="1671"/>
      <c r="B60" s="646"/>
      <c r="C60" s="646"/>
      <c r="D60" s="646"/>
      <c r="E60" s="1466"/>
      <c r="F60" s="1670"/>
      <c r="G60" s="1670"/>
      <c r="H60" s="151"/>
      <c r="I60" s="121"/>
      <c r="J60" s="3317"/>
      <c r="K60" s="3314"/>
      <c r="L60" s="2317" t="s">
        <v>1370</v>
      </c>
      <c r="M60" s="2321"/>
      <c r="N60" s="2322" t="str">
        <f ca="1">NUMBERSTRING(INT(N59*10000),2)&amp;"元整"</f>
        <v>贰佰陆拾壹万元整</v>
      </c>
      <c r="O60" s="2323"/>
    </row>
    <row r="61" spans="1:35" ht="13.5" thickBot="1">
      <c r="A61" s="3373" t="s">
        <v>1373</v>
      </c>
      <c r="B61" s="3373"/>
      <c r="C61" s="3373"/>
      <c r="D61" s="3373"/>
      <c r="E61" s="3373"/>
      <c r="F61" s="1670"/>
      <c r="G61" s="1670"/>
      <c r="H61" s="151"/>
      <c r="I61" s="121"/>
      <c r="J61" s="2310">
        <f>J59+1</f>
        <v>7</v>
      </c>
      <c r="K61" s="3314" t="s">
        <v>1374</v>
      </c>
      <c r="L61" s="3314"/>
      <c r="M61" s="2327"/>
      <c r="N61" s="2328">
        <f ca="1">ROUND(N59*10000/'数据-汇总表'!E3,0)</f>
        <v>3438</v>
      </c>
      <c r="O61" s="2329"/>
    </row>
    <row r="62" spans="1:35" ht="13">
      <c r="A62" s="3333" t="s">
        <v>1375</v>
      </c>
      <c r="B62" s="3334"/>
      <c r="C62" s="1865"/>
      <c r="D62" s="1865" t="s">
        <v>1376</v>
      </c>
      <c r="E62" s="158" t="s">
        <v>1377</v>
      </c>
      <c r="F62" s="1670"/>
      <c r="G62" s="1670"/>
      <c r="H62" s="151"/>
      <c r="I62" s="121"/>
    </row>
    <row r="63" spans="1:35" ht="13">
      <c r="A63" s="165" t="s">
        <v>330</v>
      </c>
      <c r="B63" s="159" t="s">
        <v>1378</v>
      </c>
      <c r="C63" s="2350">
        <f ca="1">ROUND((C64+C65)/(1+'数据-取费表'!C42),0)</f>
        <v>587</v>
      </c>
      <c r="D63" s="159"/>
      <c r="E63" s="160"/>
      <c r="F63" s="1670"/>
      <c r="G63" s="1670"/>
      <c r="H63" s="151"/>
      <c r="I63" s="121"/>
      <c r="J63" s="3297" t="s">
        <v>1379</v>
      </c>
      <c r="K63" s="1245" t="s">
        <v>1380</v>
      </c>
      <c r="L63" s="1245">
        <f ca="1">IF(M49&gt;10000,M49*0.5%,IF(AND(M49&gt;1000,M49&lt;=10000),M49*1%,IF(AND(M49&gt;100,M49&lt;=1000),M49*3%,IF(AND(M49&gt;10,M49&lt;=100),M49*5%,M49*8%))))</f>
        <v>18.48</v>
      </c>
      <c r="M63" s="294">
        <f ca="1">ROUND(L63,1)</f>
        <v>18.5</v>
      </c>
      <c r="N63" s="2330"/>
      <c r="Z63" s="1623"/>
      <c r="AI63" s="1561"/>
    </row>
    <row r="64" spans="1:35" ht="14.25" customHeight="1">
      <c r="A64" s="161" t="s">
        <v>325</v>
      </c>
      <c r="B64" s="162" t="s">
        <v>1381</v>
      </c>
      <c r="C64" s="2351">
        <f ca="1">D45</f>
        <v>616</v>
      </c>
      <c r="D64" s="162" t="s">
        <v>26</v>
      </c>
      <c r="E64" s="164"/>
      <c r="F64" s="1670"/>
      <c r="G64" s="1670"/>
      <c r="H64" s="151"/>
      <c r="I64" s="121"/>
      <c r="J64" s="3297"/>
      <c r="K64" s="1245" t="s">
        <v>1382</v>
      </c>
      <c r="L64" s="1245">
        <f ca="1">IF(M49&gt;2000,M49*0.5%,IF(AND(M49&gt;1000,M49&lt;=2000),M49*0.6%,IF(AND(M49&gt;500,M49&lt;=1000),M49*0.7%,IF(AND(M49&gt;200,M49&lt;=500),M49*0.8%,IF(AND(M49&gt;100,M49&lt;=200),M49*0.9%,IF(AND(M49&gt;50,M49&lt;=100),M49*1%,IF(AND(M49&gt;20,M49&lt;=50),M49*1.5%,IF(AND(M49&gt;10,M49&lt;=20),M49*2%,IF(AND(M49&gt;1,M49&lt;=10),M49*2.5%)))))))))</f>
        <v>4.3119999999999994</v>
      </c>
      <c r="M64" s="294">
        <f t="shared" ref="M64:M65" ca="1" si="1">ROUND(L64,1)</f>
        <v>4.3</v>
      </c>
      <c r="N64" s="2331" t="s">
        <v>1383</v>
      </c>
      <c r="Z64" s="1623"/>
      <c r="AI64" s="1561"/>
    </row>
    <row r="65" spans="1:35" ht="14.25" customHeight="1">
      <c r="A65" s="161" t="s">
        <v>326</v>
      </c>
      <c r="B65" s="162" t="s">
        <v>1384</v>
      </c>
      <c r="C65" s="2352"/>
      <c r="D65" s="162"/>
      <c r="E65" s="164"/>
      <c r="F65" s="1670"/>
      <c r="G65" s="1670"/>
      <c r="H65" s="151"/>
      <c r="I65" s="121"/>
      <c r="J65" s="3297"/>
      <c r="K65" s="1245" t="s">
        <v>1385</v>
      </c>
      <c r="L65" s="1245">
        <f ca="1">IF(M49&gt;1000,M49*0.1%,IF(AND(M49&gt;500,M49&lt;=1000),M49*0.5%,IF(AND(M49&gt;50,M49&lt;=500),M49*1%,IF(AND(M49&gt;1,M49&lt;=50),M49*1.5%))))</f>
        <v>3.08</v>
      </c>
      <c r="M65" s="294">
        <f t="shared" ca="1" si="1"/>
        <v>3.1</v>
      </c>
      <c r="N65" s="2331" t="s">
        <v>1383</v>
      </c>
      <c r="Z65" s="1623"/>
      <c r="AI65" s="1561"/>
    </row>
    <row r="66" spans="1:35" ht="14.25" customHeight="1">
      <c r="A66" s="165" t="s">
        <v>327</v>
      </c>
      <c r="B66" s="166" t="s">
        <v>1386</v>
      </c>
      <c r="C66" s="2353"/>
      <c r="D66" s="166" t="s">
        <v>26</v>
      </c>
      <c r="E66" s="1251" t="s">
        <v>671</v>
      </c>
      <c r="F66" s="1670"/>
      <c r="G66" s="1670"/>
      <c r="H66" s="151"/>
      <c r="I66" s="121"/>
      <c r="J66" s="3297"/>
      <c r="K66" s="1245" t="s">
        <v>1387</v>
      </c>
      <c r="L66" s="1245">
        <f ca="1">M49*0.5%</f>
        <v>3.08</v>
      </c>
      <c r="M66" s="294">
        <f ca="1">IF(L66&gt;0.5,0.5,ROUND(L66,0))</f>
        <v>0.5</v>
      </c>
      <c r="N66" s="2331" t="s">
        <v>1388</v>
      </c>
      <c r="Z66" s="1623"/>
      <c r="AI66" s="1561"/>
    </row>
    <row r="67" spans="1:35" ht="14.25" customHeight="1">
      <c r="A67" s="165" t="s">
        <v>328</v>
      </c>
      <c r="B67" s="166" t="s">
        <v>1389</v>
      </c>
      <c r="C67" s="2354">
        <f ca="1">C63-C66</f>
        <v>587</v>
      </c>
      <c r="D67" s="162" t="s">
        <v>26</v>
      </c>
      <c r="E67" s="164"/>
      <c r="F67" s="1670"/>
      <c r="G67" s="1670"/>
      <c r="H67" s="151"/>
      <c r="I67" s="121"/>
      <c r="J67" s="3297"/>
      <c r="K67" s="1245" t="s">
        <v>1390</v>
      </c>
      <c r="L67" s="1245">
        <f ca="1">IF(M49&gt;=10000,(8.25+(M49-10000)*0.01%),IF(AND(M49&gt;=8000,M49&lt;10000),(7.85+(M49-8000)*0.02%),IF(AND(M49&gt;=5000,M49&lt;8000),(6.65+(M49-5000)*0.04%),IF(AND(M49&gt;=2000,M49&lt;5000),(4.25+(PM49-2000)*0.08%),IF(AND(M49&gt;=1000,M49&lt;2000),(2.75+(M49-1000)*0.15%),IF(AND(M49&gt;=100,M49&lt;1000),(0.5+(M49-100)*0.25%),IF(AND(M49&gt;0,M49&lt;100),M49*0.5%)))))))</f>
        <v>1.79</v>
      </c>
      <c r="M67" s="294">
        <f ca="1">ROUND(L67*0.9,1)</f>
        <v>1.6</v>
      </c>
      <c r="N67" s="2330"/>
      <c r="Z67" s="1623"/>
      <c r="AI67" s="1561"/>
    </row>
    <row r="68" spans="1:35" ht="14.25" customHeight="1" thickBot="1">
      <c r="A68" s="168" t="s">
        <v>329</v>
      </c>
      <c r="B68" s="169" t="s">
        <v>1391</v>
      </c>
      <c r="C68" s="2355">
        <f ca="1">IF(C67&lt;=0,0,ROUND(C67*D68,0))</f>
        <v>32</v>
      </c>
      <c r="D68" s="2356">
        <f>'数据-取费表'!B41</f>
        <v>5.5000000000000007E-2</v>
      </c>
      <c r="E68" s="170"/>
      <c r="F68" s="1670"/>
      <c r="G68" s="1670"/>
      <c r="H68" s="151"/>
      <c r="I68" s="121"/>
      <c r="J68" s="3297"/>
      <c r="K68" s="1245" t="s">
        <v>1392</v>
      </c>
      <c r="L68" s="1245">
        <f ca="1">IF(M49&gt;10000,M49*0.5%,IF(AND(M49&gt;5000,M49&lt;=10000),M49*1%,IF(AND(M49&gt;1000,M49&lt;=5000),M49*2%,IF(AND(M49&gt;200,M49&lt;=1000),M49*3%,M49*5%))))</f>
        <v>18.48</v>
      </c>
      <c r="M68" s="294">
        <f ca="1">ROUND(L68,1)</f>
        <v>18.5</v>
      </c>
      <c r="N68" s="2330"/>
      <c r="Z68" s="1623"/>
      <c r="AI68" s="1561"/>
    </row>
    <row r="69" spans="1:35" ht="16.5" customHeight="1">
      <c r="A69" s="1672"/>
      <c r="B69" s="1673"/>
      <c r="C69" s="1674"/>
      <c r="D69" s="1675"/>
      <c r="E69" s="1676"/>
      <c r="F69" s="1466"/>
      <c r="G69" s="1466"/>
      <c r="H69" s="1467"/>
      <c r="I69" s="646"/>
      <c r="J69" s="3297"/>
      <c r="K69" s="1245" t="s">
        <v>1393</v>
      </c>
      <c r="L69" s="1245"/>
      <c r="M69" s="294">
        <f ca="1">ROUND(SUM(M63:M68),0)</f>
        <v>47</v>
      </c>
      <c r="N69" s="2332">
        <f ca="1">M69/M49</f>
        <v>7.6298701298701296E-2</v>
      </c>
      <c r="Z69" s="1623"/>
      <c r="AI69" s="1561"/>
    </row>
    <row r="70" spans="1:35" s="642" customFormat="1" ht="14.5"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33" t="s">
        <v>1375</v>
      </c>
      <c r="B71" s="333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587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8" t="s">
        <v>1402</v>
      </c>
      <c r="F76" s="3337"/>
      <c r="G76" s="3337"/>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5.000000000000001E-3</v>
      </c>
      <c r="E78" s="3330" t="s">
        <v>1406</v>
      </c>
      <c r="F78" s="3331"/>
      <c r="G78" s="3331"/>
      <c r="H78" s="333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584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194.66666666666666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349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33" t="s">
        <v>1375</v>
      </c>
      <c r="B84" s="333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587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99" t="s">
        <v>2129</v>
      </c>
      <c r="H90" s="330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30" t="s">
        <v>1419</v>
      </c>
      <c r="F91" s="3331"/>
      <c r="G91" s="333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30" t="s">
        <v>1422</v>
      </c>
      <c r="F92" s="3331"/>
      <c r="G92" s="3331"/>
      <c r="H92" s="333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5.000000000000001E-3</v>
      </c>
      <c r="E93" s="3330" t="s">
        <v>1406</v>
      </c>
      <c r="F93" s="3331"/>
      <c r="G93" s="3331"/>
      <c r="H93" s="333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5" t="s">
        <v>1426</v>
      </c>
      <c r="F94" s="3376"/>
      <c r="G94" s="3376"/>
      <c r="H94" s="33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584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194.66666666666666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349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71" t="str">
        <f>C4</f>
        <v>比较法-工业</v>
      </c>
      <c r="D101" s="2372" t="str">
        <f>D4</f>
        <v>收益法 (元)</v>
      </c>
      <c r="E101" s="3293" t="s">
        <v>1431</v>
      </c>
      <c r="F101" s="3294"/>
      <c r="G101" s="1687" t="s">
        <v>1432</v>
      </c>
      <c r="H101" s="2381">
        <f ca="1">H118</f>
        <v>616</v>
      </c>
      <c r="I101" s="121"/>
    </row>
    <row r="102" spans="1:35" ht="18.75" customHeight="1">
      <c r="A102" s="3325" t="s">
        <v>1433</v>
      </c>
      <c r="B102" s="2370" t="s">
        <v>1432</v>
      </c>
      <c r="C102" s="2371">
        <f ca="1">IF(D32="楼面单价",ROUND(C19,0),C19)</f>
        <v>738</v>
      </c>
      <c r="D102" s="2372">
        <f ca="1">IF(D32="楼面单价",ROUND(D19,0),D19)</f>
        <v>332</v>
      </c>
      <c r="E102" s="3293"/>
      <c r="F102" s="3294"/>
      <c r="G102" s="1687" t="s">
        <v>1434</v>
      </c>
      <c r="H102" s="2341">
        <f ca="1">I118</f>
        <v>8114</v>
      </c>
      <c r="I102" s="121"/>
    </row>
    <row r="103" spans="1:35" ht="42.75" customHeight="1">
      <c r="A103" s="3325"/>
      <c r="B103" s="2370" t="s">
        <v>1434</v>
      </c>
      <c r="C103" s="2373">
        <f ca="1">C20</f>
        <v>9716</v>
      </c>
      <c r="D103" s="2374">
        <f ca="1">D20</f>
        <v>4377</v>
      </c>
      <c r="E103" s="3286" t="s">
        <v>1435</v>
      </c>
      <c r="F103" s="3287"/>
      <c r="G103" s="1688" t="s">
        <v>1436</v>
      </c>
      <c r="H103" s="2381">
        <f>IF(D36="正常操作",H104+H105+H106,H105+H106)</f>
        <v>0</v>
      </c>
      <c r="I103" s="121"/>
    </row>
    <row r="104" spans="1:35" ht="18.75" customHeight="1">
      <c r="A104" s="3325" t="s">
        <v>1437</v>
      </c>
      <c r="B104" s="2375" t="s">
        <v>1432</v>
      </c>
      <c r="C104" s="2376">
        <f ca="1">H118</f>
        <v>616</v>
      </c>
      <c r="D104" s="2377"/>
      <c r="E104" s="1555" t="s">
        <v>1438</v>
      </c>
      <c r="F104" s="1548"/>
      <c r="G104" s="1688" t="s">
        <v>1436</v>
      </c>
      <c r="H104" s="2382">
        <f>IF(D36="同一抵押权人同一抵押物续贷",C36&amp;"（续贷，未扣减，详见特别提示）",C36)</f>
        <v>0</v>
      </c>
      <c r="I104" s="121"/>
    </row>
    <row r="105" spans="1:35" ht="18.75" customHeight="1" thickBot="1">
      <c r="A105" s="3335"/>
      <c r="B105" s="2378" t="s">
        <v>1434</v>
      </c>
      <c r="C105" s="2379">
        <f ca="1">I118</f>
        <v>8114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6" t="str">
        <f>IF(项目基本情况!E8="已注销","——","3.房地产抵押价值")</f>
        <v>3.房地产抵押价值</v>
      </c>
      <c r="F107" s="3294"/>
      <c r="G107" s="1687" t="s">
        <v>1432</v>
      </c>
      <c r="H107" s="2381">
        <f ca="1">IF(E107="——","——",H101-H103)</f>
        <v>616</v>
      </c>
      <c r="I107" s="121"/>
    </row>
    <row r="108" spans="1:35" ht="18.75" customHeight="1">
      <c r="A108" s="121"/>
      <c r="B108" s="121"/>
      <c r="C108" s="121"/>
      <c r="D108" s="121"/>
      <c r="E108" s="3326"/>
      <c r="F108" s="3294"/>
      <c r="G108" s="1687" t="s">
        <v>1434</v>
      </c>
      <c r="H108" s="2341">
        <f ca="1">IF(H107=H101,H102,ROUND(H107*10000/'数据-汇总表'!E3,0))</f>
        <v>8114</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7" t="s">
        <v>1432</v>
      </c>
      <c r="H109" s="2384" t="str">
        <f>IF(E109="——","——",H101-H105-H106)</f>
        <v>——</v>
      </c>
      <c r="I109" s="121"/>
    </row>
    <row r="110" spans="1:35" ht="18.75" customHeight="1">
      <c r="A110" s="121"/>
      <c r="B110" s="121"/>
      <c r="C110" s="121"/>
      <c r="D110" s="121"/>
      <c r="E110" s="3326"/>
      <c r="F110" s="3294"/>
      <c r="G110" s="1687" t="s">
        <v>1434</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4.抵押净值</v>
      </c>
      <c r="F111" s="3313"/>
      <c r="G111" s="1687" t="s">
        <v>1432</v>
      </c>
      <c r="H111" s="2381">
        <f ca="1">IF(E111="——","——",N59)</f>
        <v>261</v>
      </c>
      <c r="I111" s="121"/>
    </row>
    <row r="112" spans="1:35" ht="18.75" customHeight="1" thickBot="1">
      <c r="A112" s="121"/>
      <c r="B112" s="121"/>
      <c r="C112" s="121"/>
      <c r="D112" s="121"/>
      <c r="E112" s="3328"/>
      <c r="F112" s="3329"/>
      <c r="G112" s="1690" t="s">
        <v>1434</v>
      </c>
      <c r="H112" s="2385">
        <f ca="1">IF(E111="——","——",N61)</f>
        <v>3438</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1"/>
      <c r="F114" s="1671"/>
      <c r="G114" s="1671"/>
      <c r="H114" s="1671"/>
      <c r="I114" s="646"/>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759.2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616</v>
      </c>
      <c r="I118" s="2150">
        <f ca="1">ROUND(IF(D32="楼面单价",C32,H118*10000/B118),0)</f>
        <v>8114</v>
      </c>
    </row>
    <row r="119" spans="1:27" ht="18.75" customHeight="1">
      <c r="A119" s="3301" t="s">
        <v>1452</v>
      </c>
      <c r="B119" s="3301"/>
      <c r="C119" s="3301"/>
      <c r="D119" s="3307" t="str">
        <f>NUMBERSTRING(INT(D118*10000),2)&amp;"元整"</f>
        <v>零元整</v>
      </c>
      <c r="E119" s="3308"/>
      <c r="F119" s="3307" t="str">
        <f>NUMBERSTRING(INT(F118*10000),2)&amp;"元整"</f>
        <v>零元整</v>
      </c>
      <c r="G119" s="3308"/>
      <c r="H119" s="3307" t="str">
        <f ca="1">NUMBERSTRING(INT(H118*10000),2)&amp;"元整"</f>
        <v>陆佰壹拾陆万元整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房地产抵押价值</v>
      </c>
      <c r="B122" s="3313"/>
      <c r="C122" s="3313"/>
      <c r="D122" s="3302">
        <f ca="1">H107</f>
        <v>616</v>
      </c>
      <c r="E122" s="3303"/>
      <c r="F122" s="3303"/>
      <c r="G122" s="3303"/>
      <c r="H122" s="3303"/>
      <c r="I122" s="3304"/>
      <c r="AA122" s="684"/>
    </row>
    <row r="123" spans="1:27" ht="18.75" customHeight="1">
      <c r="A123" s="3301" t="s">
        <v>1452</v>
      </c>
      <c r="B123" s="3301"/>
      <c r="C123" s="3301"/>
      <c r="D123" s="3307" t="str">
        <f ca="1">NUMBERSTRING(INT(D122*10000),2)&amp;"元整"</f>
        <v>陆佰壹拾陆万元整</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1452</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抵押净值</v>
      </c>
      <c r="B126" s="3313"/>
      <c r="C126" s="3313"/>
      <c r="D126" s="3302">
        <f ca="1">H111</f>
        <v>261</v>
      </c>
      <c r="E126" s="3303"/>
      <c r="F126" s="3303"/>
      <c r="G126" s="3303"/>
      <c r="H126" s="3303"/>
      <c r="I126" s="3304"/>
      <c r="AA126" s="684"/>
    </row>
    <row r="127" spans="1:27" ht="18.75" customHeight="1">
      <c r="A127" s="3301" t="s">
        <v>1452</v>
      </c>
      <c r="B127" s="3301"/>
      <c r="C127" s="3301"/>
      <c r="D127" s="3307" t="str">
        <f ca="1">NUMBERSTRING(INT(D126*10000),2)&amp;"元整"</f>
        <v>贰佰陆拾壹万元整</v>
      </c>
      <c r="E127" s="3309"/>
      <c r="F127" s="3309"/>
      <c r="G127" s="3309"/>
      <c r="H127" s="3309"/>
      <c r="I127" s="3308"/>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4729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759.2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304</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759.2</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35</v>
      </c>
      <c r="D45" s="227">
        <f ca="1">C47</f>
        <v>2E-3</v>
      </c>
      <c r="E45" s="228" t="s">
        <v>1539</v>
      </c>
      <c r="F45" s="238">
        <f ca="1">F27</f>
        <v>0.1</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425</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340</v>
      </c>
      <c r="D51" s="224"/>
      <c r="E51" s="224"/>
      <c r="F51" s="256"/>
      <c r="G51" s="226" t="s">
        <v>1560</v>
      </c>
    </row>
    <row r="52" spans="1:7" s="200" customFormat="1" ht="16.5" thickBot="1">
      <c r="A52" s="257" t="s">
        <v>1561</v>
      </c>
      <c r="B52" s="258"/>
      <c r="C52" s="259">
        <f ca="1">C31+C51</f>
        <v>359</v>
      </c>
      <c r="D52" s="258"/>
      <c r="E52" s="258"/>
      <c r="F52" s="258"/>
      <c r="G52" s="260"/>
    </row>
    <row r="55" spans="1:7" ht="15.5">
      <c r="B55" s="262" t="s">
        <v>1562</v>
      </c>
      <c r="C55" s="263"/>
    </row>
    <row r="56" spans="1:7" ht="13">
      <c r="B56" s="265" t="s">
        <v>802</v>
      </c>
      <c r="C56" s="267">
        <f ca="1">1-C57</f>
        <v>5.3000000000000047E-2</v>
      </c>
    </row>
    <row r="57" spans="1:7" ht="13">
      <c r="B57" s="265" t="s">
        <v>803</v>
      </c>
      <c r="C57" s="266">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北京市房地产抵押价值预评估</v>
      </c>
      <c r="C37" s="3198"/>
      <c r="D37" s="3198"/>
      <c r="E37" s="3198"/>
      <c r="F37" s="3198"/>
      <c r="G37" s="3198"/>
      <c r="H37" s="3198"/>
      <c r="I37" s="319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759.2</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0</v>
      </c>
      <c r="D6" s="147" t="s">
        <v>2109</v>
      </c>
      <c r="E6" s="294" t="s">
        <v>696</v>
      </c>
      <c r="F6" s="295">
        <f ca="1">INDIRECT("'数据-取费表'!u"&amp;$G$1)</f>
        <v>0</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tabSelected="1" view="pageBreakPreview" topLeftCell="A16" zoomScale="60" zoomScaleNormal="60" workbookViewId="0">
      <selection activeCell="N40" sqref="N40"/>
    </sheetView>
  </sheetViews>
  <sheetFormatPr defaultColWidth="9" defaultRowHeight="14"/>
  <cols>
    <col min="1" max="1" width="10.453125" style="347" customWidth="1"/>
    <col min="2" max="2" width="15.7265625" style="347" customWidth="1"/>
    <col min="3" max="3" width="20.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v>301</v>
      </c>
      <c r="E1" s="3132" t="s">
        <v>3434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737.63869999999997</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9716</v>
      </c>
      <c r="C3" s="344" t="s">
        <v>1768</v>
      </c>
      <c r="D3" s="343">
        <f>IF(D1="",'数据-汇总表'!E3,SUMIF('数据-汇总表'!$C19:$C33,D1,'数据-汇总表'!$E19:$E33))</f>
        <v>759.2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393" t="s">
        <v>1771</v>
      </c>
      <c r="S4" s="3394"/>
      <c r="T4" s="3393" t="s">
        <v>1772</v>
      </c>
      <c r="U4" s="3394"/>
      <c r="V4" s="3417" t="s">
        <v>1773</v>
      </c>
      <c r="W4" s="3417"/>
      <c r="X4" s="1265"/>
      <c r="Y4" s="3393" t="s">
        <v>1775</v>
      </c>
      <c r="Z4" s="3394"/>
      <c r="AA4" s="3388" t="s">
        <v>1771</v>
      </c>
      <c r="AB4" s="3389" t="s">
        <v>1772</v>
      </c>
      <c r="AC4" s="3388" t="s">
        <v>1773</v>
      </c>
    </row>
    <row r="5" spans="1:29" ht="14" customHeight="1">
      <c r="A5" s="348"/>
      <c r="B5" s="349"/>
      <c r="C5" s="3399" t="s">
        <v>1673</v>
      </c>
      <c r="D5" s="3398"/>
      <c r="E5" s="3397" t="str">
        <f>[2]售价案例!M18</f>
        <v>联东U谷</v>
      </c>
      <c r="F5" s="3398"/>
      <c r="G5" s="3397" t="str">
        <f>[2]售价案例!M19</f>
        <v>联东U谷</v>
      </c>
      <c r="H5" s="3398"/>
      <c r="I5" s="3397" t="str">
        <f>[2]售价案例!M20</f>
        <v>红金龙国际企业港</v>
      </c>
      <c r="J5" s="3398"/>
      <c r="K5" s="537"/>
      <c r="L5" s="860"/>
      <c r="M5" s="861"/>
      <c r="N5" s="861"/>
      <c r="O5" s="861"/>
      <c r="P5" s="3411"/>
      <c r="Q5" s="3412"/>
      <c r="R5" s="3395"/>
      <c r="S5" s="3396"/>
      <c r="T5" s="3395"/>
      <c r="U5" s="3396"/>
      <c r="V5" s="3417"/>
      <c r="W5" s="3417"/>
      <c r="X5" s="1265"/>
      <c r="Y5" s="3395"/>
      <c r="Z5" s="3396"/>
      <c r="AA5" s="3389"/>
      <c r="AB5" s="3389"/>
      <c r="AC5" s="3389"/>
    </row>
    <row r="6" spans="1:29" ht="15" thickBot="1">
      <c r="A6" s="350"/>
      <c r="B6" s="351"/>
      <c r="C6" s="3400" t="s">
        <v>1677</v>
      </c>
      <c r="D6" s="3401"/>
      <c r="E6" s="3402" t="s">
        <v>1677</v>
      </c>
      <c r="F6" s="3403"/>
      <c r="G6" s="3400" t="s">
        <v>1677</v>
      </c>
      <c r="H6" s="3401"/>
      <c r="I6" s="3400" t="s">
        <v>1677</v>
      </c>
      <c r="J6" s="3401"/>
      <c r="K6" s="537" t="s">
        <v>1678</v>
      </c>
      <c r="L6" s="860"/>
      <c r="M6" s="861"/>
      <c r="N6" s="861"/>
      <c r="O6" s="861"/>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v>45847</v>
      </c>
      <c r="F7" s="357">
        <f>SUMIF(52:52,YEAR(E7)&amp;"-"&amp;MONTH(E7),53:53)</f>
        <v>108.94999999999999</v>
      </c>
      <c r="G7" s="356">
        <v>45847</v>
      </c>
      <c r="H7" s="355">
        <f>SUMIF(52:52,YEAR(G7)&amp;"-"&amp;MONTH(G7),53:53)</f>
        <v>108.94999999999999</v>
      </c>
      <c r="I7" s="356">
        <v>45847</v>
      </c>
      <c r="J7" s="355">
        <f>SUMIF(52:52,YEAR(I7)&amp;"-"&amp;MONTH(I7),53:53)</f>
        <v>108.94999999999999</v>
      </c>
      <c r="K7" s="38"/>
      <c r="L7" s="862"/>
      <c r="M7" s="863"/>
      <c r="N7" s="863"/>
      <c r="O7" s="863"/>
      <c r="P7" s="3391" t="s">
        <v>1680</v>
      </c>
      <c r="Q7" s="3418"/>
      <c r="R7" s="664" t="s">
        <v>14</v>
      </c>
      <c r="S7" s="665">
        <f t="shared" ref="S7:S15" si="0">F7</f>
        <v>108.94999999999999</v>
      </c>
      <c r="T7" s="664" t="s">
        <v>14</v>
      </c>
      <c r="U7" s="665">
        <f t="shared" ref="U7:U15" si="1">H7</f>
        <v>108.94999999999999</v>
      </c>
      <c r="V7" s="664" t="s">
        <v>14</v>
      </c>
      <c r="W7" s="665">
        <f t="shared" ref="W7:W15" si="2">J7</f>
        <v>108.94999999999999</v>
      </c>
      <c r="X7" s="666"/>
      <c r="Y7" s="3391" t="s">
        <v>1680</v>
      </c>
      <c r="Z7" s="3392"/>
      <c r="AA7" s="50">
        <f>D7/F7</f>
        <v>0.9178522257916476</v>
      </c>
      <c r="AB7" s="50">
        <f>D7/H7</f>
        <v>0.9178522257916476</v>
      </c>
      <c r="AC7" s="50">
        <f>D7/J7</f>
        <v>0.9178522257916476</v>
      </c>
    </row>
    <row r="8" spans="1:29" s="102" customFormat="1" ht="14.5" thickBot="1">
      <c r="A8" s="352" t="s">
        <v>1681</v>
      </c>
      <c r="B8" s="353"/>
      <c r="C8" s="358" t="s">
        <v>3456</v>
      </c>
      <c r="D8" s="355">
        <v>100</v>
      </c>
      <c r="E8" s="358" t="s">
        <v>3436</v>
      </c>
      <c r="F8" s="357">
        <f>SUMIF(55:55,E8,56:56)-SUMIF(55:55,C8,56:56)+100</f>
        <v>110</v>
      </c>
      <c r="G8" s="358" t="s">
        <v>3436</v>
      </c>
      <c r="H8" s="355">
        <f>SUMIF(55:55,G8,56:56)-SUMIF(55:55,C8,56:56)+100</f>
        <v>110</v>
      </c>
      <c r="I8" s="358" t="s">
        <v>3436</v>
      </c>
      <c r="J8" s="355">
        <f>SUMIF(55:55,I8,56:56)-SUMIF(55:55,C8,56:56)+100</f>
        <v>110</v>
      </c>
      <c r="K8" s="38"/>
      <c r="L8" s="862"/>
      <c r="M8" s="863"/>
      <c r="N8" s="863"/>
      <c r="O8" s="863"/>
      <c r="P8" s="3391" t="s">
        <v>1683</v>
      </c>
      <c r="Q8" s="3392"/>
      <c r="R8" s="664" t="s">
        <v>14</v>
      </c>
      <c r="S8" s="665">
        <f t="shared" si="0"/>
        <v>110</v>
      </c>
      <c r="T8" s="664" t="s">
        <v>14</v>
      </c>
      <c r="U8" s="665">
        <f t="shared" si="1"/>
        <v>110</v>
      </c>
      <c r="V8" s="664" t="s">
        <v>14</v>
      </c>
      <c r="W8" s="665">
        <f t="shared" si="2"/>
        <v>110</v>
      </c>
      <c r="X8" s="666"/>
      <c r="Y8" s="3391" t="s">
        <v>1683</v>
      </c>
      <c r="Z8" s="3392"/>
      <c r="AA8" s="50">
        <f t="shared" ref="AA8:AA40" si="3">D8/F8</f>
        <v>0.90909090909090906</v>
      </c>
      <c r="AB8" s="50">
        <f t="shared" ref="AB8:AB40" si="4">D8/H8</f>
        <v>0.90909090909090906</v>
      </c>
      <c r="AC8" s="50">
        <f t="shared" ref="AC8:AC40" si="5">D8/J8</f>
        <v>0.90909090909090906</v>
      </c>
    </row>
    <row r="9" spans="1:29" s="102" customFormat="1">
      <c r="A9" s="359" t="s">
        <v>1684</v>
      </c>
      <c r="B9" s="60" t="s">
        <v>1685</v>
      </c>
      <c r="C9" s="3180" t="s">
        <v>3457</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42">
      <c r="A15" s="379" t="s">
        <v>1690</v>
      </c>
      <c r="B15" s="58" t="s">
        <v>1827</v>
      </c>
      <c r="C15" s="1819" t="str">
        <f>估价对象房地状况!G3</f>
        <v>估价对象位于XX开发区，园区建设成熟度XX，产业集聚程度XX</v>
      </c>
      <c r="D15" s="380">
        <v>100</v>
      </c>
      <c r="E15" s="381"/>
      <c r="F15" s="382">
        <f>SUMIF(70:70,E16,71:71)-SUMIF(70:70,C16,71:71)+100</f>
        <v>103</v>
      </c>
      <c r="G15" s="383"/>
      <c r="H15" s="380">
        <f>SUMIF(70:70,G16,71:71)-SUMIF(70:70,C16,71:71)+100</f>
        <v>103</v>
      </c>
      <c r="I15" s="381"/>
      <c r="J15" s="380">
        <f>SUMIF(70:70,I16,71:71)-SUMIF(70:70,C16,71:71)+100</f>
        <v>100</v>
      </c>
      <c r="K15" s="540">
        <v>3</v>
      </c>
      <c r="L15" s="870"/>
      <c r="M15" s="861"/>
      <c r="N15" s="861"/>
      <c r="O15" s="869"/>
      <c r="P15" s="3419" t="s">
        <v>1691</v>
      </c>
      <c r="Q15" s="1263" t="str">
        <f t="shared" si="6"/>
        <v>产业集聚程度</v>
      </c>
      <c r="R15" s="667" t="s">
        <v>14</v>
      </c>
      <c r="S15" s="668">
        <f t="shared" si="0"/>
        <v>103</v>
      </c>
      <c r="T15" s="667" t="s">
        <v>14</v>
      </c>
      <c r="U15" s="668">
        <f t="shared" si="1"/>
        <v>103</v>
      </c>
      <c r="V15" s="667" t="s">
        <v>14</v>
      </c>
      <c r="W15" s="668">
        <f t="shared" si="2"/>
        <v>100</v>
      </c>
      <c r="X15" s="1265"/>
      <c r="Y15" s="3419" t="s">
        <v>1691</v>
      </c>
      <c r="Z15" s="1264" t="str">
        <f t="shared" si="7"/>
        <v>产业集聚程度</v>
      </c>
      <c r="AA15" s="1264">
        <f t="shared" si="3"/>
        <v>0.970873786407767</v>
      </c>
      <c r="AB15" s="1264">
        <f t="shared" si="4"/>
        <v>0.970873786407767</v>
      </c>
      <c r="AC15" s="1264">
        <f t="shared" si="5"/>
        <v>1</v>
      </c>
    </row>
    <row r="16" spans="1:29" ht="15.5">
      <c r="A16" s="367"/>
      <c r="B16" s="385"/>
      <c r="C16" s="386" t="s">
        <v>3472</v>
      </c>
      <c r="D16" s="387"/>
      <c r="E16" s="386" t="s">
        <v>3483</v>
      </c>
      <c r="F16" s="388"/>
      <c r="G16" s="386" t="s">
        <v>3483</v>
      </c>
      <c r="H16" s="389"/>
      <c r="I16" s="386" t="s">
        <v>3472</v>
      </c>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70">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28">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56">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v>3</v>
      </c>
      <c r="L29" s="870"/>
      <c r="M29" s="861"/>
      <c r="N29" s="861"/>
      <c r="O29" s="869"/>
      <c r="P29" s="3421"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5">
      <c r="A30" s="406"/>
      <c r="B30" s="364" t="s">
        <v>1697</v>
      </c>
      <c r="C30" s="407">
        <f>'数据-汇总表'!E19</f>
        <v>759.2</v>
      </c>
      <c r="D30" s="119">
        <v>100</v>
      </c>
      <c r="E30" s="369">
        <v>1336</v>
      </c>
      <c r="F30" s="364">
        <f>LOOKUP(E30,91:91,92:92)-LOOKUP(C30,91:91,92:92)+100</f>
        <v>99</v>
      </c>
      <c r="G30" s="368">
        <v>630</v>
      </c>
      <c r="H30" s="119">
        <f>LOOKUP(G30,91:91,92:92)-LOOKUP(C30,91:91,92:92)+100</f>
        <v>100</v>
      </c>
      <c r="I30" s="368">
        <v>330</v>
      </c>
      <c r="J30" s="119">
        <f>LOOKUP(I30,91:91,92:92)-LOOKUP(C30,91:91,92:92)+100</f>
        <v>101</v>
      </c>
      <c r="K30" s="539"/>
      <c r="L30" s="868"/>
      <c r="M30" s="871"/>
      <c r="N30" s="871"/>
      <c r="O30" s="872"/>
      <c r="P30" s="3422"/>
      <c r="Q30" s="531" t="str">
        <f t="shared" si="11"/>
        <v>项目建筑规模</v>
      </c>
      <c r="R30" s="669" t="s">
        <v>14</v>
      </c>
      <c r="S30" s="670">
        <f t="shared" si="12"/>
        <v>99</v>
      </c>
      <c r="T30" s="669" t="s">
        <v>14</v>
      </c>
      <c r="U30" s="670">
        <f t="shared" si="13"/>
        <v>100</v>
      </c>
      <c r="V30" s="669" t="s">
        <v>14</v>
      </c>
      <c r="W30" s="670">
        <f t="shared" si="14"/>
        <v>101</v>
      </c>
      <c r="X30" s="671"/>
      <c r="Y30" s="3422"/>
      <c r="Z30" s="672" t="str">
        <f t="shared" si="15"/>
        <v>项目建筑规模</v>
      </c>
      <c r="AA30" s="1264">
        <f t="shared" si="3"/>
        <v>1.0101010101010102</v>
      </c>
      <c r="AB30" s="1264">
        <f t="shared" si="4"/>
        <v>1</v>
      </c>
      <c r="AC30" s="1264">
        <f t="shared" si="5"/>
        <v>0.99009900990099009</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5">
      <c r="A33" s="409"/>
      <c r="B33" s="364" t="s">
        <v>1786</v>
      </c>
      <c r="C33" s="411">
        <v>0.8</v>
      </c>
      <c r="D33" s="374">
        <v>100</v>
      </c>
      <c r="E33" s="411">
        <v>0.8</v>
      </c>
      <c r="F33" s="400">
        <f>LOOKUP(E33,98:98,99:99)-LOOKUP(C33,98:98,99:99)+100</f>
        <v>100</v>
      </c>
      <c r="G33" s="411">
        <v>0.8</v>
      </c>
      <c r="H33" s="400">
        <f>LOOKUP(G33,98:98,99:99)-LOOKUP(C33,98:98,99:99)+100</f>
        <v>100</v>
      </c>
      <c r="I33" s="411">
        <v>0.8</v>
      </c>
      <c r="J33" s="374">
        <f>LOOKUP(I33,98:98,99:99)-LOOKUP(C33,98:98,99:99)+100</f>
        <v>100</v>
      </c>
      <c r="K33" s="538">
        <v>1</v>
      </c>
      <c r="L33" s="870"/>
      <c r="M33" s="861"/>
      <c r="N33" s="861"/>
      <c r="O33" s="869"/>
      <c r="P33" s="3422"/>
      <c r="Q33" s="1263" t="str">
        <f t="shared" si="11"/>
        <v>成新度</v>
      </c>
      <c r="R33" s="667" t="s">
        <v>14</v>
      </c>
      <c r="S33" s="668">
        <f t="shared" si="12"/>
        <v>100</v>
      </c>
      <c r="T33" s="667" t="s">
        <v>14</v>
      </c>
      <c r="U33" s="668">
        <f t="shared" si="13"/>
        <v>100</v>
      </c>
      <c r="V33" s="667" t="s">
        <v>14</v>
      </c>
      <c r="W33" s="668">
        <f t="shared" si="14"/>
        <v>100</v>
      </c>
      <c r="X33" s="1265"/>
      <c r="Y33" s="3422"/>
      <c r="Z33" s="1264" t="str">
        <f t="shared" si="15"/>
        <v>成新度</v>
      </c>
      <c r="AA33" s="1264">
        <f t="shared" si="3"/>
        <v>1</v>
      </c>
      <c r="AB33" s="1264">
        <f t="shared" si="4"/>
        <v>1</v>
      </c>
      <c r="AC33" s="1264">
        <f t="shared" si="5"/>
        <v>1</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5">
      <c r="A35" s="409"/>
      <c r="B35" s="364" t="s">
        <v>1787</v>
      </c>
      <c r="C35" s="399" t="s">
        <v>3444</v>
      </c>
      <c r="D35" s="374">
        <v>100</v>
      </c>
      <c r="E35" s="399" t="s">
        <v>3445</v>
      </c>
      <c r="F35" s="400">
        <f>SUMIF(102:102,E35,103:103)-SUMIF(102:102,C35,103:103)+100</f>
        <v>99</v>
      </c>
      <c r="G35" s="399" t="s">
        <v>3445</v>
      </c>
      <c r="H35" s="374">
        <f>SUMIF(102:102,G35,103:103)-SUMIF(102:102,C35,103:103)+100</f>
        <v>99</v>
      </c>
      <c r="I35" s="399" t="s">
        <v>3444</v>
      </c>
      <c r="J35" s="374">
        <f>SUMIF(102:102,I35,103:103)-SUMIF(102:102,C35,103:103)+100</f>
        <v>100</v>
      </c>
      <c r="K35" s="538">
        <v>1</v>
      </c>
      <c r="L35" s="870"/>
      <c r="M35" s="861"/>
      <c r="N35" s="861"/>
      <c r="O35" s="869"/>
      <c r="P35" s="3422" t="s">
        <v>1696</v>
      </c>
      <c r="Q35" s="1263" t="str">
        <f t="shared" si="11"/>
        <v>市政基础设施</v>
      </c>
      <c r="R35" s="667" t="s">
        <v>14</v>
      </c>
      <c r="S35" s="668">
        <f t="shared" si="12"/>
        <v>99</v>
      </c>
      <c r="T35" s="667" t="s">
        <v>14</v>
      </c>
      <c r="U35" s="668">
        <f t="shared" si="13"/>
        <v>99</v>
      </c>
      <c r="V35" s="667" t="s">
        <v>14</v>
      </c>
      <c r="W35" s="668">
        <f t="shared" si="14"/>
        <v>100</v>
      </c>
      <c r="X35" s="1265"/>
      <c r="Y35" s="3422" t="s">
        <v>1696</v>
      </c>
      <c r="Z35" s="1264" t="str">
        <f t="shared" si="15"/>
        <v>市政基础设施</v>
      </c>
      <c r="AA35" s="1264">
        <f t="shared" si="3"/>
        <v>1.0101010101010102</v>
      </c>
      <c r="AB35" s="1264">
        <f t="shared" si="4"/>
        <v>1.0101010101010102</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v>2</v>
      </c>
      <c r="L36" s="870"/>
      <c r="M36" s="3196" t="s">
        <v>3471</v>
      </c>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v>2</v>
      </c>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5">
      <c r="A38" s="406"/>
      <c r="B38" s="3178" t="s">
        <v>3454</v>
      </c>
      <c r="C38" s="3192" t="s">
        <v>3482</v>
      </c>
      <c r="D38" s="374">
        <v>100</v>
      </c>
      <c r="E38" s="3192" t="s">
        <v>3482</v>
      </c>
      <c r="F38" s="400">
        <f>SUMIF(108:108,E38,109:109)-SUMIF(108:108,C38,109:109)+100</f>
        <v>100</v>
      </c>
      <c r="G38" s="3192" t="s">
        <v>3482</v>
      </c>
      <c r="H38" s="374">
        <f>SUMIF(108:108,G38,109:109)-SUMIF(108:108,C38,109:109)+100</f>
        <v>100</v>
      </c>
      <c r="I38" s="3192" t="s">
        <v>3482</v>
      </c>
      <c r="J38" s="374">
        <f>SUMIF(108:108,I38,109:1038)-SUMIF(108:108,C38,109:109)+100</f>
        <v>100</v>
      </c>
      <c r="K38" s="539"/>
      <c r="L38" s="868"/>
      <c r="M38" s="871"/>
      <c r="N38" s="871"/>
      <c r="O38" s="872"/>
      <c r="P38" s="3422"/>
      <c r="Q38" s="531" t="str">
        <f t="shared" si="11"/>
        <v>层高</v>
      </c>
      <c r="R38" s="669" t="s">
        <v>14</v>
      </c>
      <c r="S38" s="670">
        <f t="shared" si="12"/>
        <v>100</v>
      </c>
      <c r="T38" s="669" t="s">
        <v>14</v>
      </c>
      <c r="U38" s="670">
        <f t="shared" si="13"/>
        <v>100</v>
      </c>
      <c r="V38" s="669" t="s">
        <v>14</v>
      </c>
      <c r="W38" s="670">
        <f t="shared" si="14"/>
        <v>100</v>
      </c>
      <c r="X38" s="671"/>
      <c r="Y38" s="3422"/>
      <c r="Z38" s="672" t="str">
        <f t="shared" si="15"/>
        <v>层高</v>
      </c>
      <c r="AA38" s="1264">
        <f t="shared" si="3"/>
        <v>1</v>
      </c>
      <c r="AB38" s="1264">
        <f t="shared" si="4"/>
        <v>1</v>
      </c>
      <c r="AC38" s="1264">
        <f t="shared" si="5"/>
        <v>1</v>
      </c>
    </row>
    <row r="39" spans="1:29" ht="15.5">
      <c r="A39" s="409"/>
      <c r="B39" s="3178" t="s">
        <v>3455</v>
      </c>
      <c r="C39" s="3193" t="s">
        <v>3467</v>
      </c>
      <c r="D39" s="374">
        <v>100</v>
      </c>
      <c r="E39" s="3192" t="s">
        <v>3468</v>
      </c>
      <c r="F39" s="400">
        <f>SUMIF(110:110,E39,111:111)-SUMIF(110:110,C39,111:111)+100</f>
        <v>105</v>
      </c>
      <c r="G39" s="3192" t="s">
        <v>3467</v>
      </c>
      <c r="H39" s="374">
        <f>SUMIF(110:110,G39,111:111)-SUMIF(110:110,C39,111:111)+100</f>
        <v>100</v>
      </c>
      <c r="I39" s="3193" t="s">
        <v>3467</v>
      </c>
      <c r="J39" s="374">
        <f>SUMIF(110:110,I39,111:111)-SUMIF(110:110,C39,111:111)+100</f>
        <v>100</v>
      </c>
      <c r="K39" s="539"/>
      <c r="L39" s="870"/>
      <c r="M39" s="861"/>
      <c r="N39" s="861"/>
      <c r="O39" s="869"/>
      <c r="P39" s="3422"/>
      <c r="Q39" s="1263" t="str">
        <f t="shared" si="11"/>
        <v>销售类型</v>
      </c>
      <c r="R39" s="667" t="s">
        <v>14</v>
      </c>
      <c r="S39" s="668">
        <f t="shared" si="12"/>
        <v>105</v>
      </c>
      <c r="T39" s="667" t="s">
        <v>14</v>
      </c>
      <c r="U39" s="668">
        <f t="shared" si="13"/>
        <v>100</v>
      </c>
      <c r="V39" s="667" t="s">
        <v>14</v>
      </c>
      <c r="W39" s="668">
        <f t="shared" si="14"/>
        <v>100</v>
      </c>
      <c r="X39" s="1265"/>
      <c r="Y39" s="3422"/>
      <c r="Z39" s="1264" t="str">
        <f t="shared" si="15"/>
        <v>销售类型</v>
      </c>
      <c r="AA39" s="1264">
        <f t="shared" si="3"/>
        <v>0.95238095238095233</v>
      </c>
      <c r="AB39" s="1264">
        <f t="shared" si="4"/>
        <v>1</v>
      </c>
      <c r="AC39" s="1264">
        <f t="shared" si="5"/>
        <v>1</v>
      </c>
    </row>
    <row r="40" spans="1:29" ht="16" thickBot="1">
      <c r="A40" s="415"/>
      <c r="B40" s="3179"/>
      <c r="C40" s="3194"/>
      <c r="D40" s="377">
        <v>100</v>
      </c>
      <c r="E40" s="3195"/>
      <c r="F40" s="378">
        <f>SUMIF(112:112,E40,113:113)-SUMIF(112:112,C40,113:113)+100</f>
        <v>100</v>
      </c>
      <c r="G40" s="3193"/>
      <c r="H40" s="377">
        <f>SUMIF(112:112,G40,113:113)-SUMIF(112:112,C40,113:113)+100</f>
        <v>100</v>
      </c>
      <c r="I40" s="3193"/>
      <c r="J40" s="377">
        <f>SUMIF(112:112,I40,113:113)-SUMIF(112:112,C40,113:113)+100</f>
        <v>100</v>
      </c>
      <c r="K40" s="539"/>
      <c r="L40" s="870"/>
      <c r="M40" s="861"/>
      <c r="N40" s="861"/>
      <c r="O40" s="869"/>
      <c r="P40" s="3423"/>
      <c r="Q40" s="1263">
        <f t="shared" si="11"/>
        <v>0</v>
      </c>
      <c r="R40" s="667" t="s">
        <v>14</v>
      </c>
      <c r="S40" s="668">
        <f t="shared" si="12"/>
        <v>100</v>
      </c>
      <c r="T40" s="667" t="s">
        <v>14</v>
      </c>
      <c r="U40" s="668">
        <f t="shared" si="13"/>
        <v>100</v>
      </c>
      <c r="V40" s="667" t="s">
        <v>14</v>
      </c>
      <c r="W40" s="668">
        <f t="shared" si="14"/>
        <v>100</v>
      </c>
      <c r="X40" s="1265"/>
      <c r="Y40" s="3423"/>
      <c r="Z40" s="1264">
        <f t="shared" si="15"/>
        <v>0</v>
      </c>
      <c r="AA40" s="1264">
        <f t="shared" si="3"/>
        <v>1</v>
      </c>
      <c r="AB40" s="1264">
        <f t="shared" si="4"/>
        <v>1</v>
      </c>
      <c r="AC40" s="1264">
        <f t="shared" si="5"/>
        <v>1</v>
      </c>
    </row>
    <row r="41" spans="1:29">
      <c r="A41" s="416" t="s">
        <v>1708</v>
      </c>
      <c r="B41" s="417"/>
      <c r="C41" s="1081" t="s">
        <v>0</v>
      </c>
      <c r="D41" s="418"/>
      <c r="E41" s="3191">
        <v>13000</v>
      </c>
      <c r="F41" s="420"/>
      <c r="G41" s="3189">
        <v>11000</v>
      </c>
      <c r="H41" s="3190"/>
      <c r="I41" s="3191">
        <v>12000</v>
      </c>
      <c r="J41" s="422"/>
      <c r="K41" s="674"/>
      <c r="L41" s="873"/>
      <c r="M41" s="861"/>
      <c r="N41" s="861"/>
      <c r="O41" s="861"/>
      <c r="P41" s="3404" t="str">
        <f>A41</f>
        <v>成交单价（元/平方米）</v>
      </c>
      <c r="Q41" s="3404"/>
      <c r="R41" s="3417">
        <f>E41</f>
        <v>13000</v>
      </c>
      <c r="S41" s="3417"/>
      <c r="T41" s="3417">
        <f>G41</f>
        <v>11000</v>
      </c>
      <c r="U41" s="3417"/>
      <c r="V41" s="3417">
        <f>I41</f>
        <v>12000</v>
      </c>
      <c r="W41" s="3417"/>
      <c r="X41" s="385"/>
      <c r="Y41" s="673"/>
      <c r="Z41" s="385"/>
      <c r="AA41" s="385"/>
      <c r="AB41" s="385"/>
      <c r="AC41" s="385"/>
    </row>
    <row r="42" spans="1:29" ht="14.5" thickBot="1">
      <c r="A42" s="423" t="s">
        <v>1793</v>
      </c>
      <c r="B42" s="424"/>
      <c r="C42" s="1082">
        <f>R43</f>
        <v>9716</v>
      </c>
      <c r="D42" s="2141" t="s">
        <v>2138</v>
      </c>
      <c r="E42" s="1083">
        <f>R42</f>
        <v>10234</v>
      </c>
      <c r="F42" s="2142"/>
      <c r="G42" s="1082">
        <f>T42</f>
        <v>9001</v>
      </c>
      <c r="H42" s="2142"/>
      <c r="I42" s="1083">
        <f>V42</f>
        <v>9914</v>
      </c>
      <c r="J42" s="2142"/>
      <c r="K42" s="2144">
        <f>F42+H42+J42</f>
        <v>0</v>
      </c>
      <c r="L42" s="873"/>
      <c r="M42" s="861"/>
      <c r="N42" s="861"/>
      <c r="O42" s="861"/>
      <c r="P42" s="3404" t="str">
        <f>A42</f>
        <v>比较价值（元/平方米）</v>
      </c>
      <c r="Q42" s="3404"/>
      <c r="R42" s="3417">
        <f>IF(F1="售价",ROUND(PRODUCT(R41,AA7:AA40),0),ROUND(PRODUCT(R41,AA7:AA40),1))</f>
        <v>10234</v>
      </c>
      <c r="S42" s="3417"/>
      <c r="T42" s="3417">
        <f>IF(F1="售价",ROUND(PRODUCT(T41,AB7:AB40),0),ROUND(PRODUCT(T41,AB7:AB40),1))</f>
        <v>9001</v>
      </c>
      <c r="U42" s="3417"/>
      <c r="V42" s="3417">
        <f>IF(F1="售价",ROUND(PRODUCT(V41,AC7:AC40),0),ROUND(PRODUCT(V41,AC7:AC40),1))</f>
        <v>9914</v>
      </c>
      <c r="W42" s="3417"/>
      <c r="X42" s="385"/>
      <c r="Y42" s="385"/>
      <c r="Z42" s="385"/>
      <c r="AA42" s="385"/>
      <c r="AB42" s="385"/>
      <c r="AC42" s="385"/>
    </row>
    <row r="43" spans="1:29" ht="14.5" thickBot="1">
      <c r="A43" s="427" t="s">
        <v>1794</v>
      </c>
      <c r="B43" s="428"/>
      <c r="C43" s="351">
        <f>R43</f>
        <v>9716</v>
      </c>
      <c r="D43" s="351"/>
      <c r="E43" s="351"/>
      <c r="F43" s="351"/>
      <c r="G43" s="351"/>
      <c r="H43" s="351"/>
      <c r="I43" s="351"/>
      <c r="J43" s="351"/>
      <c r="K43" s="675"/>
      <c r="L43" s="873"/>
      <c r="M43" s="861"/>
      <c r="N43" s="861"/>
      <c r="O43" s="861"/>
      <c r="P43" s="3424" t="str">
        <f>A43</f>
        <v>估价对象XX用房的比较价值（楼面单价，元/平方米）</v>
      </c>
      <c r="Q43" s="3425"/>
      <c r="R43" s="3426">
        <f>IF(F1="售价",ROUND(IF(D42="简单平均",AVERAGE(R42:V42),R42*F42+T42*H42+V42*J42),0),ROUND(IF(D42="简单平均",AVERAGE(R42:V42),R42*F42+T42*H42+V42*J42),1))</f>
        <v>9716</v>
      </c>
      <c r="S43" s="3426"/>
      <c r="T43" s="3426"/>
      <c r="U43" s="3426"/>
      <c r="V43" s="3426"/>
      <c r="W43" s="34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0.27027555208129761</v>
      </c>
      <c r="F46" s="435" t="str">
        <f>IF(OR(E46&gt;=0.3,E46&lt;=-0.3),"超过30%","")</f>
        <v/>
      </c>
      <c r="G46" s="434">
        <f>IF(G41&lt;G42,G42/G41-1,G41/G42-1)</f>
        <v>0.22208643484057333</v>
      </c>
      <c r="H46" s="435" t="str">
        <f>IF(OR(G46&gt;=0.3,G46&lt;=-0.3),"超过30%","")</f>
        <v/>
      </c>
      <c r="I46" s="434">
        <f>IF(I41&lt;I42,I42/I41-1,I41/I42-1)</f>
        <v>0.21040952188823892</v>
      </c>
      <c r="J46" s="435" t="str">
        <f>IF(OR(I46&gt;=0.3,I46&lt;=-0.3),"超过30%","")</f>
        <v/>
      </c>
      <c r="K46" s="2500"/>
      <c r="L46" s="836"/>
      <c r="M46" s="861"/>
      <c r="N46" s="861"/>
      <c r="O46" s="861"/>
    </row>
    <row r="47" spans="1:29" ht="13.5" customHeight="1">
      <c r="A47" s="2488"/>
      <c r="B47" s="2488"/>
      <c r="C47" s="432" t="s">
        <v>1796</v>
      </c>
      <c r="D47" s="436"/>
      <c r="E47" s="434">
        <f>IF(E42&lt;G42,G42/E42-1,E42/G42-1)</f>
        <v>0.13698477946894783</v>
      </c>
      <c r="F47" s="435" t="str">
        <f>IF(OR(E47&gt;=0.2,E47&lt;=-0.2),"超过20%","")</f>
        <v/>
      </c>
      <c r="G47" s="434">
        <f>IF(G42&lt;I42,I42/G42-1,G42/I42-1)</f>
        <v>0.10143317409176755</v>
      </c>
      <c r="H47" s="435" t="str">
        <f>IF(OR(G47&gt;=0.2,G47&lt;=-0.2),"超过20%","")</f>
        <v/>
      </c>
      <c r="I47" s="434">
        <f>IF(I42&lt;E42,E42/I42-1,I42/E42-1)</f>
        <v>3.2277587250353124E-2</v>
      </c>
      <c r="J47" s="435" t="str">
        <f>IF(OR(I47&gt;=0.2,I47&lt;=-0.2),"超过20%","")</f>
        <v/>
      </c>
      <c r="K47" s="2500"/>
      <c r="L47" s="836"/>
      <c r="M47" s="861"/>
      <c r="N47" s="861"/>
      <c r="O47" s="861"/>
    </row>
    <row r="48" spans="1:29" s="437" customFormat="1" ht="13.5" customHeight="1">
      <c r="A48" s="2498"/>
      <c r="B48" s="2498"/>
      <c r="C48" s="432" t="s">
        <v>1797</v>
      </c>
      <c r="D48" s="436"/>
      <c r="E48" s="434">
        <f>IF(E41&lt;G41,G41/E41-1,E41/G41-1)</f>
        <v>0.18181818181818188</v>
      </c>
      <c r="F48" s="435" t="str">
        <f>IF(OR(E48&gt;=0.3,E48&lt;=-0.3),"超过30%","")</f>
        <v/>
      </c>
      <c r="G48" s="434">
        <f>IF(G41&lt;I41,I41/G41-1,G41/I41-1)</f>
        <v>9.0909090909090828E-2</v>
      </c>
      <c r="H48" s="435" t="str">
        <f>IF(OR(G48&gt;=0.3,G48&lt;=-0.3),"超过30%","")</f>
        <v/>
      </c>
      <c r="I48" s="434">
        <f>IF(I41&lt;E41,E41/I41-1,I41/E41-1)</f>
        <v>8.3333333333333259E-2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3197">
        <f>'地价-分区'!AJ6</f>
        <v>108.94999999999999</v>
      </c>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71" t="s">
        <v>3436</v>
      </c>
      <c r="E55" s="31"/>
      <c r="F55" s="31"/>
      <c r="G55" s="31"/>
      <c r="H55" s="31"/>
      <c r="I55" s="31"/>
      <c r="J55" s="31"/>
      <c r="K55" s="31"/>
      <c r="L55" s="457"/>
      <c r="M55" s="458"/>
      <c r="N55" s="878"/>
      <c r="O55" s="878"/>
      <c r="P55" s="459"/>
      <c r="Q55" s="439"/>
    </row>
    <row r="56" spans="1:17" s="102" customFormat="1" ht="14.5" thickBot="1">
      <c r="A56" s="455"/>
      <c r="B56" s="444"/>
      <c r="C56" s="563">
        <v>100</v>
      </c>
      <c r="D56" s="446">
        <v>110</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t="s">
        <v>3437</v>
      </c>
      <c r="D59" s="513" t="s">
        <v>3438</v>
      </c>
      <c r="E59" s="513" t="s">
        <v>3439</v>
      </c>
      <c r="F59" s="513" t="s">
        <v>3440</v>
      </c>
      <c r="G59" s="513" t="s">
        <v>3441</v>
      </c>
      <c r="H59" s="513"/>
      <c r="I59" s="513"/>
      <c r="J59" s="513"/>
      <c r="K59" s="514"/>
      <c r="L59" s="515"/>
      <c r="M59" s="516"/>
      <c r="N59" s="879"/>
      <c r="O59" s="879"/>
      <c r="P59" s="40"/>
      <c r="Q59" s="439"/>
    </row>
    <row r="60" spans="1:17" ht="14.5" thickBot="1">
      <c r="A60" s="367"/>
      <c r="B60" s="474"/>
      <c r="C60" s="467">
        <f t="shared" ref="C60:F60" si="17">D60-2</f>
        <v>92</v>
      </c>
      <c r="D60" s="467">
        <f t="shared" si="17"/>
        <v>94</v>
      </c>
      <c r="E60" s="467">
        <f t="shared" si="17"/>
        <v>96</v>
      </c>
      <c r="F60" s="467">
        <f t="shared" si="17"/>
        <v>98</v>
      </c>
      <c r="G60" s="467">
        <v>100</v>
      </c>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8">D62&amp;"（含）"&amp;"-"&amp;E62</f>
        <v>2（含）-</v>
      </c>
      <c r="E61" s="478" t="str">
        <f t="shared" si="18"/>
        <v>（含）-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3172" t="s">
        <v>3442</v>
      </c>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20">C89-$K29</f>
        <v>97</v>
      </c>
      <c r="E89" s="475">
        <f t="shared" si="20"/>
        <v>94</v>
      </c>
      <c r="F89" s="475">
        <f t="shared" si="20"/>
        <v>91</v>
      </c>
      <c r="G89" s="475">
        <f t="shared" si="20"/>
        <v>88</v>
      </c>
      <c r="H89" s="475">
        <f t="shared" si="20"/>
        <v>85</v>
      </c>
      <c r="I89" s="475">
        <f t="shared" si="20"/>
        <v>82</v>
      </c>
      <c r="J89" s="475">
        <f t="shared" si="20"/>
        <v>79</v>
      </c>
      <c r="K89" s="475">
        <f t="shared" si="20"/>
        <v>76</v>
      </c>
      <c r="L89" s="475">
        <f t="shared" si="20"/>
        <v>73</v>
      </c>
      <c r="M89" s="476">
        <f t="shared" si="20"/>
        <v>70</v>
      </c>
      <c r="N89" s="880"/>
      <c r="O89" s="880"/>
      <c r="P89" s="40"/>
      <c r="Q89" s="439"/>
    </row>
    <row r="90" spans="1:17" ht="28.5" thickTop="1">
      <c r="A90" s="367"/>
      <c r="B90" s="469" t="s">
        <v>1737</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4.5" thickBot="1">
      <c r="A92" s="484"/>
      <c r="B92" s="474"/>
      <c r="C92" s="491">
        <v>100</v>
      </c>
      <c r="D92" s="467">
        <f>C92-1</f>
        <v>99</v>
      </c>
      <c r="E92" s="467">
        <f t="shared" ref="E92:G92" si="22">D92-1</f>
        <v>98</v>
      </c>
      <c r="F92" s="467">
        <f t="shared" si="22"/>
        <v>97</v>
      </c>
      <c r="G92" s="467">
        <f t="shared" si="22"/>
        <v>96</v>
      </c>
      <c r="H92" s="467"/>
      <c r="I92" s="467"/>
      <c r="J92" s="467"/>
      <c r="K92" s="467"/>
      <c r="L92" s="467"/>
      <c r="M92" s="468"/>
      <c r="N92" s="880"/>
      <c r="O92" s="880"/>
      <c r="P92" s="489"/>
      <c r="Q92" s="490"/>
    </row>
    <row r="93" spans="1:17" ht="14.5" thickTop="1">
      <c r="A93" s="409"/>
      <c r="B93" s="469" t="s">
        <v>1738</v>
      </c>
      <c r="C93" s="3173" t="s">
        <v>3430</v>
      </c>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3">C94-$K31</f>
        <v>100</v>
      </c>
      <c r="E94" s="475">
        <f t="shared" si="23"/>
        <v>100</v>
      </c>
      <c r="F94" s="475">
        <f t="shared" si="23"/>
        <v>100</v>
      </c>
      <c r="G94" s="475">
        <f t="shared" si="23"/>
        <v>100</v>
      </c>
      <c r="H94" s="475">
        <f t="shared" si="23"/>
        <v>100</v>
      </c>
      <c r="I94" s="475">
        <f t="shared" si="23"/>
        <v>100</v>
      </c>
      <c r="J94" s="475">
        <f t="shared" si="23"/>
        <v>100</v>
      </c>
      <c r="K94" s="475">
        <f t="shared" si="23"/>
        <v>100</v>
      </c>
      <c r="L94" s="475">
        <f t="shared" si="23"/>
        <v>100</v>
      </c>
      <c r="M94" s="476">
        <f t="shared" si="23"/>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4">C96-$K32</f>
        <v>100</v>
      </c>
      <c r="E96" s="475">
        <f t="shared" si="24"/>
        <v>100</v>
      </c>
      <c r="F96" s="475">
        <f t="shared" si="24"/>
        <v>100</v>
      </c>
      <c r="G96" s="475">
        <f t="shared" si="24"/>
        <v>100</v>
      </c>
      <c r="H96" s="475">
        <f t="shared" si="24"/>
        <v>100</v>
      </c>
      <c r="I96" s="475">
        <f t="shared" si="24"/>
        <v>100</v>
      </c>
      <c r="J96" s="475">
        <f t="shared" si="24"/>
        <v>100</v>
      </c>
      <c r="K96" s="475">
        <f t="shared" si="24"/>
        <v>100</v>
      </c>
      <c r="L96" s="475">
        <f t="shared" si="24"/>
        <v>100</v>
      </c>
      <c r="M96" s="476">
        <f t="shared" si="24"/>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101</v>
      </c>
      <c r="E99" s="475">
        <f t="shared" ref="E99:M99" si="25">D99+$K33</f>
        <v>102</v>
      </c>
      <c r="F99" s="475">
        <f t="shared" si="25"/>
        <v>103</v>
      </c>
      <c r="G99" s="475">
        <f t="shared" si="25"/>
        <v>104</v>
      </c>
      <c r="H99" s="475">
        <f t="shared" si="25"/>
        <v>105</v>
      </c>
      <c r="I99" s="475">
        <f t="shared" si="25"/>
        <v>106</v>
      </c>
      <c r="J99" s="475">
        <f t="shared" si="25"/>
        <v>107</v>
      </c>
      <c r="K99" s="475">
        <f t="shared" si="25"/>
        <v>108</v>
      </c>
      <c r="L99" s="475">
        <f t="shared" si="25"/>
        <v>109</v>
      </c>
      <c r="M99" s="475">
        <f t="shared" si="25"/>
        <v>110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6">D101-$K34</f>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1"/>
      <c r="O101" s="881"/>
      <c r="P101" s="489"/>
      <c r="Q101" s="490"/>
    </row>
    <row r="102" spans="1:17" ht="14.5" thickTop="1">
      <c r="A102" s="409"/>
      <c r="B102" s="469" t="s">
        <v>1742</v>
      </c>
      <c r="C102" s="3173" t="s">
        <v>3443</v>
      </c>
      <c r="D102" s="3173" t="s">
        <v>3444</v>
      </c>
      <c r="E102" s="3173" t="s">
        <v>3445</v>
      </c>
      <c r="F102" s="485"/>
      <c r="G102" s="485"/>
      <c r="H102" s="513"/>
      <c r="I102" s="513"/>
      <c r="J102" s="513"/>
      <c r="K102" s="514"/>
      <c r="L102" s="515"/>
      <c r="M102" s="516"/>
      <c r="N102" s="879"/>
      <c r="O102" s="879"/>
      <c r="P102" s="40"/>
      <c r="Q102" s="439"/>
    </row>
    <row r="103" spans="1:17" ht="14.5" thickBot="1">
      <c r="A103" s="367"/>
      <c r="B103" s="474"/>
      <c r="C103" s="475">
        <v>100</v>
      </c>
      <c r="D103" s="475">
        <f t="shared" ref="D103:M103" si="27">C103-$K35</f>
        <v>99</v>
      </c>
      <c r="E103" s="475">
        <f t="shared" si="27"/>
        <v>98</v>
      </c>
      <c r="F103" s="475">
        <f t="shared" si="27"/>
        <v>97</v>
      </c>
      <c r="G103" s="475">
        <f t="shared" si="27"/>
        <v>96</v>
      </c>
      <c r="H103" s="475">
        <f t="shared" si="27"/>
        <v>95</v>
      </c>
      <c r="I103" s="475">
        <f t="shared" si="27"/>
        <v>94</v>
      </c>
      <c r="J103" s="475">
        <f t="shared" si="27"/>
        <v>93</v>
      </c>
      <c r="K103" s="475">
        <f t="shared" si="27"/>
        <v>92</v>
      </c>
      <c r="L103" s="475">
        <f t="shared" si="27"/>
        <v>91</v>
      </c>
      <c r="M103" s="476">
        <f t="shared" si="27"/>
        <v>90</v>
      </c>
      <c r="N103" s="880"/>
      <c r="O103" s="880"/>
      <c r="P103" s="40"/>
      <c r="Q103" s="439"/>
    </row>
    <row r="104" spans="1:17" ht="14.5" thickTop="1">
      <c r="A104" s="409"/>
      <c r="B104" s="469" t="s">
        <v>1744</v>
      </c>
      <c r="C104" s="3173" t="s">
        <v>3446</v>
      </c>
      <c r="D104" s="3173" t="s">
        <v>3447</v>
      </c>
      <c r="E104" s="3173" t="s">
        <v>3448</v>
      </c>
      <c r="F104" s="3173" t="s">
        <v>3449</v>
      </c>
      <c r="G104" s="485"/>
      <c r="H104" s="513"/>
      <c r="I104" s="513"/>
      <c r="J104" s="513"/>
      <c r="K104" s="514"/>
      <c r="L104" s="515"/>
      <c r="M104" s="516"/>
      <c r="N104" s="879"/>
      <c r="O104" s="879"/>
      <c r="P104" s="40"/>
      <c r="Q104" s="439"/>
    </row>
    <row r="105" spans="1:17" ht="14.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8">C107-$K37</f>
        <v>98</v>
      </c>
      <c r="E107" s="475">
        <f t="shared" si="28"/>
        <v>96</v>
      </c>
      <c r="F107" s="475">
        <f t="shared" si="28"/>
        <v>94</v>
      </c>
      <c r="G107" s="475">
        <f t="shared" si="28"/>
        <v>92</v>
      </c>
      <c r="H107" s="475">
        <f t="shared" si="28"/>
        <v>90</v>
      </c>
      <c r="I107" s="475">
        <f t="shared" si="28"/>
        <v>88</v>
      </c>
      <c r="J107" s="475">
        <f t="shared" si="28"/>
        <v>86</v>
      </c>
      <c r="K107" s="475">
        <f t="shared" si="28"/>
        <v>84</v>
      </c>
      <c r="L107" s="475">
        <f t="shared" si="28"/>
        <v>82</v>
      </c>
      <c r="M107" s="475">
        <f t="shared" si="28"/>
        <v>80</v>
      </c>
      <c r="N107" s="880"/>
      <c r="O107" s="880"/>
      <c r="P107" s="40"/>
      <c r="Q107" s="439"/>
    </row>
    <row r="108" spans="1:17" s="408" customFormat="1" ht="14.5" thickTop="1">
      <c r="A108" s="406"/>
      <c r="B108" s="469" t="str">
        <f>B38</f>
        <v>层高</v>
      </c>
      <c r="C108" s="3174" t="s">
        <v>3450</v>
      </c>
      <c r="D108" s="3174" t="s">
        <v>3451</v>
      </c>
      <c r="E108" s="485"/>
      <c r="F108" s="485"/>
      <c r="G108" s="485"/>
      <c r="H108" s="486"/>
      <c r="I108" s="486"/>
      <c r="J108" s="486"/>
      <c r="K108" s="486"/>
      <c r="L108" s="487"/>
      <c r="M108" s="488"/>
      <c r="N108" s="881"/>
      <c r="O108" s="881"/>
      <c r="P108" s="489"/>
      <c r="Q108" s="490"/>
    </row>
    <row r="109" spans="1:17" s="408" customFormat="1" ht="14.5" thickBot="1">
      <c r="A109" s="484"/>
      <c r="B109" s="466"/>
      <c r="C109" s="3175">
        <v>100</v>
      </c>
      <c r="D109" s="3176">
        <v>80</v>
      </c>
      <c r="E109" s="467"/>
      <c r="F109" s="467"/>
      <c r="G109" s="491"/>
      <c r="H109" s="493"/>
      <c r="I109" s="493"/>
      <c r="J109" s="493"/>
      <c r="K109" s="493"/>
      <c r="L109" s="493"/>
      <c r="M109" s="494"/>
      <c r="N109" s="881"/>
      <c r="O109" s="881"/>
      <c r="P109" s="489"/>
      <c r="Q109" s="490"/>
    </row>
    <row r="110" spans="1:17" ht="14.5" thickTop="1">
      <c r="A110" s="409"/>
      <c r="B110" s="469" t="str">
        <f>B39</f>
        <v>销售类型</v>
      </c>
      <c r="C110" s="3177" t="s">
        <v>3452</v>
      </c>
      <c r="D110" s="3177" t="s">
        <v>3453</v>
      </c>
      <c r="E110" s="485"/>
      <c r="F110" s="485"/>
      <c r="G110" s="485"/>
      <c r="H110" s="486"/>
      <c r="I110" s="486"/>
      <c r="J110" s="486"/>
      <c r="K110" s="486"/>
      <c r="L110" s="487"/>
      <c r="M110" s="488"/>
      <c r="N110" s="879"/>
      <c r="O110" s="879"/>
      <c r="P110" s="40"/>
      <c r="Q110" s="439"/>
    </row>
    <row r="111" spans="1:17" ht="14.5" thickBot="1">
      <c r="A111" s="367"/>
      <c r="B111" s="474"/>
      <c r="C111" s="3175">
        <v>100</v>
      </c>
      <c r="D111" s="3176">
        <v>105</v>
      </c>
      <c r="E111" s="467"/>
      <c r="F111" s="467"/>
      <c r="G111" s="491"/>
      <c r="H111" s="493"/>
      <c r="I111" s="493"/>
      <c r="J111" s="493"/>
      <c r="K111" s="493"/>
      <c r="L111" s="493"/>
      <c r="M111" s="494"/>
      <c r="N111" s="880"/>
      <c r="O111" s="880"/>
      <c r="P111" s="40"/>
      <c r="Q111" s="439"/>
    </row>
    <row r="112" spans="1:17" ht="14.5" thickTop="1">
      <c r="A112" s="409"/>
      <c r="B112" s="477">
        <f>B40</f>
        <v>0</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F7:F40 H7:H40 J7:J40">
    <cfRule type="cellIs" dxfId="123" priority="1" operator="notEqual">
      <formula>100</formula>
    </cfRule>
  </conditionalFormatting>
  <conditionalFormatting sqref="F42">
    <cfRule type="expression" dxfId="122" priority="4">
      <formula>$D$42="简单平均"</formula>
    </cfRule>
  </conditionalFormatting>
  <conditionalFormatting sqref="F46:F48 H46:H48">
    <cfRule type="containsText" dxfId="121" priority="17" stopIfTrue="1" operator="containsText" text="超过">
      <formula>NOT(ISERROR(SEARCH("超过",F46)))</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G48">
    <cfRule type="expression" dxfId="118" priority="13" stopIfTrue="1">
      <formula>$H$48="超过30%"</formula>
    </cfRule>
  </conditionalFormatting>
  <conditionalFormatting sqref="H42">
    <cfRule type="expression" dxfId="117" priority="3">
      <formula>$D$42="简单平均"</formula>
    </cfRule>
  </conditionalFormatting>
  <conditionalFormatting sqref="I46">
    <cfRule type="expression" dxfId="116" priority="7" stopIfTrue="1">
      <formula>$J$46="超过30%"</formula>
    </cfRule>
  </conditionalFormatting>
  <conditionalFormatting sqref="I47">
    <cfRule type="expression" dxfId="115" priority="6" stopIfTrue="1">
      <formula>$J$47="超过20%"</formula>
    </cfRule>
  </conditionalFormatting>
  <conditionalFormatting sqref="I48">
    <cfRule type="expression" dxfId="114" priority="5" stopIfTrue="1">
      <formula>$J$48="超过30%"</formula>
    </cfRule>
  </conditionalFormatting>
  <conditionalFormatting sqref="J42">
    <cfRule type="expression" dxfId="113" priority="2">
      <formula>$D$42="简单平均"</formula>
    </cfRule>
  </conditionalFormatting>
  <conditionalFormatting sqref="J46:J48">
    <cfRule type="containsText" dxfId="11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301</v>
      </c>
      <c r="D1" s="1271" t="s">
        <v>43</v>
      </c>
      <c r="E1" s="1272" t="s">
        <v>678</v>
      </c>
      <c r="F1" s="999">
        <f ca="1">J53</f>
        <v>26.41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332.2885</v>
      </c>
      <c r="C2" s="1289" t="s">
        <v>879</v>
      </c>
      <c r="D2" s="1375">
        <f ca="1">C40+J29+L46</f>
        <v>3322885</v>
      </c>
      <c r="E2" s="1295" t="s">
        <v>880</v>
      </c>
      <c r="F2" s="1296"/>
      <c r="G2" s="2479"/>
      <c r="H2" s="2469"/>
      <c r="I2" s="2469"/>
      <c r="J2" s="2469"/>
      <c r="K2" s="2470"/>
      <c r="L2" s="2469"/>
      <c r="M2" s="2469"/>
    </row>
    <row r="3" spans="1:37" ht="18" customHeight="1" thickBot="1">
      <c r="A3" s="1297" t="s">
        <v>881</v>
      </c>
      <c r="B3" s="1298">
        <f ca="1">IF(ISERROR(D2/F43),0,ROUND(D2/F43,0))</f>
        <v>4377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249709</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249397</v>
      </c>
      <c r="D6" s="147" t="s">
        <v>2106</v>
      </c>
      <c r="E6" s="294" t="s">
        <v>696</v>
      </c>
      <c r="F6" s="295">
        <f ca="1">INDIRECT("'数据-取费表'!u"&amp;$G$1)</f>
        <v>1</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759.2</v>
      </c>
      <c r="G7" s="1292"/>
      <c r="H7" s="296"/>
      <c r="I7" s="3386"/>
      <c r="J7" s="298"/>
      <c r="K7" s="299"/>
      <c r="L7" s="294" t="s">
        <v>697</v>
      </c>
      <c r="M7" s="295">
        <f ca="1">F7</f>
        <v>759.2</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312</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3394379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3036800</v>
      </c>
      <c r="D14" s="1257" t="s">
        <v>708</v>
      </c>
      <c r="E14" s="1255"/>
      <c r="F14" s="311"/>
      <c r="G14" s="1292"/>
      <c r="H14" s="928" t="s">
        <v>398</v>
      </c>
      <c r="I14" s="294" t="s">
        <v>709</v>
      </c>
      <c r="J14" s="21">
        <f ca="1">C29</f>
        <v>4242974</v>
      </c>
      <c r="K14" s="12"/>
      <c r="L14" s="759"/>
      <c r="M14" s="760"/>
    </row>
    <row r="15" spans="1:37" s="1304" customFormat="1" ht="18" customHeight="1" thickBot="1">
      <c r="A15" s="928" t="s">
        <v>399</v>
      </c>
      <c r="B15" s="294" t="s">
        <v>710</v>
      </c>
      <c r="C15" s="21">
        <f ca="1">ROUND(C14*F15,0)</f>
        <v>151840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21215</v>
      </c>
      <c r="K16" s="1024" t="s">
        <v>715</v>
      </c>
      <c r="L16" s="1025"/>
      <c r="M16" s="1009"/>
    </row>
    <row r="17" spans="1:37" s="1304" customFormat="1" ht="18" customHeight="1">
      <c r="A17" s="928" t="s">
        <v>681</v>
      </c>
      <c r="B17" s="294" t="s">
        <v>716</v>
      </c>
      <c r="C17" s="21">
        <f ca="1">ROUND(F17*(F43+INDIRECT("'数据-取费表'!S"&amp;$G$1)),0)</f>
        <v>151840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60736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3401216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68024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21215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108587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-21215</v>
      </c>
      <c r="K25" s="1032" t="s">
        <v>753</v>
      </c>
      <c r="L25" s="1033"/>
      <c r="M25" s="1034"/>
    </row>
    <row r="26" spans="1:37" ht="18" customHeight="1">
      <c r="A26" s="928" t="s">
        <v>397</v>
      </c>
      <c r="B26" s="294" t="s">
        <v>754</v>
      </c>
      <c r="C26" s="21">
        <f ca="1">ROUND((C19+C20)*F26,0)</f>
        <v>346924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4242974</v>
      </c>
      <c r="D29" s="1029"/>
      <c r="E29" s="1027"/>
      <c r="F29" s="1030"/>
      <c r="G29" s="1303"/>
      <c r="H29" s="325" t="s">
        <v>396</v>
      </c>
      <c r="I29" s="326" t="s">
        <v>768</v>
      </c>
      <c r="J29" s="327">
        <f ca="1">ROUND(J26/(1+F40)^F41,0)</f>
        <v>0</v>
      </c>
      <c r="K29" s="328" t="s">
        <v>769</v>
      </c>
      <c r="L29" s="329"/>
      <c r="M29" s="330">
        <f ca="1">INDIRECT("'数据-取费表'!k"&amp;$G$1)</f>
        <v>759.2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67425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41567</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13064</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28503</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21215</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3394</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1249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182284</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3071562</v>
      </c>
      <c r="D40" s="316" t="s">
        <v>758</v>
      </c>
      <c r="E40" s="294" t="s">
        <v>759</v>
      </c>
      <c r="F40" s="304">
        <f ca="1">INDIRECT("'数据-取费表'!I"&amp;$G$1)</f>
        <v>5.5E-2</v>
      </c>
      <c r="G40" s="1292"/>
      <c r="H40" s="1366">
        <f ca="1">C39/C5</f>
        <v>0.72998570335870949</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26.41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4046</v>
      </c>
      <c r="D43" s="328" t="s">
        <v>777</v>
      </c>
      <c r="E43" s="329" t="s">
        <v>778</v>
      </c>
      <c r="F43" s="330">
        <f ca="1">INDIRECT("'数据-取费表'!k"&amp;$G$1)</f>
        <v>759.2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-341.0197</v>
      </c>
      <c r="D45" s="3131" t="s">
        <v>3351</v>
      </c>
      <c r="E45" s="1307"/>
      <c r="F45" s="1307"/>
      <c r="O45" s="1310" t="s">
        <v>808</v>
      </c>
      <c r="P45" s="1366"/>
      <c r="Q45" s="1366"/>
      <c r="R45" s="1366"/>
    </row>
    <row r="46" spans="1:18" s="1292" customFormat="1" ht="14" thickBot="1">
      <c r="A46" s="1311" t="s">
        <v>809</v>
      </c>
      <c r="C46" s="1312">
        <f ca="1">ROUND(C45,0)</f>
        <v>-341</v>
      </c>
      <c r="D46" s="1313" t="str">
        <f>C2</f>
        <v>万元</v>
      </c>
      <c r="I46" s="1314" t="s">
        <v>810</v>
      </c>
      <c r="J46" s="1315"/>
      <c r="K46" s="1316"/>
      <c r="L46" s="1317">
        <f ca="1">IF(M47="住宅",0,IF(L48&gt;J51,L60,J60))</f>
        <v>251323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50</v>
      </c>
      <c r="M47" s="1288" t="str">
        <f>IF(ISNUMBER(FIND("住宅",C1)),"住宅","非住宅")</f>
        <v>非住宅</v>
      </c>
      <c r="O47" s="1325" t="s">
        <v>403</v>
      </c>
      <c r="P47" s="1326" t="s">
        <v>817</v>
      </c>
      <c r="Q47" s="1327">
        <f ca="1">C40+J29</f>
        <v>3071562</v>
      </c>
      <c r="R47" s="1327" t="s">
        <v>818</v>
      </c>
    </row>
    <row r="48" spans="1:18" s="1292" customFormat="1" ht="43.5" thickBot="1">
      <c r="A48" s="1047" t="s">
        <v>438</v>
      </c>
      <c r="B48" s="292" t="s">
        <v>692</v>
      </c>
      <c r="C48" s="1268">
        <f ca="1">C49+C53+C55</f>
        <v>0</v>
      </c>
      <c r="D48" s="1049"/>
      <c r="E48" s="1050"/>
      <c r="F48" s="908"/>
      <c r="G48" s="681"/>
      <c r="H48" s="682"/>
      <c r="I48" s="1328" t="s">
        <v>819</v>
      </c>
      <c r="J48" s="1329" t="s">
        <v>3431</v>
      </c>
      <c r="K48" s="1330" t="s">
        <v>820</v>
      </c>
      <c r="L48" s="1331">
        <f ca="1">INDIRECT("'数据-取费表'!f"&amp;$G$1)</f>
        <v>26.41</v>
      </c>
      <c r="O48" s="1325" t="s">
        <v>404</v>
      </c>
      <c r="P48" s="1326" t="s">
        <v>821</v>
      </c>
      <c r="Q48" s="1327">
        <f ca="1">J60</f>
        <v>251323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4242974</v>
      </c>
      <c r="R49" s="1327" t="s">
        <v>818</v>
      </c>
    </row>
    <row r="50" spans="1:18" s="1292" customFormat="1" ht="13.5" thickBot="1">
      <c r="A50" s="922"/>
      <c r="B50" s="925"/>
      <c r="C50" s="926"/>
      <c r="D50" s="899"/>
      <c r="E50" s="993" t="s">
        <v>697</v>
      </c>
      <c r="F50" s="994">
        <f ca="1">F7</f>
        <v>759.2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-1009964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26.41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26.41</v>
      </c>
      <c r="K53" s="3383" t="s">
        <v>837</v>
      </c>
      <c r="L53" s="3384"/>
      <c r="O53" s="1325" t="s">
        <v>409</v>
      </c>
      <c r="P53" s="1326" t="s">
        <v>838</v>
      </c>
      <c r="Q53" s="1327">
        <f ca="1">Q47+Q48</f>
        <v>3322885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0.39300000000000002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3394379</v>
      </c>
      <c r="D56" s="1352"/>
      <c r="E56" s="1353"/>
      <c r="F56" s="1345"/>
      <c r="I56" s="1354" t="s">
        <v>842</v>
      </c>
      <c r="J56" s="1355" t="s">
        <v>3432</v>
      </c>
      <c r="K56" s="1328" t="s">
        <v>843</v>
      </c>
      <c r="L56" s="1331" t="str">
        <f ca="1">IF(L48&lt;J51,"——",L48-J51)</f>
        <v>——</v>
      </c>
      <c r="O56" s="1325" t="s">
        <v>403</v>
      </c>
      <c r="P56" s="1326" t="s">
        <v>817</v>
      </c>
      <c r="Q56" s="1327">
        <f ca="1">C40+J29</f>
        <v>3071562</v>
      </c>
      <c r="R56" s="1327" t="s">
        <v>818</v>
      </c>
    </row>
    <row r="57" spans="1:18" s="1292" customFormat="1" ht="26.5" thickBot="1">
      <c r="A57" s="1356"/>
      <c r="B57" s="896" t="s">
        <v>767</v>
      </c>
      <c r="C57" s="230">
        <f ca="1">C29</f>
        <v>4242974</v>
      </c>
      <c r="D57" s="1357"/>
      <c r="E57" s="1358"/>
      <c r="F57" s="1359"/>
      <c r="I57" s="1360" t="s">
        <v>844</v>
      </c>
      <c r="J57" s="1361">
        <f ca="1">IF(OR(M47="住宅",J51&lt;L48,J56="是"),"——",J51-L48)</f>
        <v>23.59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24609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1697190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251323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3071562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21215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3394</v>
      </c>
      <c r="D65" s="910" t="s">
        <v>743</v>
      </c>
      <c r="E65" s="896" t="s">
        <v>744</v>
      </c>
      <c r="F65" s="321">
        <f t="shared" ca="1" si="0"/>
        <v>1E-3</v>
      </c>
      <c r="I65" s="1367" t="s">
        <v>867</v>
      </c>
      <c r="J65" s="610">
        <v>40</v>
      </c>
      <c r="K65" s="610">
        <v>30</v>
      </c>
      <c r="L65" s="610">
        <v>50</v>
      </c>
      <c r="M65" s="1369">
        <v>0.02</v>
      </c>
      <c r="O65" s="1325" t="s">
        <v>403</v>
      </c>
      <c r="P65" s="1326" t="s">
        <v>868</v>
      </c>
      <c r="Q65" s="1327">
        <f ca="1">C40+J29</f>
        <v>3071562</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-24609</v>
      </c>
      <c r="D67" s="909" t="s">
        <v>753</v>
      </c>
      <c r="E67" s="914"/>
      <c r="F67" s="915"/>
      <c r="O67" s="1334" t="s">
        <v>405</v>
      </c>
      <c r="P67" s="1326" t="s">
        <v>850</v>
      </c>
      <c r="Q67" s="1370">
        <f ca="1">L51</f>
        <v>-1009964</v>
      </c>
      <c r="R67" s="1327" t="s">
        <v>870</v>
      </c>
    </row>
    <row r="68" spans="1:18" s="1292" customFormat="1" ht="16" thickBot="1">
      <c r="A68" s="893" t="s">
        <v>395</v>
      </c>
      <c r="B68" s="894" t="s">
        <v>774</v>
      </c>
      <c r="C68" s="293">
        <f ca="1">ROUND(C67*(1-((1+F70)/(1+F68))^F69)/(F68-F70),0)</f>
        <v>-338635</v>
      </c>
      <c r="D68" s="911" t="s">
        <v>758</v>
      </c>
      <c r="E68" s="896" t="s">
        <v>759</v>
      </c>
      <c r="F68" s="304">
        <f ca="1">F40</f>
        <v>5.5E-2</v>
      </c>
      <c r="O68" s="1334" t="s">
        <v>406</v>
      </c>
      <c r="P68" s="1371" t="s">
        <v>871</v>
      </c>
      <c r="Q68" s="1327">
        <f ca="1">ROUND(Q69-Q70*Q71,0)</f>
        <v>-55323</v>
      </c>
      <c r="R68" s="1327" t="s">
        <v>414</v>
      </c>
    </row>
    <row r="69" spans="1:18" s="1292" customFormat="1" ht="13.5" thickBot="1">
      <c r="A69" s="897"/>
      <c r="B69" s="898"/>
      <c r="C69" s="298"/>
      <c r="D69" s="916" t="s">
        <v>762</v>
      </c>
      <c r="E69" s="896" t="s">
        <v>763</v>
      </c>
      <c r="F69" s="324">
        <f ca="1">F41</f>
        <v>26.41</v>
      </c>
      <c r="O69" s="1334" t="s">
        <v>411</v>
      </c>
      <c r="P69" s="1371" t="s">
        <v>872</v>
      </c>
      <c r="Q69" s="1327">
        <f ca="1">C39</f>
        <v>182284</v>
      </c>
      <c r="R69" s="1327" t="s">
        <v>818</v>
      </c>
    </row>
    <row r="70" spans="1:18" s="1292" customFormat="1" ht="13.5" thickBot="1">
      <c r="A70" s="900"/>
      <c r="B70" s="901"/>
      <c r="C70" s="302"/>
      <c r="D70" s="912"/>
      <c r="E70" s="896" t="s">
        <v>766</v>
      </c>
      <c r="F70" s="991"/>
      <c r="O70" s="1334" t="s">
        <v>412</v>
      </c>
      <c r="P70" s="1371" t="s">
        <v>873</v>
      </c>
      <c r="Q70" s="1327">
        <f ca="1">C13</f>
        <v>3394379</v>
      </c>
      <c r="R70" s="1327" t="s">
        <v>818</v>
      </c>
    </row>
    <row r="71" spans="1:18" s="1292" customFormat="1" ht="13.5" thickBot="1">
      <c r="A71" s="917" t="s">
        <v>396</v>
      </c>
      <c r="B71" s="918" t="s">
        <v>776</v>
      </c>
      <c r="C71" s="327">
        <f ca="1">ROUND(C68/F71,0)</f>
        <v>-446</v>
      </c>
      <c r="D71" s="919" t="s">
        <v>777</v>
      </c>
      <c r="E71" s="920" t="s">
        <v>778</v>
      </c>
      <c r="F71" s="330">
        <f ca="1">F43</f>
        <v>759.2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237607</v>
      </c>
      <c r="D75" s="1292"/>
      <c r="E75" s="1292"/>
      <c r="F75" s="1292"/>
      <c r="K75" s="1309"/>
      <c r="L75" s="1292"/>
      <c r="O75" s="1325" t="s">
        <v>409</v>
      </c>
      <c r="P75" s="1326" t="s">
        <v>838</v>
      </c>
      <c r="Q75" s="1327">
        <f ca="1">Q65+Q66</f>
        <v>3071562</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-0.30299999999999994</v>
      </c>
    </row>
    <row r="80" spans="1:18" ht="13">
      <c r="B80" s="331" t="s">
        <v>800</v>
      </c>
      <c r="C80" s="266">
        <f ca="1">ROUND(C75/C39,3)</f>
        <v>1.3029999999999999</v>
      </c>
    </row>
    <row r="81" spans="2:3" ht="13.5">
      <c r="B81" s="262" t="s">
        <v>801</v>
      </c>
      <c r="C81" s="230"/>
    </row>
    <row r="82" spans="2:3" ht="13">
      <c r="B82" s="265" t="s">
        <v>802</v>
      </c>
      <c r="C82" s="267">
        <f ca="1">1-C83</f>
        <v>-0.10499999999999998</v>
      </c>
    </row>
    <row r="83" spans="2:3" ht="13">
      <c r="B83" s="265" t="s">
        <v>803</v>
      </c>
      <c r="C83" s="266">
        <f ca="1">ROUND(C13/C40,3)</f>
        <v>1.105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7" t="s">
        <v>2317</v>
      </c>
      <c r="K2" s="342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9" t="s">
        <v>2327</v>
      </c>
      <c r="K3" s="343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9" t="s">
        <v>2329</v>
      </c>
      <c r="K4" s="343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1" t="s">
        <v>2333</v>
      </c>
      <c r="B6" s="3432"/>
      <c r="C6" s="3433"/>
      <c r="D6" s="2622"/>
      <c r="E6" s="2623"/>
      <c r="F6" s="2624"/>
      <c r="G6" s="2625"/>
      <c r="H6" s="2600"/>
      <c r="I6" s="2601"/>
      <c r="J6" s="3434">
        <v>1</v>
      </c>
      <c r="K6" s="343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34"/>
      <c r="K7" s="343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8" t="s">
        <v>2347</v>
      </c>
      <c r="C8" s="3439"/>
      <c r="D8" s="2641" t="s">
        <v>2348</v>
      </c>
      <c r="E8" s="2642" t="s">
        <v>2349</v>
      </c>
      <c r="F8" s="2643" t="s">
        <v>2350</v>
      </c>
      <c r="G8" s="2644"/>
      <c r="H8" s="2600"/>
      <c r="I8" s="2601"/>
      <c r="J8" s="3434"/>
      <c r="K8" s="343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8" t="s">
        <v>2353</v>
      </c>
      <c r="C9" s="3439"/>
      <c r="D9" s="2641">
        <f>ROUND(D6*E9,0)</f>
        <v>0</v>
      </c>
      <c r="E9" s="2645"/>
      <c r="F9" s="2646" t="s">
        <v>2354</v>
      </c>
      <c r="G9" s="2625"/>
      <c r="H9" s="2600"/>
      <c r="I9" s="2601"/>
      <c r="J9" s="3434"/>
      <c r="K9" s="3436"/>
      <c r="L9" s="2635" t="s">
        <v>2355</v>
      </c>
      <c r="M9" s="2636"/>
      <c r="N9" s="2612"/>
      <c r="O9" s="2637"/>
      <c r="P9" s="2637"/>
      <c r="Q9" s="2638">
        <v>365</v>
      </c>
      <c r="R9" s="2639">
        <f t="shared" si="0"/>
        <v>0</v>
      </c>
      <c r="S9" s="2593"/>
      <c r="T9" s="2593"/>
      <c r="U9" s="2593"/>
      <c r="V9" s="2601"/>
    </row>
    <row r="10" spans="1:22" s="2605" customFormat="1" ht="13.15" customHeight="1">
      <c r="A10" s="2640">
        <v>2</v>
      </c>
      <c r="B10" s="3438" t="s">
        <v>2356</v>
      </c>
      <c r="C10" s="3439"/>
      <c r="D10" s="2641">
        <f>ROUND(D6*E10,0)</f>
        <v>0</v>
      </c>
      <c r="E10" s="2645"/>
      <c r="F10" s="2646" t="s">
        <v>2357</v>
      </c>
      <c r="G10" s="2625"/>
      <c r="H10" s="2600"/>
      <c r="I10" s="2601"/>
      <c r="J10" s="3434"/>
      <c r="K10" s="3436"/>
      <c r="L10" s="2635" t="s">
        <v>2358</v>
      </c>
      <c r="M10" s="2636"/>
      <c r="N10" s="2612"/>
      <c r="O10" s="2637"/>
      <c r="P10" s="2637"/>
      <c r="Q10" s="2638">
        <v>365</v>
      </c>
      <c r="R10" s="2639">
        <f t="shared" si="0"/>
        <v>0</v>
      </c>
      <c r="S10" s="2593"/>
      <c r="T10" s="2593"/>
      <c r="U10" s="2593"/>
      <c r="V10" s="2601"/>
    </row>
    <row r="11" spans="1:22" s="2605" customFormat="1" ht="13.15" customHeight="1">
      <c r="A11" s="2640">
        <v>3</v>
      </c>
      <c r="B11" s="3438" t="s">
        <v>2359</v>
      </c>
      <c r="C11" s="3439"/>
      <c r="D11" s="2641">
        <f>D12+D14+D15+D16</f>
        <v>0</v>
      </c>
      <c r="E11" s="2647" t="e">
        <f>D11/D6</f>
        <v>#DIV/0!</v>
      </c>
      <c r="F11" s="2643"/>
      <c r="G11" s="2644"/>
      <c r="H11" s="2600"/>
      <c r="I11" s="2601"/>
      <c r="J11" s="3434"/>
      <c r="K11" s="343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40" t="s">
        <v>2362</v>
      </c>
      <c r="C12" s="3441"/>
      <c r="D12" s="2649">
        <f>ROUND(D13*1.2%*(1-30%),0)</f>
        <v>0</v>
      </c>
      <c r="E12" s="2650">
        <v>1.2E-2</v>
      </c>
      <c r="F12" s="2643" t="s">
        <v>2363</v>
      </c>
      <c r="G12" s="2644"/>
      <c r="H12" s="2600"/>
      <c r="I12" s="2601"/>
      <c r="J12" s="3434"/>
      <c r="K12" s="343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34"/>
      <c r="K13" s="343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40" t="s">
        <v>2368</v>
      </c>
      <c r="C14" s="3441"/>
      <c r="D14" s="2649">
        <f>ROUND(E14*B5/10000,0)</f>
        <v>0</v>
      </c>
      <c r="E14" s="2638"/>
      <c r="F14" s="2643" t="s">
        <v>2369</v>
      </c>
      <c r="G14" s="2644"/>
      <c r="H14" s="2600"/>
      <c r="I14" s="2601"/>
      <c r="J14" s="3434"/>
      <c r="K14" s="343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40" t="s">
        <v>2372</v>
      </c>
      <c r="C15" s="3441"/>
      <c r="D15" s="2649">
        <f>ROUND(D6*E15,0)</f>
        <v>0</v>
      </c>
      <c r="E15" s="2650">
        <v>5.5E-2</v>
      </c>
      <c r="F15" s="2643" t="s">
        <v>2373</v>
      </c>
      <c r="G15" s="2625"/>
      <c r="H15" s="2600"/>
      <c r="I15" s="2601"/>
      <c r="J15" s="3434">
        <v>2</v>
      </c>
      <c r="K15" s="343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40" t="s">
        <v>2381</v>
      </c>
      <c r="C16" s="3441"/>
      <c r="D16" s="2660">
        <f>D6*E16</f>
        <v>0</v>
      </c>
      <c r="E16" s="2661"/>
      <c r="F16" s="2646" t="s">
        <v>2382</v>
      </c>
      <c r="G16" s="2625"/>
      <c r="H16" s="2600"/>
      <c r="I16" s="2601"/>
      <c r="J16" s="3434"/>
      <c r="K16" s="343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42" t="s">
        <v>2384</v>
      </c>
      <c r="C17" s="3443"/>
      <c r="D17" s="2663">
        <f>ROUND(D6*E17,0)</f>
        <v>0</v>
      </c>
      <c r="E17" s="2664"/>
      <c r="F17" s="2665" t="s">
        <v>2385</v>
      </c>
      <c r="G17" s="2625"/>
      <c r="H17" s="2600"/>
      <c r="I17" s="2601"/>
      <c r="J17" s="3434"/>
      <c r="K17" s="343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34"/>
      <c r="K18" s="343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34"/>
      <c r="K19" s="343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4">
        <v>3</v>
      </c>
      <c r="K20" s="343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34"/>
      <c r="K21" s="343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34"/>
      <c r="K22" s="343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34"/>
      <c r="K23" s="343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34"/>
      <c r="K24" s="343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4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4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7" t="s">
        <v>2317</v>
      </c>
      <c r="K32" s="342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9" t="s">
        <v>2327</v>
      </c>
      <c r="K33" s="343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9" t="s">
        <v>2329</v>
      </c>
      <c r="K34" s="343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34">
        <v>1</v>
      </c>
      <c r="K36" s="343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34"/>
      <c r="K37" s="343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4"/>
      <c r="K38" s="343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34"/>
      <c r="K39" s="343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34"/>
      <c r="K40" s="343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4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332.2885</v>
      </c>
      <c r="C2" s="1729" t="s">
        <v>1651</v>
      </c>
      <c r="D2" s="1730" t="s">
        <v>1652</v>
      </c>
      <c r="E2" s="2393">
        <f>SUM(E6:E13)</f>
        <v>759.2</v>
      </c>
      <c r="F2" s="2480"/>
      <c r="G2" s="459"/>
      <c r="H2" s="459"/>
      <c r="I2" s="459"/>
      <c r="J2" s="459"/>
      <c r="K2" s="459"/>
      <c r="L2" s="459"/>
      <c r="M2" s="459"/>
      <c r="N2" s="459"/>
      <c r="O2" s="459"/>
      <c r="P2" s="459"/>
      <c r="Q2" s="459"/>
      <c r="R2" s="459"/>
      <c r="S2" s="459"/>
    </row>
    <row r="3" spans="1:22" ht="15.5">
      <c r="A3" s="1728" t="s">
        <v>686</v>
      </c>
      <c r="B3" s="2387">
        <f ca="1">ROUND(B2*10000/E2,0)</f>
        <v>4377</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46" t="s">
        <v>1654</v>
      </c>
      <c r="C5" s="344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332.2885</v>
      </c>
      <c r="C6" s="1729" t="s">
        <v>1651</v>
      </c>
      <c r="D6" s="2480"/>
      <c r="E6" s="2392">
        <f>IF(OR(A6=0,F6="否"),0,'数据-取费表'!K6+'数据-取费表'!S6)</f>
        <v>759.2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759.2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05" t="s">
        <v>1667</v>
      </c>
      <c r="D4" s="3406"/>
      <c r="E4" s="3407" t="s">
        <v>1668</v>
      </c>
      <c r="F4" s="3408"/>
      <c r="G4" s="3405" t="s">
        <v>1669</v>
      </c>
      <c r="H4" s="3406"/>
      <c r="I4" s="3405" t="s">
        <v>1670</v>
      </c>
      <c r="J4" s="3406"/>
      <c r="K4" s="1744" t="s">
        <v>1671</v>
      </c>
      <c r="L4" s="2487"/>
      <c r="M4" s="2488"/>
      <c r="N4" s="2488"/>
      <c r="O4" s="2488"/>
      <c r="P4" s="3409" t="s">
        <v>1672</v>
      </c>
      <c r="Q4" s="3410"/>
      <c r="R4" s="3393" t="s">
        <v>1668</v>
      </c>
      <c r="S4" s="3394"/>
      <c r="T4" s="3393" t="s">
        <v>1669</v>
      </c>
      <c r="U4" s="3394"/>
      <c r="V4" s="3417" t="s">
        <v>1670</v>
      </c>
      <c r="W4" s="3417"/>
      <c r="X4" s="1265"/>
      <c r="Y4" s="3393" t="s">
        <v>1672</v>
      </c>
      <c r="Z4" s="3394"/>
      <c r="AA4" s="3388" t="s">
        <v>1668</v>
      </c>
      <c r="AB4" s="3388" t="s">
        <v>1669</v>
      </c>
      <c r="AC4" s="3388" t="s">
        <v>1670</v>
      </c>
    </row>
    <row r="5" spans="1:29">
      <c r="A5" s="348"/>
      <c r="B5" s="349"/>
      <c r="C5" s="3399" t="s">
        <v>1673</v>
      </c>
      <c r="D5" s="3398"/>
      <c r="E5" s="3448" t="s">
        <v>1674</v>
      </c>
      <c r="F5" s="3449"/>
      <c r="G5" s="3399" t="s">
        <v>1675</v>
      </c>
      <c r="H5" s="3398"/>
      <c r="I5" s="3399" t="s">
        <v>1676</v>
      </c>
      <c r="J5" s="3398"/>
      <c r="K5" s="1745"/>
      <c r="L5" s="2487"/>
      <c r="M5" s="2488"/>
      <c r="N5" s="2488"/>
      <c r="O5" s="2488"/>
      <c r="P5" s="3411"/>
      <c r="Q5" s="3412"/>
      <c r="R5" s="3395"/>
      <c r="S5" s="3396"/>
      <c r="T5" s="3395"/>
      <c r="U5" s="3396"/>
      <c r="V5" s="3417"/>
      <c r="W5" s="3417"/>
      <c r="X5" s="1265"/>
      <c r="Y5" s="3395"/>
      <c r="Z5" s="3396"/>
      <c r="AA5" s="3389"/>
      <c r="AB5" s="3389"/>
      <c r="AC5" s="3389"/>
    </row>
    <row r="6" spans="1:29" ht="15" thickBot="1">
      <c r="A6" s="350"/>
      <c r="B6" s="351"/>
      <c r="C6" s="3400" t="s">
        <v>1677</v>
      </c>
      <c r="D6" s="3401"/>
      <c r="E6" s="3402" t="s">
        <v>1677</v>
      </c>
      <c r="F6" s="3403"/>
      <c r="G6" s="3400" t="s">
        <v>1677</v>
      </c>
      <c r="H6" s="3401"/>
      <c r="I6" s="3400" t="s">
        <v>1677</v>
      </c>
      <c r="J6" s="3401"/>
      <c r="K6" s="1745" t="s">
        <v>1678</v>
      </c>
      <c r="L6" s="2487"/>
      <c r="M6" s="2488"/>
      <c r="N6" s="2488"/>
      <c r="O6" s="2488"/>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1" t="s">
        <v>1680</v>
      </c>
      <c r="Q7" s="3418"/>
      <c r="R7" s="664" t="s">
        <v>20</v>
      </c>
      <c r="S7" s="665">
        <f t="shared" ref="S7:S15" si="0">F7</f>
        <v>0</v>
      </c>
      <c r="T7" s="664" t="s">
        <v>20</v>
      </c>
      <c r="U7" s="665">
        <f t="shared" ref="U7:U15" si="1">H7</f>
        <v>0</v>
      </c>
      <c r="V7" s="664" t="s">
        <v>20</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1" t="s">
        <v>1683</v>
      </c>
      <c r="Q8" s="3392"/>
      <c r="R8" s="664" t="s">
        <v>20</v>
      </c>
      <c r="S8" s="665">
        <f t="shared" si="0"/>
        <v>100</v>
      </c>
      <c r="T8" s="664" t="s">
        <v>20</v>
      </c>
      <c r="U8" s="665">
        <f t="shared" si="1"/>
        <v>100</v>
      </c>
      <c r="V8" s="664" t="s">
        <v>20</v>
      </c>
      <c r="W8" s="665">
        <f t="shared" si="2"/>
        <v>100</v>
      </c>
      <c r="X8" s="666"/>
      <c r="Y8" s="3391" t="s">
        <v>1683</v>
      </c>
      <c r="Z8" s="339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0"/>
      <c r="Q11" s="530" t="str">
        <f t="shared" si="6"/>
        <v>容积率</v>
      </c>
      <c r="R11" s="664" t="s">
        <v>18</v>
      </c>
      <c r="S11" s="665" t="e">
        <f t="shared" si="0"/>
        <v>#N/A</v>
      </c>
      <c r="T11" s="664" t="s">
        <v>18</v>
      </c>
      <c r="U11" s="665" t="e">
        <f t="shared" si="1"/>
        <v>#N/A</v>
      </c>
      <c r="V11" s="664" t="s">
        <v>18</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0"/>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0"/>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0"/>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4"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55"/>
      <c r="Q16" s="1263"/>
      <c r="R16" s="667"/>
      <c r="S16" s="668"/>
      <c r="T16" s="667"/>
      <c r="U16" s="668"/>
      <c r="V16" s="667"/>
      <c r="W16" s="668"/>
      <c r="X16" s="1265"/>
      <c r="Y16" s="342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5"/>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55"/>
      <c r="Q18" s="1263"/>
      <c r="R18" s="667"/>
      <c r="S18" s="668"/>
      <c r="T18" s="667"/>
      <c r="U18" s="668"/>
      <c r="V18" s="667"/>
      <c r="W18" s="668"/>
      <c r="X18" s="1265"/>
      <c r="Y18" s="3420"/>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5"/>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55"/>
      <c r="Q20" s="1263"/>
      <c r="R20" s="667"/>
      <c r="S20" s="668"/>
      <c r="T20" s="667"/>
      <c r="U20" s="668"/>
      <c r="V20" s="667"/>
      <c r="W20" s="668"/>
      <c r="X20" s="1265"/>
      <c r="Y20" s="3420"/>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5"/>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55"/>
      <c r="Q22" s="1263"/>
      <c r="R22" s="667"/>
      <c r="S22" s="668"/>
      <c r="T22" s="667"/>
      <c r="U22" s="668"/>
      <c r="V22" s="667"/>
      <c r="W22" s="668"/>
      <c r="X22" s="1265"/>
      <c r="Y22" s="3420"/>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5"/>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55"/>
      <c r="Q24" s="1263"/>
      <c r="R24" s="667"/>
      <c r="S24" s="668"/>
      <c r="T24" s="667"/>
      <c r="U24" s="668"/>
      <c r="V24" s="667"/>
      <c r="W24" s="668"/>
      <c r="X24" s="1265"/>
      <c r="Y24" s="3420"/>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5"/>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5"/>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5"/>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5"/>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5"/>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5"/>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1"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2"/>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2"/>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2"/>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2"/>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2"/>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2"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2"/>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2"/>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2"/>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2"/>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2"/>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2"/>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2"/>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3"/>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04" t="str">
        <f>A47</f>
        <v>成交单价（元/平方米）</v>
      </c>
      <c r="Q47" s="3404"/>
      <c r="R47" s="3417">
        <f>E47</f>
        <v>0</v>
      </c>
      <c r="S47" s="3417"/>
      <c r="T47" s="3417">
        <f>G47</f>
        <v>0</v>
      </c>
      <c r="U47" s="3417"/>
      <c r="V47" s="3417">
        <f>I47</f>
        <v>0</v>
      </c>
      <c r="W47" s="3417"/>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4" t="str">
        <f>A48</f>
        <v>比较价值（元/平方米）</v>
      </c>
      <c r="Q48" s="3404"/>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759.2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3" t="s">
        <v>1771</v>
      </c>
      <c r="S4" s="3394"/>
      <c r="T4" s="3393" t="s">
        <v>1772</v>
      </c>
      <c r="U4" s="3394"/>
      <c r="V4" s="3417" t="s">
        <v>1773</v>
      </c>
      <c r="W4" s="3417"/>
      <c r="X4" s="1265"/>
      <c r="Y4" s="3393" t="s">
        <v>1775</v>
      </c>
      <c r="Z4" s="3394"/>
      <c r="AA4" s="3388" t="s">
        <v>1771</v>
      </c>
      <c r="AB4" s="3417" t="s">
        <v>1772</v>
      </c>
      <c r="AC4" s="3388" t="s">
        <v>1773</v>
      </c>
    </row>
    <row r="5" spans="1:29">
      <c r="A5" s="348"/>
      <c r="B5" s="349"/>
      <c r="C5" s="3399" t="s">
        <v>1673</v>
      </c>
      <c r="D5" s="3398"/>
      <c r="E5" s="3448" t="s">
        <v>1674</v>
      </c>
      <c r="F5" s="3449"/>
      <c r="G5" s="3399" t="s">
        <v>1675</v>
      </c>
      <c r="H5" s="3398"/>
      <c r="I5" s="3399" t="s">
        <v>1676</v>
      </c>
      <c r="J5" s="3398"/>
      <c r="K5" s="537"/>
      <c r="L5" s="2487"/>
      <c r="M5" s="2488"/>
      <c r="N5" s="2488"/>
      <c r="O5" s="2488"/>
      <c r="P5" s="3411"/>
      <c r="Q5" s="3412"/>
      <c r="R5" s="3395"/>
      <c r="S5" s="3396"/>
      <c r="T5" s="3395"/>
      <c r="U5" s="3396"/>
      <c r="V5" s="3417"/>
      <c r="W5" s="3417"/>
      <c r="X5" s="1265"/>
      <c r="Y5" s="3395"/>
      <c r="Z5" s="3396"/>
      <c r="AA5" s="3389"/>
      <c r="AB5" s="3417"/>
      <c r="AC5" s="3389"/>
    </row>
    <row r="6" spans="1:29" ht="1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5"/>
      <c r="S6" s="3396"/>
      <c r="T6" s="3415"/>
      <c r="U6" s="3416"/>
      <c r="V6" s="3417"/>
      <c r="W6" s="3417"/>
      <c r="X6" s="1265"/>
      <c r="Y6" s="3415"/>
      <c r="Z6" s="3416"/>
      <c r="AA6" s="3390"/>
      <c r="AB6" s="3417"/>
      <c r="AC6" s="3390"/>
    </row>
    <row r="7" spans="1:29" s="102" customFormat="1" ht="14.5" thickBot="1">
      <c r="A7" s="352" t="s">
        <v>1679</v>
      </c>
      <c r="B7" s="353"/>
      <c r="C7" s="354">
        <f>'数据-取费表'!B2</f>
        <v>45994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1" t="s">
        <v>1680</v>
      </c>
      <c r="Q7" s="3418"/>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0"/>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4"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55"/>
      <c r="Q16" s="1263"/>
      <c r="R16" s="667"/>
      <c r="S16" s="668"/>
      <c r="T16" s="667"/>
      <c r="U16" s="668"/>
      <c r="V16" s="667"/>
      <c r="W16" s="668"/>
      <c r="X16" s="1265"/>
      <c r="Y16" s="342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5"/>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55"/>
      <c r="Q18" s="1263"/>
      <c r="R18" s="667"/>
      <c r="S18" s="668"/>
      <c r="T18" s="667"/>
      <c r="U18" s="668"/>
      <c r="V18" s="667"/>
      <c r="W18" s="668"/>
      <c r="X18" s="1265"/>
      <c r="Y18" s="3420"/>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5"/>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55"/>
      <c r="Q20" s="1263"/>
      <c r="R20" s="667"/>
      <c r="S20" s="668"/>
      <c r="T20" s="667"/>
      <c r="U20" s="668"/>
      <c r="V20" s="667"/>
      <c r="W20" s="668"/>
      <c r="X20" s="1265"/>
      <c r="Y20" s="3420"/>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5"/>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55"/>
      <c r="Q22" s="1263"/>
      <c r="R22" s="667"/>
      <c r="S22" s="668"/>
      <c r="T22" s="667"/>
      <c r="U22" s="668"/>
      <c r="V22" s="667"/>
      <c r="W22" s="668"/>
      <c r="X22" s="1265"/>
      <c r="Y22" s="3420"/>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5"/>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55"/>
      <c r="Q24" s="1263"/>
      <c r="R24" s="667"/>
      <c r="S24" s="668"/>
      <c r="T24" s="667"/>
      <c r="U24" s="668"/>
      <c r="V24" s="667"/>
      <c r="W24" s="668"/>
      <c r="X24" s="1265"/>
      <c r="Y24" s="3420"/>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5"/>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5"/>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5"/>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5"/>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5"/>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5"/>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1"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2"/>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2"/>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2"/>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2"/>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2"/>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2"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2"/>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2"/>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2"/>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2"/>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2"/>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2"/>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2"/>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3"/>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04" t="str">
        <f>A47</f>
        <v>成交单价（元/平方米）</v>
      </c>
      <c r="Q47" s="3404"/>
      <c r="R47" s="3417">
        <f>E47</f>
        <v>0</v>
      </c>
      <c r="S47" s="3417"/>
      <c r="T47" s="3417">
        <f>G47</f>
        <v>0</v>
      </c>
      <c r="U47" s="3417"/>
      <c r="V47" s="3417">
        <f>I47</f>
        <v>0</v>
      </c>
      <c r="W47" s="3417"/>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4" t="str">
        <f>A48</f>
        <v>比较价值（元/平方米）</v>
      </c>
      <c r="Q48" s="3404"/>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759.2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05" t="s">
        <v>1770</v>
      </c>
      <c r="D4" s="3406"/>
      <c r="E4" s="3407" t="s">
        <v>1771</v>
      </c>
      <c r="F4" s="3408"/>
      <c r="G4" s="3405" t="s">
        <v>1772</v>
      </c>
      <c r="H4" s="3406"/>
      <c r="I4" s="3405" t="s">
        <v>1773</v>
      </c>
      <c r="J4" s="3406"/>
      <c r="K4" s="537" t="s">
        <v>1774</v>
      </c>
      <c r="L4" s="2487"/>
      <c r="M4" s="2488"/>
      <c r="N4" s="2488"/>
      <c r="O4" s="2488"/>
      <c r="P4" s="3462" t="s">
        <v>1775</v>
      </c>
      <c r="Q4" s="3463"/>
      <c r="R4" s="3457" t="s">
        <v>1771</v>
      </c>
      <c r="S4" s="3458"/>
      <c r="T4" s="3457" t="s">
        <v>1772</v>
      </c>
      <c r="U4" s="3458"/>
      <c r="V4" s="3466" t="s">
        <v>1773</v>
      </c>
      <c r="W4" s="3466"/>
      <c r="X4" s="1809"/>
      <c r="Y4" s="3457" t="s">
        <v>1775</v>
      </c>
      <c r="Z4" s="3458"/>
      <c r="AA4" s="3456" t="s">
        <v>1771</v>
      </c>
      <c r="AB4" s="3456" t="s">
        <v>1772</v>
      </c>
      <c r="AC4" s="3459" t="s">
        <v>1773</v>
      </c>
    </row>
    <row r="5" spans="1:29">
      <c r="A5" s="348"/>
      <c r="B5" s="349"/>
      <c r="C5" s="3399" t="s">
        <v>1673</v>
      </c>
      <c r="D5" s="3398"/>
      <c r="E5" s="3448" t="s">
        <v>1674</v>
      </c>
      <c r="F5" s="3449"/>
      <c r="G5" s="3399" t="s">
        <v>1675</v>
      </c>
      <c r="H5" s="3398"/>
      <c r="I5" s="3399" t="s">
        <v>1676</v>
      </c>
      <c r="J5" s="3398"/>
      <c r="K5" s="537"/>
      <c r="L5" s="2487"/>
      <c r="M5" s="2488"/>
      <c r="N5" s="2488"/>
      <c r="O5" s="2488"/>
      <c r="P5" s="3464"/>
      <c r="Q5" s="3412"/>
      <c r="R5" s="3395"/>
      <c r="S5" s="3396"/>
      <c r="T5" s="3395"/>
      <c r="U5" s="3396"/>
      <c r="V5" s="3417"/>
      <c r="W5" s="3417"/>
      <c r="X5" s="1265"/>
      <c r="Y5" s="3395"/>
      <c r="Z5" s="3396"/>
      <c r="AA5" s="3389"/>
      <c r="AB5" s="3389"/>
      <c r="AC5" s="3460"/>
    </row>
    <row r="6" spans="1:29" ht="15" thickBot="1">
      <c r="A6" s="350"/>
      <c r="B6" s="351"/>
      <c r="C6" s="3400" t="s">
        <v>1677</v>
      </c>
      <c r="D6" s="3401"/>
      <c r="E6" s="3402" t="s">
        <v>1677</v>
      </c>
      <c r="F6" s="3403"/>
      <c r="G6" s="3400" t="s">
        <v>1677</v>
      </c>
      <c r="H6" s="3401"/>
      <c r="I6" s="3400" t="s">
        <v>1677</v>
      </c>
      <c r="J6" s="3401"/>
      <c r="K6" s="537" t="s">
        <v>1678</v>
      </c>
      <c r="L6" s="2487"/>
      <c r="M6" s="2488"/>
      <c r="N6" s="2488"/>
      <c r="O6" s="2488"/>
      <c r="P6" s="3465"/>
      <c r="Q6" s="3414"/>
      <c r="R6" s="3395"/>
      <c r="S6" s="3396"/>
      <c r="T6" s="3415"/>
      <c r="U6" s="3416"/>
      <c r="V6" s="3417"/>
      <c r="W6" s="3417"/>
      <c r="X6" s="1265"/>
      <c r="Y6" s="3415"/>
      <c r="Z6" s="3416"/>
      <c r="AA6" s="3390"/>
      <c r="AB6" s="3390"/>
      <c r="AC6" s="3461"/>
    </row>
    <row r="7" spans="1:29" s="102" customFormat="1" ht="14.5" thickBot="1">
      <c r="A7" s="352" t="s">
        <v>1679</v>
      </c>
      <c r="B7" s="353"/>
      <c r="C7" s="354">
        <f>'数据-取费表'!B2</f>
        <v>45994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7" t="s">
        <v>1680</v>
      </c>
      <c r="Q7" s="3418"/>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7" t="s">
        <v>1683</v>
      </c>
      <c r="Q8" s="3392"/>
      <c r="R8" s="664" t="s">
        <v>14</v>
      </c>
      <c r="S8" s="665">
        <f t="shared" si="0"/>
        <v>100</v>
      </c>
      <c r="T8" s="664" t="s">
        <v>14</v>
      </c>
      <c r="U8" s="665">
        <f t="shared" si="1"/>
        <v>100</v>
      </c>
      <c r="V8" s="664" t="s">
        <v>14</v>
      </c>
      <c r="W8" s="665">
        <f t="shared" si="2"/>
        <v>100</v>
      </c>
      <c r="X8" s="666"/>
      <c r="Y8" s="3391" t="s">
        <v>1683</v>
      </c>
      <c r="Z8" s="339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0"/>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4"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55"/>
      <c r="Q16" s="1263"/>
      <c r="R16" s="667"/>
      <c r="S16" s="668"/>
      <c r="T16" s="667"/>
      <c r="U16" s="668"/>
      <c r="V16" s="667"/>
      <c r="W16" s="668"/>
      <c r="X16" s="1265"/>
      <c r="Y16" s="342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5"/>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55"/>
      <c r="Q18" s="1263"/>
      <c r="R18" s="667"/>
      <c r="S18" s="668"/>
      <c r="T18" s="667"/>
      <c r="U18" s="668"/>
      <c r="V18" s="667"/>
      <c r="W18" s="668"/>
      <c r="X18" s="1265"/>
      <c r="Y18" s="342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5"/>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55"/>
      <c r="Q20" s="1263"/>
      <c r="R20" s="667"/>
      <c r="S20" s="668"/>
      <c r="T20" s="667"/>
      <c r="U20" s="668"/>
      <c r="V20" s="667"/>
      <c r="W20" s="668"/>
      <c r="X20" s="1265"/>
      <c r="Y20" s="342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5"/>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55"/>
      <c r="Q22" s="1263"/>
      <c r="R22" s="667"/>
      <c r="S22" s="668"/>
      <c r="T22" s="667"/>
      <c r="U22" s="668"/>
      <c r="V22" s="667"/>
      <c r="W22" s="668"/>
      <c r="X22" s="1265"/>
      <c r="Y22" s="342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5"/>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55"/>
      <c r="Q24" s="1263"/>
      <c r="R24" s="667"/>
      <c r="S24" s="668"/>
      <c r="T24" s="667"/>
      <c r="U24" s="668"/>
      <c r="V24" s="667"/>
      <c r="W24" s="668"/>
      <c r="X24" s="1265"/>
      <c r="Y24" s="342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5"/>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55"/>
      <c r="Q26" s="1263"/>
      <c r="R26" s="667"/>
      <c r="S26" s="668"/>
      <c r="T26" s="667"/>
      <c r="U26" s="668"/>
      <c r="V26" s="667"/>
      <c r="W26" s="668"/>
      <c r="X26" s="1265"/>
      <c r="Y26" s="3420"/>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5"/>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5"/>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5"/>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5"/>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5"/>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5"/>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1"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2"/>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2"/>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2"/>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2"/>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2"/>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2"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2"/>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2"/>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2"/>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2"/>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2"/>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2"/>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2"/>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3"/>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50" t="str">
        <f>A48</f>
        <v>成交单价（元/平方米）</v>
      </c>
      <c r="Q48" s="3404"/>
      <c r="R48" s="3417">
        <f>E48</f>
        <v>0</v>
      </c>
      <c r="S48" s="3417"/>
      <c r="T48" s="3417">
        <f>G48</f>
        <v>0</v>
      </c>
      <c r="U48" s="3417"/>
      <c r="V48" s="3417">
        <f>I48</f>
        <v>0</v>
      </c>
      <c r="W48" s="3417"/>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0" t="str">
        <f>A49</f>
        <v>比较价值（元/平方米）</v>
      </c>
      <c r="Q49" s="3404"/>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3ED6-2EAD-48A0-8F42-A14C6C331D24}">
  <sheetPr>
    <tabColor rgb="FF92D050"/>
  </sheetPr>
  <dimension ref="A1"/>
  <sheetViews>
    <sheetView topLeftCell="A34" zoomScale="85" zoomScaleNormal="85" workbookViewId="0">
      <selection activeCell="F70" sqref="F70"/>
    </sheetView>
  </sheetViews>
  <sheetFormatPr defaultRowHeight="1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估价对象为北京市房地产，为所有。根据《国有土地使用证》[]，估价对象（分摊）出让国有建设用地使用权面积为0平方米，建筑面积为759.2平方米。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估价对象为北京市房地产,属开发建设的工业项目，该项目尚在开发建设中。根据《国有土地使用证》[]，估价对象（分摊）出让国有建设用地使用权面积为0平方米，规划建筑面积为759.2平方米。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2025年12月3日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FF474-D96F-410B-837F-116292358DE3}">
  <sheetPr>
    <tabColor rgb="FF92D050"/>
  </sheetPr>
  <dimension ref="J7:K29"/>
  <sheetViews>
    <sheetView topLeftCell="B20" workbookViewId="0">
      <selection activeCell="K29" sqref="K29"/>
    </sheetView>
  </sheetViews>
  <sheetFormatPr defaultRowHeight="14"/>
  <sheetData>
    <row r="7" spans="10:10">
      <c r="J7" s="1405" t="s">
        <v>3469</v>
      </c>
    </row>
    <row r="28" spans="10:11">
      <c r="K28">
        <v>309.42</v>
      </c>
    </row>
    <row r="29" spans="10:11">
      <c r="J29" s="1405" t="s">
        <v>3470</v>
      </c>
      <c r="K29">
        <v>6950</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3" t="s">
        <v>1771</v>
      </c>
      <c r="S4" s="3394"/>
      <c r="T4" s="3393" t="s">
        <v>1772</v>
      </c>
      <c r="U4" s="3394"/>
      <c r="V4" s="3417" t="s">
        <v>1773</v>
      </c>
      <c r="W4" s="3417"/>
      <c r="X4" s="1265"/>
      <c r="Y4" s="3393" t="s">
        <v>1775</v>
      </c>
      <c r="Z4" s="3394"/>
      <c r="AA4" s="3388" t="s">
        <v>1771</v>
      </c>
      <c r="AB4" s="3389" t="s">
        <v>1772</v>
      </c>
      <c r="AC4" s="3388" t="s">
        <v>1773</v>
      </c>
    </row>
    <row r="5" spans="1:29">
      <c r="A5" s="348"/>
      <c r="B5" s="349"/>
      <c r="C5" s="3399" t="s">
        <v>1673</v>
      </c>
      <c r="D5" s="3398"/>
      <c r="E5" s="3448" t="s">
        <v>1674</v>
      </c>
      <c r="F5" s="3449"/>
      <c r="G5" s="3399" t="s">
        <v>1675</v>
      </c>
      <c r="H5" s="3398"/>
      <c r="I5" s="3399" t="s">
        <v>1676</v>
      </c>
      <c r="J5" s="3398"/>
      <c r="K5" s="537"/>
      <c r="L5" s="2487"/>
      <c r="M5" s="2488"/>
      <c r="N5" s="2488"/>
      <c r="O5" s="2488"/>
      <c r="P5" s="3411"/>
      <c r="Q5" s="3412"/>
      <c r="R5" s="3395"/>
      <c r="S5" s="3396"/>
      <c r="T5" s="3395"/>
      <c r="U5" s="3396"/>
      <c r="V5" s="3417"/>
      <c r="W5" s="3417"/>
      <c r="X5" s="1265"/>
      <c r="Y5" s="3395"/>
      <c r="Z5" s="3396"/>
      <c r="AA5" s="3389"/>
      <c r="AB5" s="3389"/>
      <c r="AC5" s="3389"/>
    </row>
    <row r="6" spans="1:29" ht="1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1" t="s">
        <v>1680</v>
      </c>
      <c r="Q7" s="3418"/>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4"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4"/>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20"/>
      <c r="Q15" s="1263"/>
      <c r="R15" s="667"/>
      <c r="S15" s="668"/>
      <c r="T15" s="667"/>
      <c r="U15" s="668"/>
      <c r="V15" s="667"/>
      <c r="W15" s="668"/>
      <c r="X15" s="1265"/>
      <c r="Y15" s="3420"/>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20"/>
      <c r="Q17" s="1263"/>
      <c r="R17" s="667"/>
      <c r="S17" s="668"/>
      <c r="T17" s="667"/>
      <c r="U17" s="668"/>
      <c r="V17" s="667"/>
      <c r="W17" s="668"/>
      <c r="X17" s="1265"/>
      <c r="Y17" s="3420"/>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20"/>
      <c r="Q19" s="1263"/>
      <c r="R19" s="667"/>
      <c r="S19" s="668"/>
      <c r="T19" s="667"/>
      <c r="U19" s="668"/>
      <c r="V19" s="667"/>
      <c r="W19" s="668"/>
      <c r="X19" s="1265"/>
      <c r="Y19" s="3420"/>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20"/>
      <c r="Q21" s="1263"/>
      <c r="R21" s="667"/>
      <c r="S21" s="668"/>
      <c r="T21" s="667"/>
      <c r="U21" s="668"/>
      <c r="V21" s="667"/>
      <c r="W21" s="668"/>
      <c r="X21" s="1265"/>
      <c r="Y21" s="3420"/>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04" t="str">
        <f>A37</f>
        <v>成交单价</v>
      </c>
      <c r="Q37" s="3404"/>
      <c r="R37" s="3417">
        <f>E37</f>
        <v>0</v>
      </c>
      <c r="S37" s="3417"/>
      <c r="T37" s="3417">
        <f>G37</f>
        <v>0</v>
      </c>
      <c r="U37" s="3417"/>
      <c r="V37" s="3417">
        <f>I37</f>
        <v>0</v>
      </c>
      <c r="W37" s="3417"/>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4" t="str">
        <f>A38</f>
        <v>比较价值（元/平方米）</v>
      </c>
      <c r="Q38" s="3404"/>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24" t="str">
        <f>A39</f>
        <v>估价对象XX用房的比较价值（楼面单价，元/平方米）</v>
      </c>
      <c r="Q39" s="3425"/>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3" t="s">
        <v>1771</v>
      </c>
      <c r="S4" s="3394"/>
      <c r="T4" s="3393" t="s">
        <v>1772</v>
      </c>
      <c r="U4" s="3394"/>
      <c r="V4" s="3417" t="s">
        <v>1773</v>
      </c>
      <c r="W4" s="3417"/>
      <c r="X4" s="1265"/>
      <c r="Y4" s="3393" t="s">
        <v>1775</v>
      </c>
      <c r="Z4" s="3394"/>
      <c r="AA4" s="3388" t="s">
        <v>1771</v>
      </c>
      <c r="AB4" s="3389" t="s">
        <v>1772</v>
      </c>
      <c r="AC4" s="3388" t="s">
        <v>1773</v>
      </c>
    </row>
    <row r="5" spans="1:29">
      <c r="A5" s="348"/>
      <c r="B5" s="349"/>
      <c r="C5" s="3399" t="s">
        <v>1673</v>
      </c>
      <c r="D5" s="3398"/>
      <c r="E5" s="3448" t="s">
        <v>1674</v>
      </c>
      <c r="F5" s="3449"/>
      <c r="G5" s="3399" t="s">
        <v>1675</v>
      </c>
      <c r="H5" s="3398"/>
      <c r="I5" s="3399" t="s">
        <v>1676</v>
      </c>
      <c r="J5" s="3398"/>
      <c r="K5" s="537"/>
      <c r="L5" s="2487"/>
      <c r="M5" s="2488"/>
      <c r="N5" s="2488"/>
      <c r="O5" s="2488"/>
      <c r="P5" s="3411"/>
      <c r="Q5" s="3412"/>
      <c r="R5" s="3395"/>
      <c r="S5" s="3396"/>
      <c r="T5" s="3395"/>
      <c r="U5" s="3396"/>
      <c r="V5" s="3417"/>
      <c r="W5" s="3417"/>
      <c r="X5" s="1265"/>
      <c r="Y5" s="3395"/>
      <c r="Z5" s="3396"/>
      <c r="AA5" s="3389"/>
      <c r="AB5" s="3389"/>
      <c r="AC5" s="3389"/>
    </row>
    <row r="6" spans="1:29" ht="1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1" t="s">
        <v>1680</v>
      </c>
      <c r="Q7" s="3418"/>
      <c r="R7" s="664" t="s">
        <v>14</v>
      </c>
      <c r="S7" s="665">
        <f t="shared" ref="S7:S14" si="0">F7</f>
        <v>0</v>
      </c>
      <c r="T7" s="664" t="s">
        <v>14</v>
      </c>
      <c r="U7" s="665">
        <f t="shared" ref="U7:U14" si="1">H7</f>
        <v>0</v>
      </c>
      <c r="V7" s="664" t="s">
        <v>14</v>
      </c>
      <c r="W7" s="665">
        <f t="shared" ref="W7:W14" si="2">J7</f>
        <v>0</v>
      </c>
      <c r="X7" s="666"/>
      <c r="Y7" s="3391" t="s">
        <v>1680</v>
      </c>
      <c r="Z7" s="339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1" t="s">
        <v>1683</v>
      </c>
      <c r="Q8" s="3392"/>
      <c r="R8" s="664" t="s">
        <v>14</v>
      </c>
      <c r="S8" s="665">
        <f t="shared" si="0"/>
        <v>100</v>
      </c>
      <c r="T8" s="664" t="s">
        <v>14</v>
      </c>
      <c r="U8" s="665">
        <f t="shared" si="1"/>
        <v>100</v>
      </c>
      <c r="V8" s="664" t="s">
        <v>14</v>
      </c>
      <c r="W8" s="665">
        <f t="shared" si="2"/>
        <v>100</v>
      </c>
      <c r="X8" s="666"/>
      <c r="Y8" s="3391" t="s">
        <v>1683</v>
      </c>
      <c r="Z8" s="339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4"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4"/>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4"/>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20"/>
      <c r="Q15" s="1263"/>
      <c r="R15" s="667"/>
      <c r="S15" s="668"/>
      <c r="T15" s="667"/>
      <c r="U15" s="668"/>
      <c r="V15" s="667"/>
      <c r="W15" s="668"/>
      <c r="X15" s="1265"/>
      <c r="Y15" s="3420"/>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20"/>
      <c r="Q17" s="1263"/>
      <c r="R17" s="667"/>
      <c r="S17" s="668"/>
      <c r="T17" s="667"/>
      <c r="U17" s="668"/>
      <c r="V17" s="667"/>
      <c r="W17" s="668"/>
      <c r="X17" s="1265"/>
      <c r="Y17" s="3420"/>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20"/>
      <c r="Q19" s="1263"/>
      <c r="R19" s="667"/>
      <c r="S19" s="668"/>
      <c r="T19" s="667"/>
      <c r="U19" s="668"/>
      <c r="V19" s="667"/>
      <c r="W19" s="668"/>
      <c r="X19" s="1265"/>
      <c r="Y19" s="3420"/>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20"/>
      <c r="Q21" s="1263"/>
      <c r="R21" s="667"/>
      <c r="S21" s="668"/>
      <c r="T21" s="667"/>
      <c r="U21" s="668"/>
      <c r="V21" s="667"/>
      <c r="W21" s="668"/>
      <c r="X21" s="1265"/>
      <c r="Y21" s="3420"/>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04" t="str">
        <f>A35</f>
        <v>成交单价（元/平方米）</v>
      </c>
      <c r="Q35" s="3404"/>
      <c r="R35" s="3417">
        <f>E35</f>
        <v>0</v>
      </c>
      <c r="S35" s="3417"/>
      <c r="T35" s="3417">
        <f>G35</f>
        <v>0</v>
      </c>
      <c r="U35" s="3417"/>
      <c r="V35" s="3417">
        <f>I35</f>
        <v>0</v>
      </c>
      <c r="W35" s="3417"/>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4" t="str">
        <f>A36</f>
        <v>比较价值（元/平方米）</v>
      </c>
      <c r="Q36" s="3404"/>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24" t="str">
        <f>A37</f>
        <v>估价对象XX用房的比较价值（楼面单价，元/平方米）</v>
      </c>
      <c r="Q37" s="3425"/>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3" t="s">
        <v>1771</v>
      </c>
      <c r="S4" s="3394"/>
      <c r="T4" s="3393" t="s">
        <v>1772</v>
      </c>
      <c r="U4" s="3394"/>
      <c r="V4" s="3417" t="s">
        <v>1773</v>
      </c>
      <c r="W4" s="3417"/>
      <c r="X4" s="1265"/>
      <c r="Y4" s="3393" t="s">
        <v>1775</v>
      </c>
      <c r="Z4" s="3394"/>
      <c r="AA4" s="3388" t="s">
        <v>1771</v>
      </c>
      <c r="AB4" s="3389" t="s">
        <v>1772</v>
      </c>
      <c r="AC4" s="3388" t="s">
        <v>1773</v>
      </c>
    </row>
    <row r="5" spans="1:29">
      <c r="A5" s="348"/>
      <c r="B5" s="349"/>
      <c r="C5" s="3399" t="s">
        <v>1673</v>
      </c>
      <c r="D5" s="3398"/>
      <c r="E5" s="3448" t="s">
        <v>1674</v>
      </c>
      <c r="F5" s="3449"/>
      <c r="G5" s="3399" t="s">
        <v>1675</v>
      </c>
      <c r="H5" s="3398"/>
      <c r="I5" s="3399" t="s">
        <v>1676</v>
      </c>
      <c r="J5" s="3398"/>
      <c r="K5" s="537"/>
      <c r="L5" s="2487"/>
      <c r="M5" s="2488"/>
      <c r="N5" s="2488"/>
      <c r="O5" s="2488"/>
      <c r="P5" s="3411"/>
      <c r="Q5" s="3412"/>
      <c r="R5" s="3395"/>
      <c r="S5" s="3396"/>
      <c r="T5" s="3395"/>
      <c r="U5" s="3396"/>
      <c r="V5" s="3417"/>
      <c r="W5" s="3417"/>
      <c r="X5" s="1265"/>
      <c r="Y5" s="3395"/>
      <c r="Z5" s="3396"/>
      <c r="AA5" s="3389"/>
      <c r="AB5" s="3389"/>
      <c r="AC5" s="3389"/>
    </row>
    <row r="6" spans="1:29" ht="1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1" t="s">
        <v>1680</v>
      </c>
      <c r="Q7" s="3418"/>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126</v>
      </c>
      <c r="G10" s="402"/>
      <c r="H10" s="119">
        <f>ROUND(100/'数据-取费表'!G16,0)</f>
        <v>126</v>
      </c>
      <c r="I10" s="402"/>
      <c r="J10" s="119">
        <f>ROUND(100/'数据-取费表'!G16,0)</f>
        <v>126</v>
      </c>
      <c r="K10" s="592"/>
      <c r="L10" s="2490"/>
      <c r="M10" s="2491"/>
      <c r="N10" s="2491"/>
      <c r="O10" s="2542"/>
      <c r="P10" s="3404"/>
      <c r="Q10" s="530" t="str">
        <f t="shared" si="6"/>
        <v>土地使用年限（年）</v>
      </c>
      <c r="R10" s="664" t="s">
        <v>14</v>
      </c>
      <c r="S10" s="665">
        <f t="shared" si="0"/>
        <v>126</v>
      </c>
      <c r="T10" s="664" t="s">
        <v>14</v>
      </c>
      <c r="U10" s="665">
        <f t="shared" si="1"/>
        <v>126</v>
      </c>
      <c r="V10" s="664" t="s">
        <v>14</v>
      </c>
      <c r="W10" s="665">
        <f t="shared" si="2"/>
        <v>126</v>
      </c>
      <c r="X10" s="666"/>
      <c r="Y10" s="3356"/>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4"/>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4"/>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20"/>
      <c r="Q20" s="1263"/>
      <c r="R20" s="667"/>
      <c r="S20" s="668"/>
      <c r="T20" s="667"/>
      <c r="U20" s="668"/>
      <c r="V20" s="667"/>
      <c r="W20" s="668"/>
      <c r="X20" s="1265"/>
      <c r="Y20" s="3420"/>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20"/>
      <c r="Q24" s="1263"/>
      <c r="R24" s="667"/>
      <c r="S24" s="668"/>
      <c r="T24" s="667"/>
      <c r="U24" s="668"/>
      <c r="V24" s="667"/>
      <c r="W24" s="668"/>
      <c r="X24" s="1265"/>
      <c r="Y24" s="3420"/>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20"/>
      <c r="Q26" s="1263"/>
      <c r="R26" s="667"/>
      <c r="S26" s="668"/>
      <c r="T26" s="667"/>
      <c r="U26" s="668"/>
      <c r="V26" s="667"/>
      <c r="W26" s="668"/>
      <c r="X26" s="1265"/>
      <c r="Y26" s="3420"/>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20"/>
      <c r="Q28" s="530"/>
      <c r="R28" s="664"/>
      <c r="S28" s="665"/>
      <c r="T28" s="664"/>
      <c r="U28" s="665"/>
      <c r="V28" s="664"/>
      <c r="W28" s="665"/>
      <c r="X28" s="666"/>
      <c r="Y28" s="3420"/>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20"/>
      <c r="Q30" s="530"/>
      <c r="R30" s="664"/>
      <c r="S30" s="665"/>
      <c r="T30" s="664"/>
      <c r="U30" s="665"/>
      <c r="V30" s="664"/>
      <c r="W30" s="665"/>
      <c r="X30" s="666"/>
      <c r="Y30" s="3420"/>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20"/>
      <c r="Q33" s="1263"/>
      <c r="R33" s="667"/>
      <c r="S33" s="668"/>
      <c r="T33" s="667"/>
      <c r="U33" s="668"/>
      <c r="V33" s="667"/>
      <c r="W33" s="668"/>
      <c r="X33" s="1265"/>
      <c r="Y33" s="3420"/>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1"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04" t="str">
        <f>A46</f>
        <v>成交单价</v>
      </c>
      <c r="Q46" s="3404"/>
      <c r="R46" s="3417">
        <f>E46</f>
        <v>0</v>
      </c>
      <c r="S46" s="3417"/>
      <c r="T46" s="3417">
        <f>G46</f>
        <v>0</v>
      </c>
      <c r="U46" s="3417"/>
      <c r="V46" s="3417">
        <f>I46</f>
        <v>0</v>
      </c>
      <c r="W46" s="3417"/>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4" t="str">
        <f>A47</f>
        <v>比较价值（元/平方米）</v>
      </c>
      <c r="Q47" s="3404"/>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24" t="str">
        <f>A48</f>
        <v>估价对象XX用房的比较价值（楼面单价，元/平方米）</v>
      </c>
      <c r="Q48" s="3425"/>
      <c r="R48" s="3473" t="e">
        <f>ROUND(IF(D47="简单平均",AVERAGE(R47:W47),R47*F47+T47*H47+V47*J47),0)</f>
        <v>#DIV/0!</v>
      </c>
      <c r="S48" s="3473"/>
      <c r="T48" s="3473"/>
      <c r="U48" s="3473"/>
      <c r="V48" s="3473"/>
      <c r="W48" s="347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5" t="s">
        <v>1887</v>
      </c>
      <c r="H55" s="347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759.2</v>
      </c>
      <c r="F56" s="833" t="e">
        <f t="shared" ref="F56:F64" si="15">ROUND(B56*E56/10000,0)</f>
        <v>#DIV/0!</v>
      </c>
      <c r="G56" s="3450"/>
      <c r="H56" s="340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759.2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3" t="s">
        <v>1771</v>
      </c>
      <c r="S4" s="3394"/>
      <c r="T4" s="3393" t="s">
        <v>1772</v>
      </c>
      <c r="U4" s="3394"/>
      <c r="V4" s="3417" t="s">
        <v>1773</v>
      </c>
      <c r="W4" s="3417"/>
      <c r="X4" s="1265"/>
      <c r="Y4" s="3393" t="s">
        <v>1775</v>
      </c>
      <c r="Z4" s="3394"/>
      <c r="AA4" s="3388" t="s">
        <v>1771</v>
      </c>
      <c r="AB4" s="3389" t="s">
        <v>1772</v>
      </c>
      <c r="AC4" s="3388" t="s">
        <v>1773</v>
      </c>
    </row>
    <row r="5" spans="1:29">
      <c r="A5" s="348"/>
      <c r="B5" s="349"/>
      <c r="C5" s="3399" t="s">
        <v>1673</v>
      </c>
      <c r="D5" s="3398"/>
      <c r="E5" s="3448" t="s">
        <v>1674</v>
      </c>
      <c r="F5" s="3449"/>
      <c r="G5" s="3399" t="s">
        <v>1675</v>
      </c>
      <c r="H5" s="3398"/>
      <c r="I5" s="3399" t="s">
        <v>1676</v>
      </c>
      <c r="J5" s="3398"/>
      <c r="K5" s="537"/>
      <c r="L5" s="2487"/>
      <c r="M5" s="2488"/>
      <c r="N5" s="2488"/>
      <c r="O5" s="2488"/>
      <c r="P5" s="3411"/>
      <c r="Q5" s="3412"/>
      <c r="R5" s="3395"/>
      <c r="S5" s="3396"/>
      <c r="T5" s="3395"/>
      <c r="U5" s="3396"/>
      <c r="V5" s="3417"/>
      <c r="W5" s="3417"/>
      <c r="X5" s="1265"/>
      <c r="Y5" s="3395"/>
      <c r="Z5" s="3396"/>
      <c r="AA5" s="3389"/>
      <c r="AB5" s="3389"/>
      <c r="AC5" s="3389"/>
    </row>
    <row r="6" spans="1:29" ht="15" thickBot="1">
      <c r="A6" s="350"/>
      <c r="B6" s="351"/>
      <c r="C6" s="3475" t="s">
        <v>1919</v>
      </c>
      <c r="D6" s="3476"/>
      <c r="E6" s="3477" t="s">
        <v>1919</v>
      </c>
      <c r="F6" s="3478"/>
      <c r="G6" s="3475" t="s">
        <v>1919</v>
      </c>
      <c r="H6" s="3476"/>
      <c r="I6" s="3475" t="s">
        <v>1919</v>
      </c>
      <c r="J6" s="3476"/>
      <c r="K6" s="537" t="s">
        <v>1678</v>
      </c>
      <c r="L6" s="2487"/>
      <c r="M6" s="2488"/>
      <c r="N6" s="2488"/>
      <c r="O6" s="2488"/>
      <c r="P6" s="3413"/>
      <c r="Q6" s="3414"/>
      <c r="R6" s="3395"/>
      <c r="S6" s="3396"/>
      <c r="T6" s="3415"/>
      <c r="U6" s="3416"/>
      <c r="V6" s="3417"/>
      <c r="W6" s="3417"/>
      <c r="X6" s="1265"/>
      <c r="Y6" s="3415"/>
      <c r="Z6" s="3416"/>
      <c r="AA6" s="3390"/>
      <c r="AB6" s="3390"/>
      <c r="AC6" s="3390"/>
    </row>
    <row r="7" spans="1:29" s="102" customFormat="1" ht="14.5" thickBot="1">
      <c r="A7" s="352" t="s">
        <v>1679</v>
      </c>
      <c r="B7" s="353"/>
      <c r="C7" s="354">
        <f>'数据-取费表'!B2</f>
        <v>45994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1" t="s">
        <v>1680</v>
      </c>
      <c r="Q7" s="3418"/>
      <c r="R7" s="664" t="s">
        <v>14</v>
      </c>
      <c r="S7" s="665">
        <f t="shared" ref="S7:S15" si="0">F7</f>
        <v>0</v>
      </c>
      <c r="T7" s="664" t="s">
        <v>14</v>
      </c>
      <c r="U7" s="665">
        <f t="shared" ref="U7:U15" si="1">H7</f>
        <v>0</v>
      </c>
      <c r="V7" s="664" t="s">
        <v>14</v>
      </c>
      <c r="W7" s="665">
        <f t="shared" ref="W7:W15" si="2">J7</f>
        <v>0</v>
      </c>
      <c r="X7" s="666"/>
      <c r="Y7" s="3391" t="s">
        <v>1680</v>
      </c>
      <c r="Z7" s="339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1" t="s">
        <v>1683</v>
      </c>
      <c r="Q8" s="3392"/>
      <c r="R8" s="664" t="s">
        <v>14</v>
      </c>
      <c r="S8" s="665">
        <f t="shared" si="0"/>
        <v>0</v>
      </c>
      <c r="T8" s="664" t="s">
        <v>14</v>
      </c>
      <c r="U8" s="665">
        <f t="shared" si="1"/>
        <v>0</v>
      </c>
      <c r="V8" s="664" t="s">
        <v>14</v>
      </c>
      <c r="W8" s="665">
        <f t="shared" si="2"/>
        <v>0</v>
      </c>
      <c r="X8" s="666"/>
      <c r="Y8" s="3391" t="s">
        <v>1683</v>
      </c>
      <c r="Z8" s="339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4"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126</v>
      </c>
      <c r="G10" s="371"/>
      <c r="H10" s="119">
        <f>ROUND(100/'数据-取费表'!G16,0)</f>
        <v>126</v>
      </c>
      <c r="I10" s="371"/>
      <c r="J10" s="119">
        <f>ROUND(100/'数据-取费表'!G16,0)</f>
        <v>126</v>
      </c>
      <c r="K10" s="592"/>
      <c r="L10" s="2490"/>
      <c r="M10" s="2491"/>
      <c r="N10" s="2491"/>
      <c r="O10" s="2542"/>
      <c r="P10" s="3404"/>
      <c r="Q10" s="530" t="str">
        <f t="shared" si="6"/>
        <v>土地使用年限（年）</v>
      </c>
      <c r="R10" s="664" t="s">
        <v>14</v>
      </c>
      <c r="S10" s="665">
        <f t="shared" si="0"/>
        <v>126</v>
      </c>
      <c r="T10" s="664" t="s">
        <v>14</v>
      </c>
      <c r="U10" s="665">
        <f t="shared" si="1"/>
        <v>126</v>
      </c>
      <c r="V10" s="664" t="s">
        <v>14</v>
      </c>
      <c r="W10" s="665">
        <f t="shared" si="2"/>
        <v>126</v>
      </c>
      <c r="X10" s="666"/>
      <c r="Y10" s="3356"/>
      <c r="Z10" s="50" t="str">
        <f t="shared" si="7"/>
        <v>土地使用年限（年）</v>
      </c>
      <c r="AA10" s="50">
        <f t="shared" si="3"/>
        <v>0.79365079365079361</v>
      </c>
      <c r="AB10" s="50">
        <f t="shared" si="4"/>
        <v>0.79365079365079361</v>
      </c>
      <c r="AC10" s="50">
        <f t="shared" si="5"/>
        <v>0.79365079365079361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4"/>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4"/>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4"/>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4"/>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20"/>
      <c r="Q16" s="1263"/>
      <c r="R16" s="667"/>
      <c r="S16" s="668"/>
      <c r="T16" s="667"/>
      <c r="U16" s="668"/>
      <c r="V16" s="667"/>
      <c r="W16" s="668"/>
      <c r="X16" s="1265"/>
      <c r="Y16" s="3420"/>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20"/>
      <c r="Q18" s="1263"/>
      <c r="R18" s="667"/>
      <c r="S18" s="668"/>
      <c r="T18" s="667"/>
      <c r="U18" s="668"/>
      <c r="V18" s="667"/>
      <c r="W18" s="668"/>
      <c r="X18" s="1265"/>
      <c r="Y18" s="3420"/>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20"/>
      <c r="Q20" s="1263"/>
      <c r="R20" s="667"/>
      <c r="S20" s="668"/>
      <c r="T20" s="667"/>
      <c r="U20" s="668"/>
      <c r="V20" s="667"/>
      <c r="W20" s="668"/>
      <c r="X20" s="1265"/>
      <c r="Y20" s="3420"/>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20"/>
      <c r="Q22" s="1263"/>
      <c r="R22" s="667"/>
      <c r="S22" s="668"/>
      <c r="T22" s="667"/>
      <c r="U22" s="668"/>
      <c r="V22" s="667"/>
      <c r="W22" s="668"/>
      <c r="X22" s="1265"/>
      <c r="Y22" s="3420"/>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20"/>
      <c r="Q24" s="530"/>
      <c r="R24" s="664"/>
      <c r="S24" s="665"/>
      <c r="T24" s="664"/>
      <c r="U24" s="665"/>
      <c r="V24" s="664"/>
      <c r="W24" s="665"/>
      <c r="X24" s="666"/>
      <c r="Y24" s="3420"/>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20"/>
      <c r="Q26" s="530"/>
      <c r="R26" s="664"/>
      <c r="S26" s="665"/>
      <c r="T26" s="664"/>
      <c r="U26" s="665"/>
      <c r="V26" s="664"/>
      <c r="W26" s="665"/>
      <c r="X26" s="666"/>
      <c r="Y26" s="3420"/>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20"/>
      <c r="Q29" s="1263"/>
      <c r="R29" s="667"/>
      <c r="S29" s="668"/>
      <c r="T29" s="667"/>
      <c r="U29" s="668"/>
      <c r="V29" s="667"/>
      <c r="W29" s="668"/>
      <c r="X29" s="1265"/>
      <c r="Y29" s="3420"/>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1"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04" t="str">
        <f>A41</f>
        <v>成交单价</v>
      </c>
      <c r="Q41" s="3404"/>
      <c r="R41" s="3417">
        <f>E41</f>
        <v>0</v>
      </c>
      <c r="S41" s="3417"/>
      <c r="T41" s="3417">
        <f>G41</f>
        <v>0</v>
      </c>
      <c r="U41" s="3417"/>
      <c r="V41" s="3417">
        <f>I41</f>
        <v>0</v>
      </c>
      <c r="W41" s="3417"/>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4" t="str">
        <f>A42</f>
        <v>比较价值（元/平方米）</v>
      </c>
      <c r="Q42" s="3404"/>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24" t="str">
        <f>A43</f>
        <v>估价对象XX用房的比较价值（楼面单价，元/平方米）</v>
      </c>
      <c r="Q43" s="3425"/>
      <c r="R43" s="3473" t="e">
        <f>ROUND(IF(D42="简单平均",AVERAGE(R42:W42),R42*F42+T42*H42+V42*J42),0)</f>
        <v>#DIV/0!</v>
      </c>
      <c r="S43" s="3473"/>
      <c r="T43" s="3473"/>
      <c r="U43" s="3473"/>
      <c r="V43" s="3473"/>
      <c r="W43" s="347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05" t="s">
        <v>1887</v>
      </c>
      <c r="H50" s="347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759.2</v>
      </c>
      <c r="F51" s="611" t="e">
        <f t="shared" ref="F51:F60" si="15">ROUND(B51*E51/10000,0)</f>
        <v>#DIV/0!</v>
      </c>
      <c r="G51" s="3450"/>
      <c r="H51" s="340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f ca="1">SUMIF(B6:B13,"&lt;&gt;#ref!",B6:B13)</f>
        <v>37</v>
      </c>
      <c r="C2" s="1984" t="s">
        <v>2074</v>
      </c>
      <c r="D2" s="1984" t="s">
        <v>2075</v>
      </c>
      <c r="E2" s="2398">
        <f ca="1">SUMIF(E6:E13,"&lt;&gt;#ref!",E6:E13)</f>
        <v>759.2</v>
      </c>
      <c r="F2" s="2545"/>
      <c r="G2" s="2545"/>
      <c r="H2" s="2545"/>
      <c r="I2" s="2545"/>
      <c r="J2" s="2545"/>
      <c r="K2" s="2545"/>
      <c r="L2" s="2545"/>
      <c r="M2" s="2545"/>
      <c r="N2" s="2545"/>
      <c r="O2" s="2545"/>
      <c r="P2" s="2545"/>
    </row>
    <row r="3" spans="1:16" ht="15.5">
      <c r="A3" s="1984" t="s">
        <v>2076</v>
      </c>
      <c r="B3" s="2388">
        <f ca="1">ROUND(B2*10000/E2,0)</f>
        <v>487</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f ca="1">SUMIF(INDIRECT("'"&amp;A6&amp;"'"&amp;"!A:A"),"总价",INDIRECT("'"&amp;A6&amp;"'"&amp;"!B:B"))</f>
        <v>37</v>
      </c>
      <c r="C6" s="1984" t="s">
        <v>2074</v>
      </c>
      <c r="D6" s="2545"/>
      <c r="E6" s="2398">
        <f ca="1">SUMIF(INDIRECT("'"&amp;A6&amp;"'"&amp;"!C:C"),"建筑面积",INDIRECT("'"&amp;A6&amp;"'"&amp;"!D:D"))</f>
        <v>759.2</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2" sqref="K22"/>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301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407.36810000000003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5366</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529718</v>
      </c>
      <c r="D5" s="203" t="s">
        <v>1469</v>
      </c>
      <c r="E5" s="204" t="s">
        <v>1470</v>
      </c>
      <c r="F5" s="204" t="s">
        <v>1471</v>
      </c>
      <c r="G5" s="205"/>
    </row>
    <row r="6" spans="1:8" s="206" customFormat="1" ht="13.5" customHeight="1">
      <c r="A6" s="732" t="s">
        <v>1472</v>
      </c>
      <c r="B6" s="207" t="s">
        <v>1473</v>
      </c>
      <c r="C6" s="208">
        <f>ROUND(基准地价修正!D33*基准地价修正!C33,0)</f>
        <v>366694</v>
      </c>
      <c r="D6" s="209"/>
      <c r="E6" s="210"/>
      <c r="F6" s="210"/>
      <c r="G6" s="211"/>
    </row>
    <row r="7" spans="1:8" s="206" customFormat="1" ht="13.5" customHeight="1">
      <c r="A7" s="732" t="s">
        <v>1474</v>
      </c>
      <c r="B7" s="207" t="s">
        <v>1475</v>
      </c>
      <c r="C7" s="212">
        <f>ROUND(C6*F7,0)</f>
        <v>11184</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151840</v>
      </c>
      <c r="D8" s="214"/>
      <c r="E8" s="212"/>
      <c r="F8" s="213"/>
      <c r="G8" s="1714" t="s">
        <v>3480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151840</v>
      </c>
      <c r="D10" s="795">
        <f ca="1">IF(B1="",'数据-汇总表'!E6,IF(INDIRECT("'数据-取费表'!c"&amp;$G$1)="住宅",INDIRECT("'数据-取费表'!s"&amp;$G$1),INDIRECT("'数据-取费表'!k"&amp;$G$1)+INDIRECT("'数据-取费表'!s"&amp;$G$1)))</f>
        <v>759.2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759.2</v>
      </c>
      <c r="E19" s="203">
        <f>'数据-取费表'!B31</f>
        <v>200</v>
      </c>
      <c r="F19" s="223"/>
      <c r="G19" s="1714" t="s">
        <v>3481</v>
      </c>
    </row>
    <row r="20" spans="1:7" s="206" customFormat="1" ht="13.5" customHeight="1">
      <c r="A20" s="247" t="s">
        <v>1574</v>
      </c>
      <c r="B20" s="202" t="s">
        <v>1575</v>
      </c>
      <c r="C20" s="224">
        <f ca="1">ROUND((C5+C19)*F20,0)</f>
        <v>10594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34011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33679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332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54031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54031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679302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3401216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3036800</v>
      </c>
      <c r="D34" s="209"/>
      <c r="E34" s="212"/>
      <c r="F34" s="249"/>
      <c r="G34" s="211"/>
    </row>
    <row r="35" spans="1:7" ht="13.5" customHeight="1">
      <c r="A35" s="734" t="s">
        <v>351</v>
      </c>
      <c r="B35" s="207" t="s">
        <v>1527</v>
      </c>
      <c r="C35" s="212">
        <f ca="1">ROUND(C34*F35,0)</f>
        <v>151840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151840</v>
      </c>
      <c r="D37" s="209">
        <f ca="1">D19</f>
        <v>759.2</v>
      </c>
      <c r="E37" s="241">
        <f>'数据-取费表'!B35</f>
        <v>200</v>
      </c>
      <c r="F37" s="251"/>
      <c r="G37" s="253"/>
    </row>
    <row r="38" spans="1:7" ht="13.5" customHeight="1">
      <c r="A38" s="734" t="s">
        <v>354</v>
      </c>
      <c r="B38" s="207" t="s">
        <v>1533</v>
      </c>
      <c r="C38" s="212">
        <f ca="1">ROUND(C34*F38,0)</f>
        <v>60736</v>
      </c>
      <c r="D38" s="212"/>
      <c r="E38" s="212"/>
      <c r="F38" s="251">
        <f>'数据-取费表'!B36</f>
        <v>0.02</v>
      </c>
      <c r="G38" s="211" t="s">
        <v>1528</v>
      </c>
    </row>
    <row r="39" spans="1:7" s="206" customFormat="1" ht="13.5" customHeight="1">
      <c r="A39" s="247" t="s">
        <v>1534</v>
      </c>
      <c r="B39" s="202" t="s">
        <v>1535</v>
      </c>
      <c r="C39" s="224">
        <f ca="1">ROUND(C33*F20,0)</f>
        <v>68024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108587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106458</v>
      </c>
      <c r="D42" s="230"/>
      <c r="E42" s="230"/>
      <c r="F42" s="231"/>
      <c r="G42" s="3380" t="s">
        <v>1591</v>
      </c>
    </row>
    <row r="43" spans="1:7" ht="13.5" customHeight="1">
      <c r="A43" s="734" t="s">
        <v>347</v>
      </c>
      <c r="B43" s="207" t="s">
        <v>1545</v>
      </c>
      <c r="C43" s="230">
        <f ca="1">ROUND(IF('数据-取费表'!B22&lt;=1,C39*F22*'数据-取费表'!B20/2,C39*(POWER((1+F22),'数据-取费表'!B20/2)-1)),0)</f>
        <v>2129</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346924</v>
      </c>
      <c r="D45" s="227">
        <f ca="1">C47</f>
        <v>2E-3</v>
      </c>
      <c r="E45" s="228" t="s">
        <v>1539</v>
      </c>
      <c r="F45" s="238">
        <f ca="1">F27</f>
        <v>0.1</v>
      </c>
      <c r="G45" s="239" t="s">
        <v>1548</v>
      </c>
    </row>
    <row r="46" spans="1:7" s="206" customFormat="1" ht="13.5" customHeight="1">
      <c r="A46" s="734" t="s">
        <v>346</v>
      </c>
      <c r="B46" s="240" t="s">
        <v>1549</v>
      </c>
      <c r="C46" s="241">
        <f ca="1">ROUND((C33+C39)*F27,0)</f>
        <v>346924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4242974</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3394379</v>
      </c>
      <c r="D51" s="224"/>
      <c r="E51" s="224"/>
      <c r="F51" s="256"/>
      <c r="G51" s="226" t="s">
        <v>1560</v>
      </c>
    </row>
    <row r="52" spans="1:7" s="200" customFormat="1" ht="16.5" thickBot="1">
      <c r="A52" s="257" t="s">
        <v>1561</v>
      </c>
      <c r="B52" s="258"/>
      <c r="C52" s="259">
        <f ca="1">C31+C51</f>
        <v>4073681</v>
      </c>
      <c r="D52" s="258"/>
      <c r="E52" s="258"/>
      <c r="F52" s="258"/>
      <c r="G52" s="260"/>
    </row>
    <row r="55" spans="1:7" ht="15.5">
      <c r="B55" s="262" t="s">
        <v>1562</v>
      </c>
      <c r="C55" s="263"/>
    </row>
    <row r="56" spans="1:7" ht="13">
      <c r="B56" s="265" t="s">
        <v>802</v>
      </c>
      <c r="C56" s="267">
        <f ca="1">1-C57</f>
        <v>0.16700000000000004</v>
      </c>
    </row>
    <row r="57" spans="1:7" ht="13">
      <c r="B57" s="265" t="s">
        <v>803</v>
      </c>
      <c r="C57" s="266">
        <f ca="1">ROUND(C51/C52,3)</f>
        <v>0.83299999999999996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G21" sqref="G2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759.2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37</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1103</v>
      </c>
      <c r="U2" s="1130"/>
      <c r="V2" s="3064">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487</v>
      </c>
      <c r="C3" s="1846" t="s">
        <v>1941</v>
      </c>
      <c r="D3" s="162" t="s">
        <v>1942</v>
      </c>
      <c r="E3" s="3119" t="s">
        <v>2479</v>
      </c>
      <c r="F3" s="1848" t="s">
        <v>3475</v>
      </c>
      <c r="G3" s="708">
        <f>IF(F3="宗地容积率",'数据-汇总表'!I4,IF(F3="估价对象容积率",'数据-汇总表'!I6,'数据-汇总表'!I7))</f>
        <v>2.4900000000000002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850</v>
      </c>
      <c r="U3" s="1130"/>
      <c r="V3" s="3064">
        <f t="shared" ref="V3:V16" si="1">ROUND(T3*U3/10000,0)</f>
        <v>0</v>
      </c>
      <c r="W3" s="1133"/>
      <c r="X3" s="1133"/>
      <c r="Y3" s="1133"/>
      <c r="Z3" s="1133"/>
      <c r="AA3" s="1133"/>
      <c r="AB3" s="1133"/>
      <c r="AC3" s="1134"/>
      <c r="AD3" s="1135"/>
      <c r="AE3" s="1135"/>
      <c r="AF3" s="1135"/>
      <c r="AG3" s="1135"/>
      <c r="AH3" s="1135"/>
      <c r="AI3" s="1135"/>
      <c r="AJ3" s="1136"/>
    </row>
    <row r="4" spans="1:36" ht="15.5">
      <c r="A4" s="3492"/>
      <c r="B4" s="3493"/>
      <c r="C4" s="3493"/>
      <c r="D4" s="3494"/>
      <c r="E4" s="3494"/>
      <c r="F4" s="3494"/>
      <c r="G4" s="3494"/>
      <c r="H4" s="3494"/>
      <c r="I4" s="3494"/>
      <c r="J4" s="349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693</v>
      </c>
      <c r="U4" s="1130"/>
      <c r="V4" s="3064">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800</v>
      </c>
      <c r="D5" s="1252">
        <f>ROUND(C6*C17+C20,0)</f>
        <v>800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589</v>
      </c>
      <c r="U5" s="1130"/>
      <c r="V5" s="3064">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536</v>
      </c>
      <c r="U6" s="1130"/>
      <c r="V6" s="3064">
        <f t="shared" si="1"/>
        <v>0</v>
      </c>
      <c r="W6" s="1133"/>
      <c r="X6" s="1133"/>
      <c r="Y6" s="1133"/>
      <c r="Z6" s="1133"/>
      <c r="AA6" s="1133"/>
      <c r="AB6" s="1133"/>
      <c r="AC6" s="1855"/>
      <c r="AD6" s="1856"/>
      <c r="AE6" s="1856"/>
      <c r="AF6" s="1856"/>
      <c r="AG6" s="1856"/>
      <c r="AH6" s="1856"/>
      <c r="AI6" s="1856"/>
      <c r="AJ6" s="1857"/>
    </row>
    <row r="7" spans="1:36" ht="26.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2.4900000000000002</v>
      </c>
      <c r="AA7" s="1133"/>
      <c r="AB7" s="1133"/>
      <c r="AC7" s="1134"/>
      <c r="AD7" s="1135"/>
      <c r="AE7" s="1135"/>
      <c r="AF7" s="1135"/>
      <c r="AG7" s="1135"/>
      <c r="AH7" s="1135"/>
      <c r="AI7" s="1135"/>
      <c r="AJ7" s="1136"/>
    </row>
    <row r="8" spans="1:36" ht="25">
      <c r="A8" s="3010"/>
      <c r="B8" s="162" t="s">
        <v>1957</v>
      </c>
      <c r="C8" s="1870" t="s">
        <v>3478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89" t="s">
        <v>1960</v>
      </c>
      <c r="X8" s="34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4">
        <f t="shared" si="0"/>
        <v>0</v>
      </c>
      <c r="U9" s="1130"/>
      <c r="V9" s="3064">
        <f t="shared" si="1"/>
        <v>0</v>
      </c>
      <c r="W9" s="349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9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96" t="s">
        <v>3254</v>
      </c>
      <c r="B20" s="159" t="s">
        <v>1994</v>
      </c>
      <c r="C20" s="3032">
        <f>ROUND(IF(F21="与级别开发程度一致",0,(G21-E21)/C21),0)</f>
        <v>0</v>
      </c>
      <c r="D20" s="3047" t="s">
        <v>1998</v>
      </c>
      <c r="E20" s="3048"/>
      <c r="F20" s="3502" t="s">
        <v>1995</v>
      </c>
      <c r="G20" s="350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5.5" thickBot="1">
      <c r="A21" s="3497"/>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3477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45994</v>
      </c>
      <c r="H23" s="3049" t="s">
        <v>3476</v>
      </c>
      <c r="I23" s="3050" t="str">
        <f>IF(H23="季度增幅（自定义）",SUMIF(N25:N28,E2,O25:O28),"")</f>
        <v/>
      </c>
      <c r="J23" s="3142" t="s">
        <v>3479</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0.79349999999999998</v>
      </c>
      <c r="D24" s="1902" t="s">
        <v>2007</v>
      </c>
      <c r="E24" s="1248">
        <f>存贷款利率!E28/100</f>
        <v>4.3499999999999997E-2</v>
      </c>
      <c r="F24" s="1902" t="s">
        <v>1999</v>
      </c>
      <c r="G24" s="724">
        <f>SUMIF(M30:Q30,E2,M33:Q33)</f>
        <v>0.05</v>
      </c>
      <c r="H24" s="1902" t="s">
        <v>2008</v>
      </c>
      <c r="I24" s="725">
        <f>SUMIF('数据-取费表'!C6:C15,E2,'数据-取费表'!F6:F15)/COUNTIF('数据-取费表'!C6:C15,E2)</f>
        <v>26.41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0.67549999999999999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0.67549999999999999</v>
      </c>
      <c r="E26" s="708">
        <f>ROUNDDOWN(G3,1)</f>
        <v>2.4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0.68799999999999994</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0.67410000000000003</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1.0341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37</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483</v>
      </c>
      <c r="D33" s="1940">
        <f>'数据-汇总表'!E19</f>
        <v>759.2</v>
      </c>
      <c r="E33" s="727">
        <f>ROUND(C33*D33/10000,0)</f>
        <v>37</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72</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500"/>
      <c r="B37" s="1955" t="s">
        <v>2036</v>
      </c>
      <c r="C37" s="167">
        <f>ROUND(D5*C22*C23*C24*C28*F37,0)</f>
        <v>358</v>
      </c>
      <c r="D37" s="1940"/>
      <c r="E37" s="163">
        <f>ROUND(C37*D37/10000,0)</f>
        <v>0</v>
      </c>
      <c r="F37" s="163">
        <f>SUMIF(修正!A59:A70,G2,修正!B59:B70)</f>
        <v>0.5</v>
      </c>
      <c r="G37" s="163">
        <f>ROUND(IF(E2="工业",C37*$M$42,C37*$M$41),0)</f>
        <v>54</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501"/>
      <c r="B38" s="1884" t="s">
        <v>2037</v>
      </c>
      <c r="C38" s="167">
        <f>ROUND(D5*C22*C23*C24*C28*F38,0)</f>
        <v>143</v>
      </c>
      <c r="D38" s="1940"/>
      <c r="E38" s="163">
        <f t="shared" ref="E38:E42" si="4">ROUND(C38*D38/10000,0)</f>
        <v>0</v>
      </c>
      <c r="F38" s="163">
        <f>SUMIF(修正!A59:A70,G2,修正!C59:C70)</f>
        <v>0.2</v>
      </c>
      <c r="G38" s="163">
        <f>ROUND(IF(E2="工业",C38*$M$42,C38*$M$41),0)</f>
        <v>21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1"/>
      <c r="B39" s="1884" t="s">
        <v>3257</v>
      </c>
      <c r="C39" s="167">
        <f>ROUND(D5*C22*C23*C24*C28*F39,0)</f>
        <v>143</v>
      </c>
      <c r="D39" s="1940"/>
      <c r="E39" s="163">
        <f t="shared" si="4"/>
        <v>0</v>
      </c>
      <c r="F39" s="163">
        <f>SUMIF(修正!A59:A70,G2,修正!D59:D70)</f>
        <v>0.2</v>
      </c>
      <c r="G39" s="163">
        <f>ROUND(IF(E2="工业",C39*$M$42,C39*$M$41),0)</f>
        <v>21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143</v>
      </c>
      <c r="D40" s="1940"/>
      <c r="E40" s="163">
        <f t="shared" si="4"/>
        <v>0</v>
      </c>
      <c r="F40" s="167">
        <f>SUMIF(修正!A59:A70,G2,修正!E59:E70)</f>
        <v>0.2</v>
      </c>
      <c r="G40" s="163">
        <f>ROUND(IF(E2="工业",C40*$M$42,C40*$M$41),0)</f>
        <v>21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1.0341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t="s">
        <v>3472</v>
      </c>
      <c r="D83" s="1002">
        <f t="shared" ref="D83:D90" si="22">SUMIF($J$82:$N$82,C83,J83:N83)</f>
        <v>1.9300000000000001E-2</v>
      </c>
      <c r="E83" s="702">
        <f>ROUND(SUM(D83:D90),4)</f>
        <v>3.4099999999999998E-2</v>
      </c>
      <c r="F83" s="1675">
        <f>IF(E2="工业",SUMIF(L1:L12,G2,N1:N12),"——")</f>
        <v>0.14899999999999999</v>
      </c>
      <c r="G83" s="1000">
        <v>1.9300000000000001E-2</v>
      </c>
      <c r="H83" s="1003">
        <f t="shared" ref="H83:H90" si="23">IFERROR(ROUNDDOWN($F$83*I83/2,4),"——")</f>
        <v>1.9300000000000001E-2</v>
      </c>
      <c r="I83" s="3069">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t="s">
        <v>3473</v>
      </c>
      <c r="D84" s="1002">
        <f t="shared" si="22"/>
        <v>0</v>
      </c>
      <c r="E84" s="705"/>
      <c r="F84" s="1675"/>
      <c r="G84" s="1000">
        <v>2.23E-2</v>
      </c>
      <c r="H84" s="1003">
        <f t="shared" si="23"/>
        <v>2.23E-2</v>
      </c>
      <c r="I84" s="3069">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9">
      <c r="A85" s="3071" t="s">
        <v>3268</v>
      </c>
      <c r="B85" s="1262">
        <f>估价对象房地状况!G17</f>
        <v>0</v>
      </c>
      <c r="C85" s="1887" t="s">
        <v>3472</v>
      </c>
      <c r="D85" s="1002">
        <f t="shared" si="22"/>
        <v>7.4000000000000003E-3</v>
      </c>
      <c r="E85" s="705"/>
      <c r="F85" s="1675"/>
      <c r="G85" s="1000">
        <v>7.4000000000000003E-3</v>
      </c>
      <c r="H85" s="1003">
        <f t="shared" si="23"/>
        <v>7.4000000000000003E-3</v>
      </c>
      <c r="I85" s="3069">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
      <c r="A86" s="1970" t="s">
        <v>2067</v>
      </c>
      <c r="B86" s="1262">
        <f>估价对象房地状况!G22</f>
        <v>0</v>
      </c>
      <c r="C86" s="1887" t="s">
        <v>3472</v>
      </c>
      <c r="D86" s="1002">
        <f t="shared" si="22"/>
        <v>3.7000000000000002E-3</v>
      </c>
      <c r="E86" s="705"/>
      <c r="F86" s="1675"/>
      <c r="G86" s="1000">
        <v>3.7000000000000002E-3</v>
      </c>
      <c r="H86" s="1003">
        <f t="shared" si="23"/>
        <v>3.7000000000000002E-3</v>
      </c>
      <c r="I86" s="3069">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6">
      <c r="A87" s="1970" t="s">
        <v>2059</v>
      </c>
      <c r="B87" s="1240" t="str">
        <f>估价对象房地状况!G19</f>
        <v>估价对象所在区域公共配套设施齐备情况</v>
      </c>
      <c r="C87" s="1887" t="s">
        <v>3474</v>
      </c>
      <c r="D87" s="1002">
        <f t="shared" si="22"/>
        <v>-4.4000000000000003E-3</v>
      </c>
      <c r="E87" s="705"/>
      <c r="F87" s="1675"/>
      <c r="G87" s="1000">
        <v>4.4000000000000003E-3</v>
      </c>
      <c r="H87" s="1003">
        <f t="shared" si="23"/>
        <v>4.4000000000000003E-3</v>
      </c>
      <c r="I87" s="3069">
        <v>0.06</v>
      </c>
      <c r="J87" s="1001">
        <f t="shared" si="24"/>
        <v>8.8000000000000005E-3</v>
      </c>
      <c r="K87" s="1001">
        <f t="shared" si="25"/>
        <v>4.4000000000000003E-3</v>
      </c>
      <c r="L87" s="1001">
        <v>0</v>
      </c>
      <c r="M87" s="1001">
        <f t="shared" si="26"/>
        <v>-4.4000000000000003E-3</v>
      </c>
      <c r="N87" s="1001">
        <f t="shared" si="26"/>
        <v>-8.8000000000000005E-3</v>
      </c>
    </row>
    <row r="88" spans="1:37" ht="26">
      <c r="A88" s="1970" t="s">
        <v>2060</v>
      </c>
      <c r="B88" s="1240" t="str">
        <f>估价对象房地状况!G20</f>
        <v>估价对象所在区域基础设施水平</v>
      </c>
      <c r="C88" s="1887" t="s">
        <v>3473</v>
      </c>
      <c r="D88" s="1002">
        <f t="shared" si="22"/>
        <v>0</v>
      </c>
      <c r="E88" s="705"/>
      <c r="F88" s="1675"/>
      <c r="G88" s="1000">
        <v>8.8999999999999999E-3</v>
      </c>
      <c r="H88" s="1003">
        <f t="shared" si="23"/>
        <v>8.8999999999999999E-3</v>
      </c>
      <c r="I88" s="3069">
        <v>0.12</v>
      </c>
      <c r="J88" s="1001">
        <f t="shared" si="24"/>
        <v>1.78E-2</v>
      </c>
      <c r="K88" s="1001">
        <f t="shared" si="25"/>
        <v>8.8999999999999999E-3</v>
      </c>
      <c r="L88" s="1001">
        <v>0</v>
      </c>
      <c r="M88" s="1001">
        <f t="shared" si="26"/>
        <v>-8.8999999999999999E-3</v>
      </c>
      <c r="N88" s="1001">
        <f t="shared" si="26"/>
        <v>-1.78E-2</v>
      </c>
    </row>
    <row r="89" spans="1:37" ht="26">
      <c r="A89" s="1970" t="s">
        <v>2057</v>
      </c>
      <c r="B89" s="1975" t="s">
        <v>2071</v>
      </c>
      <c r="C89" s="1887" t="s">
        <v>3472</v>
      </c>
      <c r="D89" s="1002">
        <f t="shared" si="22"/>
        <v>4.4000000000000003E-3</v>
      </c>
      <c r="E89" s="705"/>
      <c r="F89" s="1675"/>
      <c r="G89" s="1000">
        <v>4.4000000000000003E-3</v>
      </c>
      <c r="H89" s="1003">
        <f t="shared" si="23"/>
        <v>4.4000000000000003E-3</v>
      </c>
      <c r="I89" s="3069">
        <v>0.06</v>
      </c>
      <c r="J89" s="1001">
        <f t="shared" si="24"/>
        <v>8.8000000000000005E-3</v>
      </c>
      <c r="K89" s="1001">
        <f t="shared" si="25"/>
        <v>4.4000000000000003E-3</v>
      </c>
      <c r="L89" s="1001">
        <v>0</v>
      </c>
      <c r="M89" s="1001">
        <f t="shared" si="26"/>
        <v>-4.4000000000000003E-3</v>
      </c>
      <c r="N89" s="1001">
        <f t="shared" si="26"/>
        <v>-8.8000000000000005E-3</v>
      </c>
    </row>
    <row r="90" spans="1:37" ht="38" thickBot="1">
      <c r="A90" s="1977" t="s">
        <v>2072</v>
      </c>
      <c r="B90" s="1982" t="str">
        <f>估价对象房地状况!G18</f>
        <v>该园区内是否有污染型企业，绿化情况，卫生条件，整体环境状况判断</v>
      </c>
      <c r="C90" s="1887" t="s">
        <v>3472</v>
      </c>
      <c r="D90" s="1002">
        <f t="shared" si="22"/>
        <v>3.7000000000000002E-3</v>
      </c>
      <c r="E90" s="706"/>
      <c r="F90" s="1675"/>
      <c r="G90" s="1000">
        <v>3.7000000000000002E-3</v>
      </c>
      <c r="H90" s="1003">
        <f t="shared" si="23"/>
        <v>3.7000000000000002E-3</v>
      </c>
      <c r="I90" s="3070">
        <v>0.05</v>
      </c>
      <c r="J90" s="1001">
        <f t="shared" si="24"/>
        <v>7.4000000000000003E-3</v>
      </c>
      <c r="K90" s="1001">
        <f t="shared" si="25"/>
        <v>3.7000000000000002E-3</v>
      </c>
      <c r="L90" s="1001">
        <v>0</v>
      </c>
      <c r="M90" s="1001">
        <f t="shared" si="26"/>
        <v>-3.7000000000000002E-3</v>
      </c>
      <c r="N90" s="1001">
        <f t="shared" si="26"/>
        <v>-7.4000000000000003E-3</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98" t="s">
        <v>3292</v>
      </c>
      <c r="B103" s="3498"/>
      <c r="C103" s="3498"/>
      <c r="D103" s="3498"/>
      <c r="E103" s="3498"/>
      <c r="F103" s="3498"/>
      <c r="G103" s="3498"/>
      <c r="H103" s="3498"/>
      <c r="I103" s="3498"/>
      <c r="J103" s="3498"/>
      <c r="K103" s="1667"/>
      <c r="L103" s="1667"/>
      <c r="M103" s="1667"/>
      <c r="N103" s="1667"/>
    </row>
    <row r="104" spans="1:14" ht="13">
      <c r="A104" s="3499" t="s">
        <v>3293</v>
      </c>
      <c r="B104" s="3499" t="s">
        <v>3294</v>
      </c>
      <c r="C104" s="3091" t="s">
        <v>3295</v>
      </c>
      <c r="D104" s="3092"/>
      <c r="E104" s="3092"/>
      <c r="F104" s="3092"/>
      <c r="G104" s="3092"/>
      <c r="H104" s="3092"/>
      <c r="I104" s="3092"/>
      <c r="J104" s="3093"/>
      <c r="K104" s="3094"/>
      <c r="L104" s="3094"/>
      <c r="M104" s="3094"/>
      <c r="N104" s="3094"/>
    </row>
    <row r="105" spans="1:14" ht="13">
      <c r="A105" s="3499"/>
      <c r="B105" s="349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8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8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8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8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8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8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8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88" t="s">
        <v>3309</v>
      </c>
      <c r="B113" s="3488"/>
      <c r="C113" s="3488"/>
      <c r="D113" s="3488"/>
      <c r="E113" s="3488"/>
      <c r="F113" s="3488"/>
      <c r="G113" s="3488"/>
      <c r="H113" s="3488"/>
      <c r="I113" s="3488"/>
      <c r="J113" s="348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2.4900000000000002</v>
      </c>
      <c r="C116" s="3100" t="s">
        <v>3311</v>
      </c>
      <c r="D116" s="3101">
        <f>SUMPRODUCT((A118:A122=F116)*(B117:M117=H116)*B118:M122)</f>
        <v>0.54320000000000002</v>
      </c>
      <c r="E116" s="162" t="s">
        <v>3312</v>
      </c>
      <c r="F116" s="3102" t="str">
        <f>E2</f>
        <v>工业</v>
      </c>
      <c r="G116" s="162" t="s">
        <v>3313</v>
      </c>
      <c r="H116" s="3102" t="str">
        <f>G2</f>
        <v>九级</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0.96940000000000004</v>
      </c>
      <c r="C118" s="3090">
        <f>B118</f>
        <v>0.96940000000000004</v>
      </c>
      <c r="D118" s="3090">
        <f>ROUND(0.949-0.014*B116,4)</f>
        <v>0.91410000000000002</v>
      </c>
      <c r="E118" s="3090">
        <f>D118</f>
        <v>0.91410000000000002</v>
      </c>
      <c r="F118" s="3090">
        <f>E118</f>
        <v>0.91410000000000002</v>
      </c>
      <c r="G118" s="3090">
        <f>F118</f>
        <v>0.91410000000000002</v>
      </c>
      <c r="H118" s="3090">
        <f>G118</f>
        <v>0.91410000000000002</v>
      </c>
      <c r="I118" s="3090">
        <f>ROUND(0.8486-0.018*B116,4)</f>
        <v>0.80379999999999996</v>
      </c>
      <c r="J118" s="3090">
        <f t="shared" ref="J118:M122" si="35">I118</f>
        <v>0.80379999999999996</v>
      </c>
      <c r="K118" s="3090">
        <f t="shared" si="35"/>
        <v>0.80379999999999996</v>
      </c>
      <c r="L118" s="3090">
        <f t="shared" si="35"/>
        <v>0.80379999999999996</v>
      </c>
      <c r="M118" s="3110">
        <f t="shared" si="35"/>
        <v>0.80379999999999996</v>
      </c>
      <c r="N118" s="3098"/>
    </row>
    <row r="119" spans="1:14" ht="13">
      <c r="A119" s="3058" t="s">
        <v>3327</v>
      </c>
      <c r="B119" s="3090">
        <f>ROUND(0.993-0.0112*B116,4)</f>
        <v>0.96509999999999996</v>
      </c>
      <c r="C119" s="3090">
        <f>B119</f>
        <v>0.96509999999999996</v>
      </c>
      <c r="D119" s="3090">
        <f>ROUND(0.9415-0.0142*B116,4)</f>
        <v>0.90610000000000002</v>
      </c>
      <c r="E119" s="3090">
        <f t="shared" ref="E119:H120" si="36">D119</f>
        <v>0.90610000000000002</v>
      </c>
      <c r="F119" s="3090">
        <f t="shared" si="36"/>
        <v>0.90610000000000002</v>
      </c>
      <c r="G119" s="3090">
        <f t="shared" si="36"/>
        <v>0.90610000000000002</v>
      </c>
      <c r="H119" s="3090">
        <f t="shared" si="36"/>
        <v>0.90610000000000002</v>
      </c>
      <c r="I119" s="3090">
        <f>ROUND(0.838-0.0182*B116,4)</f>
        <v>0.79269999999999996</v>
      </c>
      <c r="J119" s="3090">
        <f t="shared" si="35"/>
        <v>0.79269999999999996</v>
      </c>
      <c r="K119" s="3090">
        <f t="shared" si="35"/>
        <v>0.79269999999999996</v>
      </c>
      <c r="L119" s="3090">
        <f t="shared" si="35"/>
        <v>0.79269999999999996</v>
      </c>
      <c r="M119" s="3110">
        <f t="shared" si="35"/>
        <v>0.79269999999999996</v>
      </c>
      <c r="N119" s="3098"/>
    </row>
    <row r="120" spans="1:14" ht="13">
      <c r="A120" s="3058" t="s">
        <v>3328</v>
      </c>
      <c r="B120" s="3090">
        <f>ROUND(0.9448-0.0115*B116,4)</f>
        <v>0.91620000000000001</v>
      </c>
      <c r="C120" s="3090">
        <f>B120</f>
        <v>0.91620000000000001</v>
      </c>
      <c r="D120" s="3090">
        <f>ROUND(0.937-0.0145*B116,4)</f>
        <v>0.90090000000000003</v>
      </c>
      <c r="E120" s="3090">
        <f t="shared" si="36"/>
        <v>0.90090000000000003</v>
      </c>
      <c r="F120" s="3090">
        <f t="shared" si="36"/>
        <v>0.90090000000000003</v>
      </c>
      <c r="G120" s="3090">
        <f t="shared" si="36"/>
        <v>0.90090000000000003</v>
      </c>
      <c r="H120" s="3090">
        <f t="shared" si="36"/>
        <v>0.90090000000000003</v>
      </c>
      <c r="I120" s="3090">
        <f>ROUND(0.7965-0.0185*B116,4)</f>
        <v>0.75039999999999996</v>
      </c>
      <c r="J120" s="3090">
        <f t="shared" si="35"/>
        <v>0.75039999999999996</v>
      </c>
      <c r="K120" s="3090">
        <f t="shared" si="35"/>
        <v>0.75039999999999996</v>
      </c>
      <c r="L120" s="3090">
        <f t="shared" si="35"/>
        <v>0.75039999999999996</v>
      </c>
      <c r="M120" s="3110">
        <f t="shared" si="35"/>
        <v>0.75039999999999996</v>
      </c>
      <c r="N120" s="3098"/>
    </row>
    <row r="121" spans="1:14" ht="13.5" thickBot="1">
      <c r="A121" s="3111" t="s">
        <v>3329</v>
      </c>
      <c r="B121" s="3112">
        <f>ROUND(0.7836-0.012*B116,4)</f>
        <v>0.75370000000000004</v>
      </c>
      <c r="C121" s="3112">
        <f>B121</f>
        <v>0.75370000000000004</v>
      </c>
      <c r="D121" s="3112">
        <f>ROUND(0.753-0.015*B116,4)</f>
        <v>0.7157</v>
      </c>
      <c r="E121" s="3112">
        <f>D121</f>
        <v>0.7157</v>
      </c>
      <c r="F121" s="3112">
        <f>E121</f>
        <v>0.7157</v>
      </c>
      <c r="G121" s="3112">
        <f>ROUND(0.6612-0.018*B116,4)</f>
        <v>0.61639999999999995</v>
      </c>
      <c r="H121" s="3112">
        <f>G121</f>
        <v>0.61639999999999995</v>
      </c>
      <c r="I121" s="3112">
        <f>ROUND(0.5905-0.019*B116,4)</f>
        <v>0.54320000000000002</v>
      </c>
      <c r="J121" s="3112">
        <f t="shared" si="35"/>
        <v>0.54320000000000002</v>
      </c>
      <c r="K121" s="3112">
        <f t="shared" si="35"/>
        <v>0.54320000000000002</v>
      </c>
      <c r="L121" s="3112">
        <f t="shared" si="35"/>
        <v>0.54320000000000002</v>
      </c>
      <c r="M121" s="3113">
        <f t="shared" si="35"/>
        <v>0.54320000000000002</v>
      </c>
      <c r="N121" s="3098"/>
    </row>
    <row r="122" spans="1:14" ht="13">
      <c r="A122" s="3114" t="s">
        <v>2612</v>
      </c>
      <c r="B122" s="3090">
        <f>ROUND(0.9404-0.0106*B116,4)</f>
        <v>0.91400000000000003</v>
      </c>
      <c r="C122" s="3090">
        <f>B122</f>
        <v>0.91400000000000003</v>
      </c>
      <c r="D122" s="3090">
        <f>ROUND(0.8955-0.0135*B116,4)</f>
        <v>0.8619</v>
      </c>
      <c r="E122" s="3090">
        <f t="shared" ref="E122:H122" si="37">D122</f>
        <v>0.8619</v>
      </c>
      <c r="F122" s="3090">
        <f t="shared" si="37"/>
        <v>0.8619</v>
      </c>
      <c r="G122" s="3090">
        <f t="shared" si="37"/>
        <v>0.8619</v>
      </c>
      <c r="H122" s="3090">
        <f t="shared" si="37"/>
        <v>0.8619</v>
      </c>
      <c r="I122" s="3090">
        <f>ROUND(0.7632-0.0166*B116,4)</f>
        <v>0.72189999999999999</v>
      </c>
      <c r="J122" s="3090">
        <f t="shared" si="35"/>
        <v>0.72189999999999999</v>
      </c>
      <c r="K122" s="3090">
        <f t="shared" si="35"/>
        <v>0.72189999999999999</v>
      </c>
      <c r="L122" s="3090">
        <f t="shared" si="35"/>
        <v>0.72189999999999999</v>
      </c>
      <c r="M122" s="3110">
        <f t="shared" si="35"/>
        <v>0.72189999999999999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4" t="s">
        <v>2607</v>
      </c>
      <c r="B20" s="3504" t="s">
        <v>2628</v>
      </c>
      <c r="C20" s="3169" t="s">
        <v>2439</v>
      </c>
      <c r="D20" s="3169"/>
      <c r="E20" s="2845">
        <v>1</v>
      </c>
      <c r="F20" s="2846" t="s">
        <v>2440</v>
      </c>
      <c r="G20" s="2846"/>
    </row>
    <row r="21" spans="1:13" ht="19.5" customHeight="1">
      <c r="A21" s="3515"/>
      <c r="B21" s="3505"/>
      <c r="C21" s="2858" t="s">
        <v>2441</v>
      </c>
      <c r="D21" s="2858"/>
      <c r="E21" s="2849">
        <v>1</v>
      </c>
      <c r="F21" s="2846" t="s">
        <v>2442</v>
      </c>
      <c r="G21" s="2846"/>
    </row>
    <row r="22" spans="1:13" ht="19.5" customHeight="1">
      <c r="A22" s="3515"/>
      <c r="B22" s="3505"/>
      <c r="C22" s="2858" t="s">
        <v>2443</v>
      </c>
      <c r="D22" s="2858"/>
      <c r="E22" s="2849">
        <v>0.9</v>
      </c>
      <c r="F22" s="2846" t="s">
        <v>2444</v>
      </c>
      <c r="G22" s="2846"/>
    </row>
    <row r="23" spans="1:13" ht="19.5" customHeight="1">
      <c r="A23" s="3515"/>
      <c r="B23" s="3505"/>
      <c r="C23" s="2858" t="s">
        <v>2445</v>
      </c>
      <c r="D23" s="2858"/>
      <c r="E23" s="2849">
        <v>0.9</v>
      </c>
      <c r="F23" s="2846" t="s">
        <v>2446</v>
      </c>
      <c r="G23" s="2846"/>
    </row>
    <row r="24" spans="1:13" ht="19.5" customHeight="1">
      <c r="A24" s="3515"/>
      <c r="B24" s="3505"/>
      <c r="C24" s="2858" t="s">
        <v>2447</v>
      </c>
      <c r="D24" s="2858"/>
      <c r="E24" s="2849">
        <v>0.8</v>
      </c>
      <c r="F24" s="2846" t="s">
        <v>2448</v>
      </c>
      <c r="G24" s="2846"/>
    </row>
    <row r="25" spans="1:13" ht="19.5" customHeight="1">
      <c r="A25" s="3515"/>
      <c r="B25" s="3505"/>
      <c r="C25" s="2858" t="s">
        <v>2449</v>
      </c>
      <c r="D25" s="2858"/>
      <c r="E25" s="2849">
        <v>0.8</v>
      </c>
      <c r="F25" s="2846"/>
      <c r="G25" s="2846"/>
    </row>
    <row r="26" spans="1:13" ht="19.5" customHeight="1">
      <c r="A26" s="3515"/>
      <c r="B26" s="3505"/>
      <c r="C26" s="2858" t="s">
        <v>3407</v>
      </c>
      <c r="D26" s="2858"/>
      <c r="E26" s="2849">
        <v>0.43</v>
      </c>
      <c r="F26" s="2846"/>
      <c r="G26" s="2846"/>
    </row>
    <row r="27" spans="1:13" ht="19.5" customHeight="1" thickBot="1">
      <c r="A27" s="3516"/>
      <c r="B27" s="350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7" t="s">
        <v>2631</v>
      </c>
      <c r="B29" s="3510" t="s">
        <v>2612</v>
      </c>
      <c r="C29" s="2843" t="s">
        <v>2452</v>
      </c>
      <c r="D29" s="2844"/>
      <c r="E29" s="2845">
        <v>1</v>
      </c>
      <c r="F29" s="2846" t="s">
        <v>2453</v>
      </c>
      <c r="G29" s="2846"/>
    </row>
    <row r="30" spans="1:13" ht="19.5" customHeight="1">
      <c r="A30" s="3508"/>
      <c r="B30" s="3511"/>
      <c r="C30" s="2847" t="s">
        <v>2454</v>
      </c>
      <c r="D30" s="2848"/>
      <c r="E30" s="2849">
        <v>1</v>
      </c>
      <c r="F30" s="2846" t="s">
        <v>2455</v>
      </c>
      <c r="G30" s="2846"/>
    </row>
    <row r="31" spans="1:13" ht="19.5" customHeight="1">
      <c r="A31" s="3508"/>
      <c r="B31" s="3511"/>
      <c r="C31" s="2847" t="s">
        <v>2456</v>
      </c>
      <c r="D31" s="2848"/>
      <c r="E31" s="2849">
        <v>0.8</v>
      </c>
      <c r="F31" s="2846" t="s">
        <v>2457</v>
      </c>
      <c r="G31" s="2846"/>
    </row>
    <row r="32" spans="1:13" ht="19.5" customHeight="1">
      <c r="A32" s="3508"/>
      <c r="B32" s="3511"/>
      <c r="C32" s="2847" t="s">
        <v>2458</v>
      </c>
      <c r="D32" s="2848"/>
      <c r="E32" s="2849">
        <v>0.8</v>
      </c>
      <c r="F32" s="2846" t="s">
        <v>2459</v>
      </c>
      <c r="G32" s="2846"/>
    </row>
    <row r="33" spans="1:7" ht="19.5" customHeight="1">
      <c r="A33" s="3508"/>
      <c r="B33" s="3511"/>
      <c r="C33" s="2847" t="s">
        <v>2460</v>
      </c>
      <c r="D33" s="2848"/>
      <c r="E33" s="2849">
        <v>0.8</v>
      </c>
      <c r="F33" s="2846" t="s">
        <v>2461</v>
      </c>
      <c r="G33" s="2846"/>
    </row>
    <row r="34" spans="1:7" ht="19.5" customHeight="1">
      <c r="A34" s="3508"/>
      <c r="B34" s="3511"/>
      <c r="C34" s="2847" t="s">
        <v>2462</v>
      </c>
      <c r="D34" s="2848"/>
      <c r="E34" s="2849">
        <v>0.7</v>
      </c>
      <c r="F34" s="2846" t="s">
        <v>2463</v>
      </c>
      <c r="G34" s="2846"/>
    </row>
    <row r="35" spans="1:7" ht="19.5" customHeight="1">
      <c r="A35" s="3508"/>
      <c r="B35" s="3511"/>
      <c r="C35" s="2847" t="s">
        <v>2464</v>
      </c>
      <c r="D35" s="2848"/>
      <c r="E35" s="2849">
        <v>0.8</v>
      </c>
      <c r="F35" s="2846" t="s">
        <v>2465</v>
      </c>
      <c r="G35" s="2846"/>
    </row>
    <row r="36" spans="1:7" ht="19.5" customHeight="1">
      <c r="A36" s="3508"/>
      <c r="B36" s="3511"/>
      <c r="C36" s="2847" t="s">
        <v>2466</v>
      </c>
      <c r="D36" s="2848"/>
      <c r="E36" s="2849">
        <v>0.6</v>
      </c>
      <c r="F36" s="2846" t="s">
        <v>2467</v>
      </c>
      <c r="G36" s="2846"/>
    </row>
    <row r="37" spans="1:7" ht="19.5" customHeight="1">
      <c r="A37" s="3508"/>
      <c r="B37" s="3511"/>
      <c r="C37" s="2847" t="s">
        <v>2468</v>
      </c>
      <c r="D37" s="2848"/>
      <c r="E37" s="2849">
        <v>0.2</v>
      </c>
      <c r="F37" s="2846" t="s">
        <v>2469</v>
      </c>
      <c r="G37" s="2846"/>
    </row>
    <row r="38" spans="1:7" ht="19.5" customHeight="1">
      <c r="A38" s="3508"/>
      <c r="B38" s="3511"/>
      <c r="C38" s="2847" t="s">
        <v>2470</v>
      </c>
      <c r="D38" s="2848"/>
      <c r="E38" s="2849">
        <v>0.2</v>
      </c>
      <c r="F38" s="2846" t="s">
        <v>2471</v>
      </c>
      <c r="G38" s="2846"/>
    </row>
    <row r="39" spans="1:7" ht="19.5" customHeight="1">
      <c r="A39" s="3508"/>
      <c r="B39" s="3512" t="s">
        <v>2632</v>
      </c>
      <c r="C39" s="2847" t="s">
        <v>2472</v>
      </c>
      <c r="D39" s="2848"/>
      <c r="E39" s="2849">
        <v>0.6</v>
      </c>
      <c r="F39" s="2846" t="s">
        <v>2473</v>
      </c>
      <c r="G39" s="2846"/>
    </row>
    <row r="40" spans="1:7" ht="19.5" customHeight="1">
      <c r="A40" s="3508"/>
      <c r="B40" s="3511"/>
      <c r="C40" s="2847" t="s">
        <v>2474</v>
      </c>
      <c r="D40" s="2848"/>
      <c r="E40" s="2849">
        <v>0.6</v>
      </c>
      <c r="F40" s="2846" t="s">
        <v>2475</v>
      </c>
      <c r="G40" s="2846"/>
    </row>
    <row r="41" spans="1:7" ht="19.5" customHeight="1" thickBot="1">
      <c r="A41" s="3509"/>
      <c r="B41" s="35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4" t="s">
        <v>2610</v>
      </c>
      <c r="B43" s="3510" t="s">
        <v>2634</v>
      </c>
      <c r="C43" s="2843" t="s">
        <v>2479</v>
      </c>
      <c r="D43" s="2844"/>
      <c r="E43" s="2845">
        <v>1</v>
      </c>
      <c r="F43" s="2846" t="s">
        <v>2480</v>
      </c>
      <c r="G43" s="2846"/>
    </row>
    <row r="44" spans="1:7" ht="19.5" customHeight="1">
      <c r="A44" s="3515"/>
      <c r="B44" s="3511"/>
      <c r="C44" s="2847" t="s">
        <v>2481</v>
      </c>
      <c r="D44" s="2848"/>
      <c r="E44" s="2849">
        <v>1</v>
      </c>
      <c r="F44" s="2846" t="s">
        <v>2482</v>
      </c>
      <c r="G44" s="2846"/>
    </row>
    <row r="45" spans="1:7" ht="19.5" customHeight="1">
      <c r="A45" s="3515"/>
      <c r="B45" s="3517"/>
      <c r="C45" s="2847" t="s">
        <v>2483</v>
      </c>
      <c r="D45" s="2848"/>
      <c r="E45" s="2849">
        <v>1.5</v>
      </c>
      <c r="F45" s="2846" t="s">
        <v>2484</v>
      </c>
      <c r="G45" s="2846"/>
    </row>
    <row r="46" spans="1:7" ht="19.5" customHeight="1">
      <c r="A46" s="3515"/>
      <c r="B46" s="2858" t="s">
        <v>2635</v>
      </c>
      <c r="C46" s="2847" t="s">
        <v>2636</v>
      </c>
      <c r="D46" s="2848"/>
      <c r="E46" s="2849">
        <v>2</v>
      </c>
      <c r="F46" s="2846" t="s">
        <v>2485</v>
      </c>
      <c r="G46" s="2846"/>
    </row>
    <row r="47" spans="1:7" ht="19.5" customHeight="1">
      <c r="A47" s="3515"/>
      <c r="B47" s="3512" t="s">
        <v>2637</v>
      </c>
      <c r="C47" s="2847" t="s">
        <v>2486</v>
      </c>
      <c r="D47" s="2848"/>
      <c r="E47" s="2849">
        <v>1</v>
      </c>
      <c r="F47" s="2846" t="s">
        <v>2487</v>
      </c>
      <c r="G47" s="2846"/>
    </row>
    <row r="48" spans="1:7" ht="19.5" customHeight="1">
      <c r="A48" s="3515"/>
      <c r="B48" s="3511"/>
      <c r="C48" s="2847" t="s">
        <v>2488</v>
      </c>
      <c r="D48" s="2848"/>
      <c r="E48" s="2849">
        <v>1</v>
      </c>
      <c r="F48" s="2846" t="s">
        <v>2489</v>
      </c>
      <c r="G48" s="2846"/>
    </row>
    <row r="49" spans="1:7" ht="19.5" customHeight="1">
      <c r="A49" s="3515"/>
      <c r="B49" s="3511"/>
      <c r="C49" s="2847" t="s">
        <v>2490</v>
      </c>
      <c r="D49" s="2848"/>
      <c r="E49" s="2849">
        <v>1</v>
      </c>
      <c r="F49" s="2846" t="s">
        <v>2491</v>
      </c>
      <c r="G49" s="2846"/>
    </row>
    <row r="50" spans="1:7" ht="19.5" customHeight="1">
      <c r="A50" s="3515"/>
      <c r="B50" s="3511"/>
      <c r="C50" s="2847" t="s">
        <v>2492</v>
      </c>
      <c r="D50" s="2848"/>
      <c r="E50" s="2849">
        <v>1</v>
      </c>
      <c r="F50" s="2846" t="s">
        <v>2493</v>
      </c>
      <c r="G50" s="2846"/>
    </row>
    <row r="51" spans="1:7" ht="19.5" customHeight="1">
      <c r="A51" s="3515"/>
      <c r="B51" s="3511"/>
      <c r="C51" s="2847" t="s">
        <v>2494</v>
      </c>
      <c r="D51" s="2848"/>
      <c r="E51" s="2849">
        <v>1</v>
      </c>
      <c r="F51" s="2846" t="s">
        <v>2495</v>
      </c>
      <c r="G51" s="2846"/>
    </row>
    <row r="52" spans="1:7" ht="19.5" customHeight="1">
      <c r="A52" s="3515"/>
      <c r="B52" s="3511"/>
      <c r="C52" s="2847" t="s">
        <v>2496</v>
      </c>
      <c r="D52" s="2848"/>
      <c r="E52" s="2849">
        <v>1</v>
      </c>
      <c r="F52" s="2846" t="s">
        <v>2497</v>
      </c>
      <c r="G52" s="2846"/>
    </row>
    <row r="53" spans="1:7" ht="19.5" customHeight="1" thickBot="1">
      <c r="A53" s="3516"/>
      <c r="B53" s="35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512" t="s">
        <v>2651</v>
      </c>
      <c r="C75" s="2832" t="s">
        <v>2652</v>
      </c>
      <c r="D75" s="2832" t="s">
        <v>2653</v>
      </c>
      <c r="E75" s="2858">
        <v>0.2</v>
      </c>
      <c r="F75" s="2858">
        <v>25</v>
      </c>
    </row>
    <row r="76" spans="1:7" ht="26">
      <c r="A76" s="2858">
        <v>2</v>
      </c>
      <c r="B76" s="3511"/>
      <c r="C76" s="2832" t="s">
        <v>2654</v>
      </c>
      <c r="D76" s="2832" t="s">
        <v>2655</v>
      </c>
      <c r="E76" s="2858">
        <v>0.2</v>
      </c>
      <c r="F76" s="2858">
        <v>25</v>
      </c>
    </row>
    <row r="77" spans="1:7" ht="26">
      <c r="A77" s="2858">
        <v>3</v>
      </c>
      <c r="B77" s="3511"/>
      <c r="C77" s="2832" t="s">
        <v>2656</v>
      </c>
      <c r="D77" s="2832" t="s">
        <v>2657</v>
      </c>
      <c r="E77" s="2858">
        <v>0.2</v>
      </c>
      <c r="F77" s="2858">
        <v>25</v>
      </c>
    </row>
    <row r="78" spans="1:7" ht="14">
      <c r="A78" s="2858">
        <v>4</v>
      </c>
      <c r="B78" s="3511"/>
      <c r="C78" s="2832" t="s">
        <v>2658</v>
      </c>
      <c r="D78" s="2832" t="s">
        <v>2659</v>
      </c>
      <c r="E78" s="2858">
        <v>0.15</v>
      </c>
      <c r="F78" s="2858">
        <v>20</v>
      </c>
    </row>
    <row r="79" spans="1:7" ht="26">
      <c r="A79" s="2858">
        <v>5</v>
      </c>
      <c r="B79" s="3511"/>
      <c r="C79" s="2832" t="s">
        <v>2660</v>
      </c>
      <c r="D79" s="2832" t="s">
        <v>2661</v>
      </c>
      <c r="E79" s="2858">
        <v>0.15</v>
      </c>
      <c r="F79" s="2858">
        <v>20</v>
      </c>
    </row>
    <row r="80" spans="1:7" ht="26">
      <c r="A80" s="2858">
        <v>6</v>
      </c>
      <c r="B80" s="3511"/>
      <c r="C80" s="2832" t="s">
        <v>2662</v>
      </c>
      <c r="D80" s="2832" t="s">
        <v>2663</v>
      </c>
      <c r="E80" s="2858">
        <v>0.15</v>
      </c>
      <c r="F80" s="2858">
        <v>20</v>
      </c>
    </row>
    <row r="81" spans="1:6" ht="26">
      <c r="A81" s="2858">
        <v>7</v>
      </c>
      <c r="B81" s="3511"/>
      <c r="C81" s="2832" t="s">
        <v>2664</v>
      </c>
      <c r="D81" s="2832" t="s">
        <v>2665</v>
      </c>
      <c r="E81" s="2858">
        <v>0.15</v>
      </c>
      <c r="F81" s="2858">
        <v>20</v>
      </c>
    </row>
    <row r="82" spans="1:6" ht="26">
      <c r="A82" s="2858">
        <v>8</v>
      </c>
      <c r="B82" s="3511"/>
      <c r="C82" s="2832" t="s">
        <v>2666</v>
      </c>
      <c r="D82" s="2832" t="s">
        <v>2667</v>
      </c>
      <c r="E82" s="2858">
        <v>0.1</v>
      </c>
      <c r="F82" s="2858">
        <v>15</v>
      </c>
    </row>
    <row r="83" spans="1:6" ht="26">
      <c r="A83" s="2858">
        <v>9</v>
      </c>
      <c r="B83" s="3511"/>
      <c r="C83" s="2832" t="s">
        <v>2668</v>
      </c>
      <c r="D83" s="2832" t="s">
        <v>2669</v>
      </c>
      <c r="E83" s="2858">
        <v>0.1</v>
      </c>
      <c r="F83" s="2858">
        <v>15</v>
      </c>
    </row>
    <row r="84" spans="1:6" ht="26">
      <c r="A84" s="2858">
        <v>10</v>
      </c>
      <c r="B84" s="3511"/>
      <c r="C84" s="2832" t="s">
        <v>2670</v>
      </c>
      <c r="D84" s="2832" t="s">
        <v>2671</v>
      </c>
      <c r="E84" s="2858">
        <v>0.1</v>
      </c>
      <c r="F84" s="2858">
        <v>15</v>
      </c>
    </row>
    <row r="85" spans="1:6" ht="26">
      <c r="A85" s="2858">
        <v>11</v>
      </c>
      <c r="B85" s="3511"/>
      <c r="C85" s="2832" t="s">
        <v>2672</v>
      </c>
      <c r="D85" s="2832" t="s">
        <v>2673</v>
      </c>
      <c r="E85" s="2858">
        <v>0.1</v>
      </c>
      <c r="F85" s="2858">
        <v>15</v>
      </c>
    </row>
    <row r="86" spans="1:6" ht="26">
      <c r="A86" s="2858">
        <v>12</v>
      </c>
      <c r="B86" s="3511"/>
      <c r="C86" s="2832" t="s">
        <v>2674</v>
      </c>
      <c r="D86" s="2832" t="s">
        <v>2675</v>
      </c>
      <c r="E86" s="2858">
        <v>0.1</v>
      </c>
      <c r="F86" s="2858">
        <v>15</v>
      </c>
    </row>
    <row r="87" spans="1:6" ht="14">
      <c r="A87" s="2858">
        <v>13</v>
      </c>
      <c r="B87" s="3511"/>
      <c r="C87" s="2832" t="s">
        <v>2676</v>
      </c>
      <c r="D87" s="2832" t="s">
        <v>2677</v>
      </c>
      <c r="E87" s="2858">
        <v>0.1</v>
      </c>
      <c r="F87" s="2858">
        <v>15</v>
      </c>
    </row>
    <row r="88" spans="1:6" ht="14">
      <c r="A88" s="2858">
        <v>14</v>
      </c>
      <c r="B88" s="3511"/>
      <c r="C88" s="2832" t="s">
        <v>2678</v>
      </c>
      <c r="D88" s="2832" t="s">
        <v>2679</v>
      </c>
      <c r="E88" s="2858">
        <v>0.1</v>
      </c>
      <c r="F88" s="2858">
        <v>15</v>
      </c>
    </row>
    <row r="89" spans="1:6" ht="14">
      <c r="A89" s="2858">
        <v>15</v>
      </c>
      <c r="B89" s="3511"/>
      <c r="C89" s="2832" t="s">
        <v>2680</v>
      </c>
      <c r="D89" s="2832" t="s">
        <v>2681</v>
      </c>
      <c r="E89" s="2858">
        <v>0.1</v>
      </c>
      <c r="F89" s="2858">
        <v>15</v>
      </c>
    </row>
    <row r="90" spans="1:6" ht="26">
      <c r="A90" s="2858">
        <v>16</v>
      </c>
      <c r="B90" s="3511"/>
      <c r="C90" s="2832" t="s">
        <v>2682</v>
      </c>
      <c r="D90" s="2832" t="s">
        <v>2683</v>
      </c>
      <c r="E90" s="2858">
        <v>0.1</v>
      </c>
      <c r="F90" s="2858">
        <v>15</v>
      </c>
    </row>
    <row r="91" spans="1:6" ht="26">
      <c r="A91" s="2858">
        <v>17</v>
      </c>
      <c r="B91" s="3517"/>
      <c r="C91" s="2832" t="s">
        <v>2684</v>
      </c>
      <c r="D91" s="2832" t="s">
        <v>2685</v>
      </c>
      <c r="E91" s="2858">
        <v>0.1</v>
      </c>
      <c r="F91" s="2858">
        <v>15</v>
      </c>
    </row>
    <row r="92" spans="1:6" ht="14">
      <c r="A92" s="2858">
        <v>18</v>
      </c>
      <c r="B92" s="3512" t="s">
        <v>2686</v>
      </c>
      <c r="C92" s="2832" t="s">
        <v>2687</v>
      </c>
      <c r="D92" s="2832" t="s">
        <v>2688</v>
      </c>
      <c r="E92" s="2858">
        <v>0.2</v>
      </c>
      <c r="F92" s="2858">
        <v>25</v>
      </c>
    </row>
    <row r="93" spans="1:6" ht="26">
      <c r="A93" s="2858">
        <v>19</v>
      </c>
      <c r="B93" s="3511"/>
      <c r="C93" s="2832" t="s">
        <v>2689</v>
      </c>
      <c r="D93" s="2832" t="s">
        <v>2690</v>
      </c>
      <c r="E93" s="2858">
        <v>0.2</v>
      </c>
      <c r="F93" s="2858">
        <v>25</v>
      </c>
    </row>
    <row r="94" spans="1:6" ht="14">
      <c r="A94" s="2858">
        <v>20</v>
      </c>
      <c r="B94" s="3511"/>
      <c r="C94" s="2832" t="s">
        <v>2691</v>
      </c>
      <c r="D94" s="2832" t="s">
        <v>2692</v>
      </c>
      <c r="E94" s="2858">
        <v>0.15</v>
      </c>
      <c r="F94" s="2858">
        <v>20</v>
      </c>
    </row>
    <row r="95" spans="1:6" ht="26">
      <c r="A95" s="2858">
        <v>21</v>
      </c>
      <c r="B95" s="3511"/>
      <c r="C95" s="2832" t="s">
        <v>2693</v>
      </c>
      <c r="D95" s="2832" t="s">
        <v>2694</v>
      </c>
      <c r="E95" s="2858">
        <v>0.15</v>
      </c>
      <c r="F95" s="2858">
        <v>20</v>
      </c>
    </row>
    <row r="96" spans="1:6" ht="26">
      <c r="A96" s="2858">
        <v>22</v>
      </c>
      <c r="B96" s="3511"/>
      <c r="C96" s="2832" t="s">
        <v>2695</v>
      </c>
      <c r="D96" s="2832" t="s">
        <v>2696</v>
      </c>
      <c r="E96" s="2858">
        <v>0.15</v>
      </c>
      <c r="F96" s="2858">
        <v>20</v>
      </c>
    </row>
    <row r="97" spans="1:6" ht="39">
      <c r="A97" s="2858">
        <v>23</v>
      </c>
      <c r="B97" s="3511"/>
      <c r="C97" s="2832" t="s">
        <v>2697</v>
      </c>
      <c r="D97" s="2832" t="s">
        <v>2698</v>
      </c>
      <c r="E97" s="2858">
        <v>0.15</v>
      </c>
      <c r="F97" s="2858">
        <v>20</v>
      </c>
    </row>
    <row r="98" spans="1:6" ht="14">
      <c r="A98" s="2858">
        <v>24</v>
      </c>
      <c r="B98" s="3511"/>
      <c r="C98" s="2832" t="s">
        <v>2699</v>
      </c>
      <c r="D98" s="2832" t="s">
        <v>2700</v>
      </c>
      <c r="E98" s="2858">
        <v>0.1</v>
      </c>
      <c r="F98" s="2858">
        <v>15</v>
      </c>
    </row>
    <row r="99" spans="1:6" ht="26">
      <c r="A99" s="2858">
        <v>25</v>
      </c>
      <c r="B99" s="3511"/>
      <c r="C99" s="2832" t="s">
        <v>2701</v>
      </c>
      <c r="D99" s="2832" t="s">
        <v>2702</v>
      </c>
      <c r="E99" s="2858">
        <v>0.1</v>
      </c>
      <c r="F99" s="2858">
        <v>15</v>
      </c>
    </row>
    <row r="100" spans="1:6" ht="26">
      <c r="A100" s="2858">
        <v>26</v>
      </c>
      <c r="B100" s="3511"/>
      <c r="C100" s="2832" t="s">
        <v>2703</v>
      </c>
      <c r="D100" s="2832" t="s">
        <v>2704</v>
      </c>
      <c r="E100" s="2858">
        <v>0.1</v>
      </c>
      <c r="F100" s="2858">
        <v>15</v>
      </c>
    </row>
    <row r="101" spans="1:6" ht="26">
      <c r="A101" s="2858">
        <v>27</v>
      </c>
      <c r="B101" s="3511"/>
      <c r="C101" s="2832" t="s">
        <v>2705</v>
      </c>
      <c r="D101" s="2832" t="s">
        <v>2706</v>
      </c>
      <c r="E101" s="2858">
        <v>0.1</v>
      </c>
      <c r="F101" s="2858">
        <v>15</v>
      </c>
    </row>
    <row r="102" spans="1:6" ht="26">
      <c r="A102" s="2858">
        <v>28</v>
      </c>
      <c r="B102" s="3511"/>
      <c r="C102" s="2832" t="s">
        <v>2707</v>
      </c>
      <c r="D102" s="2832" t="s">
        <v>2708</v>
      </c>
      <c r="E102" s="2858">
        <v>0.1</v>
      </c>
      <c r="F102" s="2858">
        <v>15</v>
      </c>
    </row>
    <row r="103" spans="1:6" ht="26">
      <c r="A103" s="2858">
        <v>29</v>
      </c>
      <c r="B103" s="3511"/>
      <c r="C103" s="2832" t="s">
        <v>2709</v>
      </c>
      <c r="D103" s="2832" t="s">
        <v>2710</v>
      </c>
      <c r="E103" s="2858">
        <v>0.1</v>
      </c>
      <c r="F103" s="2858">
        <v>15</v>
      </c>
    </row>
    <row r="104" spans="1:6" ht="26">
      <c r="A104" s="2858">
        <v>30</v>
      </c>
      <c r="B104" s="3511"/>
      <c r="C104" s="2832" t="s">
        <v>2711</v>
      </c>
      <c r="D104" s="2832" t="s">
        <v>2712</v>
      </c>
      <c r="E104" s="2858">
        <v>0.1</v>
      </c>
      <c r="F104" s="2858">
        <v>15</v>
      </c>
    </row>
    <row r="105" spans="1:6" ht="26">
      <c r="A105" s="2858">
        <v>31</v>
      </c>
      <c r="B105" s="3511"/>
      <c r="C105" s="2832" t="s">
        <v>2713</v>
      </c>
      <c r="D105" s="2832" t="s">
        <v>2714</v>
      </c>
      <c r="E105" s="2858">
        <v>0.1</v>
      </c>
      <c r="F105" s="2858">
        <v>15</v>
      </c>
    </row>
    <row r="106" spans="1:6" ht="26">
      <c r="A106" s="2858">
        <v>32</v>
      </c>
      <c r="B106" s="3511"/>
      <c r="C106" s="2832" t="s">
        <v>2715</v>
      </c>
      <c r="D106" s="2832" t="s">
        <v>2716</v>
      </c>
      <c r="E106" s="2858">
        <v>0.1</v>
      </c>
      <c r="F106" s="2858">
        <v>15</v>
      </c>
    </row>
    <row r="107" spans="1:6" ht="26">
      <c r="A107" s="2858">
        <v>33</v>
      </c>
      <c r="B107" s="3511"/>
      <c r="C107" s="2832" t="s">
        <v>2717</v>
      </c>
      <c r="D107" s="2832" t="s">
        <v>2718</v>
      </c>
      <c r="E107" s="2858">
        <v>0.1</v>
      </c>
      <c r="F107" s="2858">
        <v>15</v>
      </c>
    </row>
    <row r="108" spans="1:6" ht="26">
      <c r="A108" s="2858">
        <v>34</v>
      </c>
      <c r="B108" s="3517"/>
      <c r="C108" s="2832" t="s">
        <v>2719</v>
      </c>
      <c r="D108" s="2832" t="s">
        <v>2720</v>
      </c>
      <c r="E108" s="2858">
        <v>0.1</v>
      </c>
      <c r="F108" s="2858">
        <v>15</v>
      </c>
    </row>
    <row r="109" spans="1:6" ht="26">
      <c r="A109" s="2858">
        <v>35</v>
      </c>
      <c r="B109" s="3512" t="s">
        <v>2721</v>
      </c>
      <c r="C109" s="2858" t="s">
        <v>2722</v>
      </c>
      <c r="D109" s="2832" t="s">
        <v>2723</v>
      </c>
      <c r="E109" s="2858">
        <v>0.15</v>
      </c>
      <c r="F109" s="2858">
        <v>20</v>
      </c>
    </row>
    <row r="110" spans="1:6" ht="26">
      <c r="A110" s="2858">
        <v>36</v>
      </c>
      <c r="B110" s="3511"/>
      <c r="C110" s="2858" t="s">
        <v>2724</v>
      </c>
      <c r="D110" s="2832" t="s">
        <v>2725</v>
      </c>
      <c r="E110" s="2858">
        <v>0.15</v>
      </c>
      <c r="F110" s="2858">
        <v>20</v>
      </c>
    </row>
    <row r="111" spans="1:6" ht="26">
      <c r="A111" s="2858">
        <v>37</v>
      </c>
      <c r="B111" s="3511"/>
      <c r="C111" s="2858" t="s">
        <v>2726</v>
      </c>
      <c r="D111" s="2832" t="s">
        <v>2727</v>
      </c>
      <c r="E111" s="2858">
        <v>0.15</v>
      </c>
      <c r="F111" s="2858">
        <v>20</v>
      </c>
    </row>
    <row r="112" spans="1:6" ht="14">
      <c r="A112" s="2858">
        <v>38</v>
      </c>
      <c r="B112" s="3511"/>
      <c r="C112" s="2858" t="s">
        <v>2728</v>
      </c>
      <c r="D112" s="2832" t="s">
        <v>2729</v>
      </c>
      <c r="E112" s="2858">
        <v>0.1</v>
      </c>
      <c r="F112" s="2858">
        <v>15</v>
      </c>
    </row>
    <row r="113" spans="1:6" ht="26">
      <c r="A113" s="2858">
        <v>39</v>
      </c>
      <c r="B113" s="3511"/>
      <c r="C113" s="2858" t="s">
        <v>2730</v>
      </c>
      <c r="D113" s="2832" t="s">
        <v>2731</v>
      </c>
      <c r="E113" s="2858">
        <v>0.1</v>
      </c>
      <c r="F113" s="2858">
        <v>15</v>
      </c>
    </row>
    <row r="114" spans="1:6" ht="26">
      <c r="A114" s="2858">
        <v>40</v>
      </c>
      <c r="B114" s="3517"/>
      <c r="C114" s="2858" t="s">
        <v>2732</v>
      </c>
      <c r="D114" s="2832" t="s">
        <v>2733</v>
      </c>
      <c r="E114" s="2858">
        <v>0.1</v>
      </c>
      <c r="F114" s="2858">
        <v>15</v>
      </c>
    </row>
    <row r="115" spans="1:6" ht="26">
      <c r="A115" s="2858">
        <v>41</v>
      </c>
      <c r="B115" s="3505" t="s">
        <v>2734</v>
      </c>
      <c r="C115" s="2858" t="s">
        <v>2735</v>
      </c>
      <c r="D115" s="2832" t="s">
        <v>2736</v>
      </c>
      <c r="E115" s="2858">
        <v>0.1</v>
      </c>
      <c r="F115" s="2858">
        <v>15</v>
      </c>
    </row>
    <row r="116" spans="1:6" ht="14">
      <c r="A116" s="2858">
        <v>42</v>
      </c>
      <c r="B116" s="3505"/>
      <c r="C116" s="2858" t="s">
        <v>2737</v>
      </c>
      <c r="D116" s="2832" t="s">
        <v>2738</v>
      </c>
      <c r="E116" s="2858">
        <v>0.1</v>
      </c>
      <c r="F116" s="2858">
        <v>15</v>
      </c>
    </row>
    <row r="117" spans="1:6" ht="26">
      <c r="A117" s="2858">
        <v>43</v>
      </c>
      <c r="B117" s="3505"/>
      <c r="C117" s="2858" t="s">
        <v>2739</v>
      </c>
      <c r="D117" s="2832" t="s">
        <v>2740</v>
      </c>
      <c r="E117" s="2858">
        <v>0.1</v>
      </c>
      <c r="F117" s="2858">
        <v>15</v>
      </c>
    </row>
    <row r="118" spans="1:6" ht="26">
      <c r="A118" s="2858">
        <v>44</v>
      </c>
      <c r="B118" s="3512" t="s">
        <v>2741</v>
      </c>
      <c r="C118" s="2858" t="s">
        <v>2742</v>
      </c>
      <c r="D118" s="2832" t="s">
        <v>2743</v>
      </c>
      <c r="E118" s="2858">
        <v>0.1</v>
      </c>
      <c r="F118" s="2858">
        <v>15</v>
      </c>
    </row>
    <row r="119" spans="1:6" ht="26">
      <c r="A119" s="2858">
        <v>45</v>
      </c>
      <c r="B119" s="3517"/>
      <c r="C119" s="2832" t="s">
        <v>2744</v>
      </c>
      <c r="D119" s="2832" t="s">
        <v>2745</v>
      </c>
      <c r="E119" s="2858">
        <v>0.1</v>
      </c>
      <c r="F119" s="2858">
        <v>15</v>
      </c>
    </row>
    <row r="120" spans="1:6" ht="26">
      <c r="A120" s="2858">
        <v>46</v>
      </c>
      <c r="B120" s="3512" t="s">
        <v>2746</v>
      </c>
      <c r="C120" s="2858" t="s">
        <v>2747</v>
      </c>
      <c r="D120" s="2832" t="s">
        <v>2748</v>
      </c>
      <c r="E120" s="2858">
        <v>0.1</v>
      </c>
      <c r="F120" s="2858">
        <v>15</v>
      </c>
    </row>
    <row r="121" spans="1:6" ht="26">
      <c r="A121" s="2858">
        <v>47</v>
      </c>
      <c r="B121" s="3517"/>
      <c r="C121" s="2858" t="s">
        <v>2749</v>
      </c>
      <c r="D121" s="2832" t="s">
        <v>2750</v>
      </c>
      <c r="E121" s="2858">
        <v>0.1</v>
      </c>
      <c r="F121" s="2858">
        <v>15</v>
      </c>
    </row>
    <row r="122" spans="1:6" ht="26">
      <c r="A122" s="2858">
        <v>48</v>
      </c>
      <c r="B122" s="3512" t="s">
        <v>2751</v>
      </c>
      <c r="C122" s="2858" t="s">
        <v>2752</v>
      </c>
      <c r="D122" s="2832" t="s">
        <v>2753</v>
      </c>
      <c r="E122" s="2858">
        <v>0.1</v>
      </c>
      <c r="F122" s="2858">
        <v>15</v>
      </c>
    </row>
    <row r="123" spans="1:6" ht="14">
      <c r="A123" s="2858">
        <v>49</v>
      </c>
      <c r="B123" s="3517"/>
      <c r="C123" s="2858" t="s">
        <v>2754</v>
      </c>
      <c r="D123" s="2832" t="s">
        <v>2755</v>
      </c>
      <c r="E123" s="2858">
        <v>0.1</v>
      </c>
      <c r="F123" s="2858">
        <v>15</v>
      </c>
    </row>
    <row r="124" spans="1:6" ht="26">
      <c r="A124" s="2858">
        <v>50</v>
      </c>
      <c r="B124" s="3505" t="s">
        <v>2756</v>
      </c>
      <c r="C124" s="2858" t="s">
        <v>2757</v>
      </c>
      <c r="D124" s="2832" t="s">
        <v>2758</v>
      </c>
      <c r="E124" s="2858">
        <v>0.1</v>
      </c>
      <c r="F124" s="2858">
        <v>15</v>
      </c>
    </row>
    <row r="125" spans="1:6" ht="26">
      <c r="A125" s="2858">
        <v>51</v>
      </c>
      <c r="B125" s="3505"/>
      <c r="C125" s="2858" t="s">
        <v>2759</v>
      </c>
      <c r="D125" s="2832" t="s">
        <v>2760</v>
      </c>
      <c r="E125" s="2858">
        <v>0.1</v>
      </c>
      <c r="F125" s="2858">
        <v>15</v>
      </c>
    </row>
    <row r="126" spans="1:6" ht="26">
      <c r="A126" s="2858">
        <v>52</v>
      </c>
      <c r="B126" s="3505" t="s">
        <v>2761</v>
      </c>
      <c r="C126" s="2858" t="s">
        <v>2762</v>
      </c>
      <c r="D126" s="2832" t="s">
        <v>2763</v>
      </c>
      <c r="E126" s="2858">
        <v>0.1</v>
      </c>
      <c r="F126" s="2858">
        <v>15</v>
      </c>
    </row>
    <row r="127" spans="1:6" ht="26">
      <c r="A127" s="2858">
        <v>53</v>
      </c>
      <c r="B127" s="350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505" t="s">
        <v>2769</v>
      </c>
      <c r="C129" s="2858" t="s">
        <v>2770</v>
      </c>
      <c r="D129" s="2832" t="s">
        <v>2771</v>
      </c>
      <c r="E129" s="2858">
        <v>0.1</v>
      </c>
      <c r="F129" s="2858">
        <v>15</v>
      </c>
    </row>
    <row r="130" spans="1:6" ht="14">
      <c r="A130" s="2858">
        <v>56</v>
      </c>
      <c r="B130" s="3505"/>
      <c r="C130" s="2858" t="s">
        <v>2772</v>
      </c>
      <c r="D130" s="2832" t="s">
        <v>2773</v>
      </c>
      <c r="E130" s="2858">
        <v>0.1</v>
      </c>
      <c r="F130" s="2858">
        <v>15</v>
      </c>
    </row>
    <row r="131" spans="1:6" ht="26">
      <c r="A131" s="2858">
        <v>57</v>
      </c>
      <c r="B131" s="3505"/>
      <c r="C131" s="2858" t="s">
        <v>2774</v>
      </c>
      <c r="D131" s="2832" t="s">
        <v>2775</v>
      </c>
      <c r="E131" s="2858">
        <v>0.1</v>
      </c>
      <c r="F131" s="2858">
        <v>15</v>
      </c>
    </row>
    <row r="132" spans="1:6" ht="26">
      <c r="A132" s="2858">
        <v>58</v>
      </c>
      <c r="B132" s="3505" t="s">
        <v>2776</v>
      </c>
      <c r="C132" s="2858" t="s">
        <v>2777</v>
      </c>
      <c r="D132" s="2832" t="s">
        <v>2778</v>
      </c>
      <c r="E132" s="2858">
        <v>0.1</v>
      </c>
      <c r="F132" s="2858">
        <v>15</v>
      </c>
    </row>
    <row r="133" spans="1:6" ht="26">
      <c r="A133" s="2858">
        <v>59</v>
      </c>
      <c r="B133" s="3505"/>
      <c r="C133" s="2858" t="s">
        <v>2779</v>
      </c>
      <c r="D133" s="2832" t="s">
        <v>2780</v>
      </c>
      <c r="E133" s="2858">
        <v>0.1</v>
      </c>
      <c r="F133" s="2858">
        <v>15</v>
      </c>
    </row>
    <row r="134" spans="1:6" ht="26">
      <c r="A134" s="2858">
        <v>60</v>
      </c>
      <c r="B134" s="3512" t="s">
        <v>2781</v>
      </c>
      <c r="C134" s="2858" t="s">
        <v>2782</v>
      </c>
      <c r="D134" s="2832" t="s">
        <v>2783</v>
      </c>
      <c r="E134" s="2858">
        <v>0.1</v>
      </c>
      <c r="F134" s="2858">
        <v>15</v>
      </c>
    </row>
    <row r="135" spans="1:6" ht="26">
      <c r="A135" s="2858">
        <v>61</v>
      </c>
      <c r="B135" s="351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505" t="s">
        <v>2789</v>
      </c>
      <c r="C137" s="2858" t="s">
        <v>2790</v>
      </c>
      <c r="D137" s="2832" t="s">
        <v>2791</v>
      </c>
      <c r="E137" s="2858">
        <v>0.1</v>
      </c>
      <c r="F137" s="2858">
        <v>15</v>
      </c>
    </row>
    <row r="138" spans="1:6" ht="14">
      <c r="A138" s="2858">
        <v>64</v>
      </c>
      <c r="B138" s="350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5" thickBot="1">
      <c r="A4" s="1391"/>
      <c r="B4" s="3202" t="s">
        <v>917</v>
      </c>
      <c r="C4" s="3202"/>
      <c r="D4" s="3202"/>
      <c r="E4" s="1391"/>
    </row>
    <row r="5" spans="1:5" ht="16" thickTop="1">
      <c r="B5" s="3200" t="s">
        <v>909</v>
      </c>
      <c r="C5" s="1392" t="s">
        <v>910</v>
      </c>
      <c r="D5" s="797">
        <f ca="1">结果表!H101</f>
        <v>616</v>
      </c>
    </row>
    <row r="6" spans="1:5" ht="15.5">
      <c r="B6" s="3200"/>
      <c r="C6" s="1392" t="s">
        <v>911</v>
      </c>
      <c r="D6" s="797" t="str">
        <f ca="1">NUMBERSTRING(INT(D5*10000),2)&amp;"元整"</f>
        <v>陆佰壹拾陆万元整</v>
      </c>
    </row>
    <row r="7" spans="1:5" ht="15.5">
      <c r="B7" s="3205"/>
      <c r="C7" s="1393" t="s">
        <v>912</v>
      </c>
      <c r="D7" s="798">
        <f ca="1">结果表!H102</f>
        <v>8114</v>
      </c>
    </row>
    <row r="8" spans="1:5" ht="15.5">
      <c r="B8" s="3206" t="str">
        <f>结果表!E103</f>
        <v>2.估价师知悉的法定优先受偿款</v>
      </c>
      <c r="C8" s="1394" t="s">
        <v>913</v>
      </c>
      <c r="D8" s="798">
        <f>结果表!H103</f>
        <v>0</v>
      </c>
    </row>
    <row r="9" spans="1:5" ht="15.5">
      <c r="B9" s="320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99" t="str">
        <f>结果表!E107</f>
        <v>3.房地产抵押价值</v>
      </c>
      <c r="C13" s="1397" t="s">
        <v>910</v>
      </c>
      <c r="D13" s="800">
        <f ca="1">结果表!H107</f>
        <v>616</v>
      </c>
    </row>
    <row r="14" spans="1:5" ht="15.5">
      <c r="B14" s="3200"/>
      <c r="C14" s="1392" t="s">
        <v>911</v>
      </c>
      <c r="D14" s="797" t="str">
        <f ca="1">NUMBERSTRING(INT(D13*10000),2)&amp;"元整"</f>
        <v>陆佰壹拾陆万元整</v>
      </c>
    </row>
    <row r="15" spans="1:5" ht="15.5">
      <c r="B15" s="3205"/>
      <c r="C15" s="1393" t="s">
        <v>921</v>
      </c>
      <c r="D15" s="806">
        <f ca="1">结果表!H108</f>
        <v>8114</v>
      </c>
    </row>
    <row r="16" spans="1:5" ht="15">
      <c r="B16" s="3206" t="str">
        <f>结果表!E109</f>
        <v>——</v>
      </c>
      <c r="C16" s="1397" t="s">
        <v>922</v>
      </c>
      <c r="D16" s="1398" t="str">
        <f>结果表!H109</f>
        <v>——</v>
      </c>
    </row>
    <row r="17" spans="1:5" ht="15.5">
      <c r="B17" s="3207"/>
      <c r="C17" s="1392" t="s">
        <v>923</v>
      </c>
      <c r="D17" s="797" t="e">
        <f>NUMBERSTRING(INT(D16*10000),2)&amp;"元整"</f>
        <v>#VALUE!</v>
      </c>
    </row>
    <row r="18" spans="1:5" ht="15.5">
      <c r="B18" s="3208"/>
      <c r="C18" s="1393" t="s">
        <v>912</v>
      </c>
      <c r="D18" s="806" t="str">
        <f>结果表!H110</f>
        <v>——</v>
      </c>
    </row>
    <row r="19" spans="1:5" ht="15.5">
      <c r="B19" s="3199" t="str">
        <f>结果表!E111</f>
        <v>4.抵押净值</v>
      </c>
      <c r="C19" s="1397" t="s">
        <v>910</v>
      </c>
      <c r="D19" s="798">
        <f ca="1">结果表!H111</f>
        <v>261</v>
      </c>
    </row>
    <row r="20" spans="1:5" ht="15.5">
      <c r="B20" s="3200"/>
      <c r="C20" s="1392" t="s">
        <v>923</v>
      </c>
      <c r="D20" s="797" t="str">
        <f ca="1">NUMBERSTRING(INT(D19*10000),2)&amp;"元整"</f>
        <v>贰佰陆拾壹万元整</v>
      </c>
    </row>
    <row r="21" spans="1:5" ht="16" thickBot="1">
      <c r="B21" s="3201"/>
      <c r="C21" s="1399" t="s">
        <v>921</v>
      </c>
      <c r="D21" s="807">
        <f ca="1">结果表!H112</f>
        <v>3438</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0.94010000000000005</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0.85580000000000001</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26789</v>
      </c>
      <c r="C2" s="2" t="s">
        <v>106</v>
      </c>
      <c r="D2" s="191"/>
      <c r="E2" s="191"/>
      <c r="F2" s="191"/>
      <c r="G2" s="191"/>
    </row>
    <row r="3" spans="1:7" s="192" customFormat="1" ht="18" customHeight="1" thickBot="1">
      <c r="A3" s="195" t="s">
        <v>58</v>
      </c>
      <c r="B3" s="196">
        <f ca="1">ROUND(B2*10000/'数据-汇总表'!E3,0)</f>
        <v>352858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759.2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26449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304</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759.2</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35</v>
      </c>
      <c r="D45" s="227">
        <f>C47</f>
        <v>2E-3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425</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340</v>
      </c>
      <c r="D51" s="224"/>
      <c r="E51" s="224"/>
      <c r="F51" s="256"/>
      <c r="G51" s="226" t="s">
        <v>37</v>
      </c>
    </row>
    <row r="52" spans="1:7" s="200" customFormat="1" ht="16.5" thickBot="1">
      <c r="A52" s="257" t="s">
        <v>38</v>
      </c>
      <c r="B52" s="258"/>
      <c r="C52" s="259">
        <f ca="1">C31+C51</f>
        <v>26789</v>
      </c>
      <c r="D52" s="258"/>
      <c r="E52" s="258"/>
      <c r="F52" s="258"/>
      <c r="G52" s="260"/>
    </row>
    <row r="55" spans="1:7" ht="15.5">
      <c r="B55" s="262" t="s">
        <v>39</v>
      </c>
      <c r="C55" s="263"/>
    </row>
    <row r="56" spans="1:7" ht="13">
      <c r="B56" s="265" t="s">
        <v>40</v>
      </c>
      <c r="C56" s="266">
        <f ca="1">ROUND(C51/C52,3)</f>
        <v>1.2999999999999999E-2</v>
      </c>
    </row>
    <row r="57" spans="1:7" ht="13">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518" t="s">
        <v>3181</v>
      </c>
      <c r="B1" s="351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519" t="s">
        <v>3232</v>
      </c>
      <c r="B1" s="3519"/>
      <c r="C1" s="3519"/>
      <c r="D1" s="3519"/>
      <c r="E1" s="3519"/>
      <c r="F1" s="352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R7" zoomScale="90" zoomScaleNormal="90" workbookViewId="0">
      <selection activeCell="A6" sqref="A6:XFD6"/>
    </sheetView>
  </sheetViews>
  <sheetFormatPr defaultRowHeight="14"/>
  <cols>
    <col min="1" max="1" width="13.90625" customWidth="1"/>
    <col min="11" max="17" width="0" hidden="1" customWidth="1"/>
    <col min="25" max="30" width="0" hidden="1" customWidth="1"/>
  </cols>
  <sheetData>
    <row r="1" spans="1:44">
      <c r="A1" s="2938">
        <f>基准地价修正!G23</f>
        <v>45994</v>
      </c>
      <c r="B1" s="2930" t="s">
        <v>3376</v>
      </c>
      <c r="C1" s="2931"/>
      <c r="D1" s="2931"/>
      <c r="E1" s="2931"/>
      <c r="F1" s="2931"/>
      <c r="G1" s="2931"/>
      <c r="H1" s="2931"/>
      <c r="I1" s="2931"/>
      <c r="J1" s="2897"/>
      <c r="K1" s="2931" t="s">
        <v>454</v>
      </c>
      <c r="L1" s="2931"/>
      <c r="M1" s="2931"/>
      <c r="N1" s="2931"/>
      <c r="O1" s="2931"/>
      <c r="P1" s="2931"/>
      <c r="Q1" s="2897"/>
      <c r="R1" s="3521" t="s">
        <v>456</v>
      </c>
      <c r="S1" s="3522"/>
      <c r="T1" s="3522"/>
      <c r="U1" s="3522"/>
      <c r="V1" s="3522"/>
      <c r="W1" s="3522"/>
      <c r="X1" s="2897"/>
      <c r="Y1" s="3521" t="s">
        <v>457</v>
      </c>
      <c r="Z1" s="3522"/>
      <c r="AA1" s="3522"/>
      <c r="AB1" s="3522"/>
      <c r="AC1" s="3522"/>
      <c r="AD1" s="352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21" t="s">
        <v>2827</v>
      </c>
      <c r="S29" s="3522"/>
      <c r="T29" s="3522"/>
      <c r="U29" s="3522"/>
      <c r="V29" s="3522"/>
      <c r="W29" s="3522"/>
      <c r="X29" s="2897"/>
      <c r="Y29" s="3521" t="s">
        <v>2828</v>
      </c>
      <c r="Z29" s="3522"/>
      <c r="AA29" s="3522"/>
      <c r="AB29" s="3522"/>
      <c r="AC29" s="3522"/>
      <c r="AD29" s="352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2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2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2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2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2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34" t="s">
        <v>2839</v>
      </c>
      <c r="B1" s="3534"/>
      <c r="C1" s="3534"/>
      <c r="D1" s="3534"/>
      <c r="E1" s="3534"/>
      <c r="F1" s="3534"/>
      <c r="G1" s="353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3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45994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6">
      <c r="A3" s="3211"/>
      <c r="B3" s="3211"/>
      <c r="C3" s="3211"/>
      <c r="D3" s="801" t="s">
        <v>925</v>
      </c>
      <c r="E3" s="801" t="s">
        <v>931</v>
      </c>
      <c r="F3" s="801" t="s">
        <v>925</v>
      </c>
      <c r="G3" s="801" t="s">
        <v>926</v>
      </c>
      <c r="H3" s="801" t="s">
        <v>925</v>
      </c>
      <c r="I3" s="801" t="s">
        <v>926</v>
      </c>
    </row>
    <row r="4" spans="1:9" ht="15.5">
      <c r="A4" s="1403" t="str">
        <f>项目基本情况!S2</f>
        <v>北京市房地产</v>
      </c>
      <c r="B4" s="801">
        <f>项目基本情况!C17</f>
        <v>759.2</v>
      </c>
      <c r="C4" s="801">
        <f>项目基本情况!C18</f>
        <v>0</v>
      </c>
      <c r="D4" s="801">
        <f>结果表!D118</f>
        <v>0</v>
      </c>
      <c r="E4" s="801">
        <f>结果表!E118</f>
        <v>0</v>
      </c>
      <c r="F4" s="801">
        <f>结果表!F118</f>
        <v>0</v>
      </c>
      <c r="G4" s="801">
        <f>结果表!G118</f>
        <v>0</v>
      </c>
      <c r="H4" s="801">
        <f ca="1">结果表!H118</f>
        <v>616</v>
      </c>
      <c r="I4" s="801">
        <f ca="1">结果表!I118</f>
        <v>8114</v>
      </c>
    </row>
    <row r="5" spans="1:9" ht="30" customHeight="1">
      <c r="A5" s="3211" t="s">
        <v>927</v>
      </c>
      <c r="B5" s="3211"/>
      <c r="C5" s="3211"/>
      <c r="D5" s="3211" t="str">
        <f>结果表!D119</f>
        <v>零元整</v>
      </c>
      <c r="E5" s="3211"/>
      <c r="F5" s="3211" t="str">
        <f>结果表!F119</f>
        <v>零元整</v>
      </c>
      <c r="G5" s="3211"/>
      <c r="H5" s="3211" t="str">
        <f ca="1">结果表!H119</f>
        <v>陆佰壹拾陆万元整</v>
      </c>
      <c r="I5" s="3211"/>
    </row>
    <row r="6" spans="1:9" ht="15.5">
      <c r="A6" s="3212" t="str">
        <f>结果表!A120</f>
        <v>估价师知悉的法定优先受偿款</v>
      </c>
      <c r="B6" s="3212"/>
      <c r="C6" s="3212"/>
      <c r="D6" s="3212">
        <f>结果表!D120</f>
        <v>0</v>
      </c>
      <c r="E6" s="3212"/>
      <c r="F6" s="3212"/>
      <c r="G6" s="3212"/>
      <c r="H6" s="3212"/>
      <c r="I6" s="3212"/>
    </row>
    <row r="7" spans="1:9" ht="15.5">
      <c r="A7" s="3211" t="s">
        <v>927</v>
      </c>
      <c r="B7" s="3211"/>
      <c r="C7" s="3211"/>
      <c r="D7" s="3213" t="str">
        <f>结果表!D121</f>
        <v>零元整</v>
      </c>
      <c r="E7" s="3214"/>
      <c r="F7" s="3214"/>
      <c r="G7" s="3214"/>
      <c r="H7" s="3214"/>
      <c r="I7" s="3215"/>
    </row>
    <row r="8" spans="1:9" ht="15.5">
      <c r="A8" s="3212" t="str">
        <f>结果表!A122</f>
        <v>房地产抵押价值</v>
      </c>
      <c r="B8" s="3212"/>
      <c r="C8" s="3212"/>
      <c r="D8" s="3212">
        <f ca="1">结果表!D122</f>
        <v>616</v>
      </c>
      <c r="E8" s="3212"/>
      <c r="F8" s="3212"/>
      <c r="G8" s="3212"/>
      <c r="H8" s="3212"/>
      <c r="I8" s="3212"/>
    </row>
    <row r="9" spans="1:9" ht="15.5">
      <c r="A9" s="3211" t="s">
        <v>927</v>
      </c>
      <c r="B9" s="3211"/>
      <c r="C9" s="3211"/>
      <c r="D9" s="3211" t="str">
        <f ca="1">结果表!D123</f>
        <v>陆佰壹拾陆万元整</v>
      </c>
      <c r="E9" s="3211"/>
      <c r="F9" s="3211"/>
      <c r="G9" s="3211"/>
      <c r="H9" s="3211"/>
      <c r="I9" s="3211"/>
    </row>
    <row r="10" spans="1:9" ht="15.5">
      <c r="A10" s="3212" t="str">
        <f>结果表!A124</f>
        <v/>
      </c>
      <c r="B10" s="3212"/>
      <c r="C10" s="3212"/>
      <c r="D10" s="3212" t="str">
        <f>结果表!D124</f>
        <v>——</v>
      </c>
      <c r="E10" s="3212"/>
      <c r="F10" s="3212"/>
      <c r="G10" s="3212"/>
      <c r="H10" s="3212"/>
      <c r="I10" s="3212"/>
    </row>
    <row r="11" spans="1:9" ht="15.5">
      <c r="A11" s="3211" t="s">
        <v>927</v>
      </c>
      <c r="B11" s="3211"/>
      <c r="C11" s="3211"/>
      <c r="D11" s="3211" t="e">
        <f>结果表!D125</f>
        <v>#VALUE!</v>
      </c>
      <c r="E11" s="3211"/>
      <c r="F11" s="3211"/>
      <c r="G11" s="3211"/>
      <c r="H11" s="3211"/>
      <c r="I11" s="3211"/>
    </row>
    <row r="12" spans="1:9" ht="15.5">
      <c r="A12" s="3212" t="str">
        <f>结果表!A126</f>
        <v>抵押净值</v>
      </c>
      <c r="B12" s="3212"/>
      <c r="C12" s="3212"/>
      <c r="D12" s="3212">
        <f ca="1">结果表!D126</f>
        <v>261</v>
      </c>
      <c r="E12" s="3212"/>
      <c r="F12" s="3212"/>
      <c r="G12" s="3212"/>
      <c r="H12" s="3212"/>
      <c r="I12" s="3212"/>
    </row>
    <row r="13" spans="1:9" ht="16" thickBot="1">
      <c r="A13" s="3216" t="s">
        <v>927</v>
      </c>
      <c r="B13" s="3216"/>
      <c r="C13" s="3216"/>
      <c r="D13" s="3216" t="str">
        <f ca="1">结果表!D127</f>
        <v>贰佰陆拾壹万元整</v>
      </c>
      <c r="E13" s="3216"/>
      <c r="F13" s="3216"/>
      <c r="G13" s="3216"/>
      <c r="H13" s="3216"/>
      <c r="I13" s="3216"/>
    </row>
    <row r="14" spans="1:9" ht="14.5" thickTop="1">
      <c r="A14" s="3217" t="s">
        <v>932</v>
      </c>
      <c r="B14" s="3217"/>
      <c r="C14" s="3217"/>
      <c r="D14" s="3217"/>
      <c r="E14" s="3217"/>
      <c r="F14" s="3217"/>
      <c r="G14" s="3217"/>
      <c r="H14" s="3217"/>
      <c r="I14" s="321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8" t="s">
        <v>949</v>
      </c>
      <c r="B1" s="3218"/>
      <c r="C1" s="3218"/>
      <c r="D1" s="3218"/>
    </row>
    <row r="2" spans="1:4" ht="18">
      <c r="A2" s="3219" t="s">
        <v>933</v>
      </c>
      <c r="B2" s="3219"/>
      <c r="C2" s="3219"/>
      <c r="D2" s="321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9" t="s">
        <v>939</v>
      </c>
      <c r="B6" s="3219"/>
      <c r="C6" s="3219"/>
      <c r="D6" s="321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20" t="s">
        <v>942</v>
      </c>
      <c r="B11" s="3221"/>
      <c r="C11" s="3221"/>
      <c r="D11" s="3221"/>
    </row>
    <row r="12" spans="1:4" ht="15.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32" t="s">
        <v>956</v>
      </c>
      <c r="B15" s="3227" t="s">
        <v>109</v>
      </c>
      <c r="C15" s="3228"/>
    </row>
    <row r="16" spans="1:7" ht="14">
      <c r="A16" s="3233"/>
      <c r="B16" s="3227" t="s">
        <v>42</v>
      </c>
      <c r="C16" s="3228"/>
    </row>
    <row r="17" spans="1:3" ht="14">
      <c r="A17" s="3233"/>
      <c r="B17" s="3230" t="s">
        <v>957</v>
      </c>
      <c r="C17" s="1429" t="s">
        <v>956</v>
      </c>
    </row>
    <row r="18" spans="1:3" ht="14">
      <c r="A18" s="3233"/>
      <c r="B18" s="3230"/>
      <c r="C18" s="1429" t="s">
        <v>958</v>
      </c>
    </row>
    <row r="19" spans="1:3" ht="14">
      <c r="A19" s="3233"/>
      <c r="B19" s="3230"/>
      <c r="C19" s="1429" t="s">
        <v>959</v>
      </c>
    </row>
    <row r="20" spans="1:3" ht="14">
      <c r="A20" s="3234"/>
      <c r="B20" s="3229" t="s">
        <v>960</v>
      </c>
      <c r="C20" s="3228"/>
    </row>
    <row r="21" spans="1:3" ht="14">
      <c r="A21" s="1430" t="s">
        <v>961</v>
      </c>
      <c r="B21" s="1431"/>
      <c r="C21" s="1432"/>
    </row>
    <row r="22" spans="1:3" ht="14">
      <c r="A22" s="3231" t="s">
        <v>962</v>
      </c>
      <c r="B22" s="3229" t="s">
        <v>963</v>
      </c>
      <c r="C22" s="3228"/>
    </row>
    <row r="23" spans="1:3" ht="14">
      <c r="A23" s="3231"/>
      <c r="B23" s="3229" t="s">
        <v>964</v>
      </c>
      <c r="C23" s="3228"/>
    </row>
    <row r="24" spans="1:3" ht="14">
      <c r="A24" s="3231"/>
      <c r="B24" s="3229" t="s">
        <v>965</v>
      </c>
      <c r="C24" s="3228"/>
    </row>
    <row r="25" spans="1:3" ht="14">
      <c r="A25" s="3231"/>
      <c r="B25" s="3230" t="s">
        <v>966</v>
      </c>
      <c r="C25" s="1429" t="s">
        <v>967</v>
      </c>
    </row>
    <row r="26" spans="1:3" ht="14">
      <c r="A26" s="3231"/>
      <c r="B26" s="3230"/>
      <c r="C26" s="1429" t="s">
        <v>968</v>
      </c>
    </row>
    <row r="27" spans="1:3" ht="14">
      <c r="A27" s="3231"/>
      <c r="B27" s="3230"/>
      <c r="C27" s="1429" t="s">
        <v>969</v>
      </c>
    </row>
    <row r="28" spans="1:3" ht="14">
      <c r="A28" s="3231"/>
      <c r="B28" s="3230"/>
      <c r="C28" s="1429" t="s">
        <v>970</v>
      </c>
    </row>
    <row r="29" spans="1:3" ht="14">
      <c r="A29" s="3231"/>
      <c r="B29" s="3230"/>
      <c r="C29" s="1429" t="s">
        <v>971</v>
      </c>
    </row>
    <row r="30" spans="1:3" ht="14">
      <c r="A30" s="3231"/>
      <c r="B30" s="3230"/>
      <c r="C30" s="1429" t="s">
        <v>972</v>
      </c>
    </row>
    <row r="31" spans="1:3" ht="14">
      <c r="A31" s="3231"/>
      <c r="B31" s="3230"/>
      <c r="C31" s="1429" t="s">
        <v>973</v>
      </c>
    </row>
    <row r="32" spans="1:3" ht="14">
      <c r="A32" s="3231"/>
      <c r="B32" s="3230"/>
      <c r="C32" s="1429" t="s">
        <v>974</v>
      </c>
    </row>
    <row r="33" spans="1:3" ht="14">
      <c r="A33" s="3231"/>
      <c r="B33" s="323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45995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60"/>
      <c r="E18" s="3237" t="s">
        <v>2162</v>
      </c>
      <c r="F18" s="3236"/>
      <c r="G18" s="323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Sheet1</vt:lpstr>
      <vt:lpstr>Sheet2</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2025-12-04T02:02:19Z</dcterms:modified>
</cp:coreProperties>
</file>