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0"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2" sheetId="78"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0" i="37" l="1"/>
  <c r="C33" i="37"/>
  <c r="G33" i="37"/>
  <c r="E33" i="37"/>
  <c r="N14" i="1"/>
  <c r="L14" i="1"/>
  <c r="D5" i="78"/>
  <c r="D4" i="78"/>
  <c r="C4" i="78"/>
  <c r="B4" i="78"/>
  <c r="G19" i="6"/>
  <c r="A7" i="1"/>
  <c r="E20" i="6"/>
  <c r="K7" i="1"/>
  <c r="F4" i="73"/>
  <c r="I1" i="73"/>
  <c r="B39" i="1"/>
  <c r="D20" i="6"/>
  <c r="E19" i="6"/>
  <c r="E27" i="6"/>
  <c r="K20" i="6"/>
  <c r="L20" i="6"/>
  <c r="M20" i="6"/>
  <c r="I20" i="6"/>
  <c r="H20" i="6"/>
  <c r="R20" i="6"/>
  <c r="R7" i="1"/>
  <c r="M7" i="1"/>
  <c r="S7" i="1"/>
  <c r="T7" i="1"/>
  <c r="D5" i="73"/>
  <c r="G1" i="73"/>
  <c r="B40" i="1"/>
  <c r="AE7" i="1"/>
  <c r="K6" i="1"/>
  <c r="K8" i="1"/>
  <c r="K9" i="1"/>
  <c r="K10" i="1"/>
  <c r="K11" i="1"/>
  <c r="K12" i="1"/>
  <c r="K13" i="1"/>
  <c r="K14" i="1"/>
  <c r="K15" i="1"/>
  <c r="K16" i="1"/>
  <c r="B29" i="1"/>
  <c r="B52" i="1"/>
  <c r="E1" i="73"/>
  <c r="K1" i="73"/>
  <c r="K19" i="6"/>
  <c r="L19" i="6"/>
  <c r="M19" i="6"/>
  <c r="I19" i="6"/>
  <c r="H19" i="6"/>
  <c r="D19" i="6"/>
  <c r="R19" i="6"/>
  <c r="R6" i="1"/>
  <c r="G1" i="15"/>
  <c r="L48" i="15"/>
  <c r="J51" i="15"/>
  <c r="J53" i="15"/>
  <c r="F1" i="15"/>
  <c r="AE6" i="1"/>
  <c r="AG7" i="1"/>
  <c r="F19" i="6"/>
  <c r="I5" i="3"/>
  <c r="G23" i="9"/>
  <c r="Y6" i="1"/>
  <c r="N6" i="1"/>
  <c r="A6" i="1"/>
  <c r="BQ14" i="3"/>
  <c r="BQ5" i="3"/>
  <c r="F28" i="6"/>
  <c r="E28" i="6"/>
  <c r="I13" i="3"/>
  <c r="D3" i="4"/>
  <c r="L3" i="71"/>
  <c r="K3" i="71"/>
  <c r="J3" i="71"/>
  <c r="I3" i="71"/>
  <c r="AH5" i="71"/>
  <c r="AG5" i="71"/>
  <c r="AE5" i="71"/>
  <c r="AF5" i="71"/>
  <c r="AD5" i="71"/>
  <c r="Q5" i="71"/>
  <c r="Q6" i="71"/>
  <c r="AB5" i="71"/>
  <c r="P5" i="71"/>
  <c r="P6" i="71"/>
  <c r="AA5" i="71"/>
  <c r="O5" i="71"/>
  <c r="O6" i="71"/>
  <c r="Y5" i="71"/>
  <c r="Z5" i="71"/>
  <c r="N5" i="71"/>
  <c r="N6" i="71"/>
  <c r="X5" i="71"/>
  <c r="F6" i="71"/>
  <c r="F5" i="71"/>
  <c r="E6" i="71"/>
  <c r="E5" i="71"/>
  <c r="C6" i="71"/>
  <c r="C5" i="71"/>
  <c r="D5" i="71"/>
  <c r="B6" i="71"/>
  <c r="B5" i="71"/>
  <c r="N7" i="71"/>
  <c r="X6" i="71"/>
  <c r="AH6" i="71"/>
  <c r="AG6" i="71"/>
  <c r="AE6" i="71"/>
  <c r="AF6" i="71"/>
  <c r="AD6" i="71"/>
  <c r="Q7" i="71"/>
  <c r="AB6" i="71"/>
  <c r="P7" i="71"/>
  <c r="AA6" i="71"/>
  <c r="O7" i="71"/>
  <c r="Y6" i="71"/>
  <c r="Z6" i="71"/>
  <c r="F7" i="71"/>
  <c r="E7" i="71"/>
  <c r="C7" i="71"/>
  <c r="D6" i="71"/>
  <c r="B7" i="71"/>
  <c r="D7" i="71"/>
  <c r="B2" i="1"/>
  <c r="G19" i="43"/>
  <c r="M20" i="43"/>
  <c r="M19" i="43"/>
  <c r="C19" i="43"/>
  <c r="I20" i="43"/>
  <c r="G20" i="43"/>
  <c r="C20" i="43"/>
  <c r="G2" i="43"/>
  <c r="I2" i="43"/>
  <c r="M5"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J53" i="67"/>
  <c r="I15" i="4"/>
  <c r="F6" i="1"/>
  <c r="M47" i="15"/>
  <c r="J50" i="15"/>
  <c r="AL5" i="3"/>
  <c r="I4" i="6"/>
  <c r="G3" i="43"/>
  <c r="F33" i="43"/>
  <c r="C33" i="43"/>
  <c r="G33" i="43"/>
  <c r="I33" i="43"/>
  <c r="E33" i="43"/>
  <c r="E7" i="76"/>
  <c r="E8" i="76"/>
  <c r="E9" i="76"/>
  <c r="E10" i="76"/>
  <c r="E11" i="76"/>
  <c r="E12" i="76"/>
  <c r="E13" i="76"/>
  <c r="D9" i="71"/>
  <c r="AH7" i="71"/>
  <c r="AG7" i="71"/>
  <c r="AE7" i="71"/>
  <c r="AF7" i="71"/>
  <c r="AD7"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AZ5" i="3"/>
  <c r="H13" i="3"/>
  <c r="G13" i="3"/>
  <c r="H14" i="3"/>
  <c r="AC14" i="3"/>
  <c r="G14" i="3"/>
  <c r="AC15" i="3"/>
  <c r="G15" i="3"/>
  <c r="G5" i="3"/>
  <c r="AT5" i="3"/>
  <c r="B3" i="3"/>
  <c r="AY6" i="3"/>
  <c r="D3" i="6"/>
  <c r="M19" i="9"/>
  <c r="C118" i="9"/>
  <c r="C14" i="74"/>
  <c r="E3" i="6"/>
  <c r="M18" i="9"/>
  <c r="B118" i="9"/>
  <c r="B14" i="74"/>
  <c r="AD8" i="71"/>
  <c r="AG8" i="71"/>
  <c r="AH8" i="71"/>
  <c r="AE8" i="71"/>
  <c r="AF8" i="71"/>
  <c r="N8" i="71"/>
  <c r="X7" i="71"/>
  <c r="Q8" i="71"/>
  <c r="AB7" i="71"/>
  <c r="P8" i="71"/>
  <c r="AA7" i="71"/>
  <c r="O8" i="71"/>
  <c r="Y7" i="71"/>
  <c r="Z7" i="71"/>
  <c r="C8" i="71"/>
  <c r="T8" i="71"/>
  <c r="Q9" i="71"/>
  <c r="F8" i="71"/>
  <c r="P9" i="71"/>
  <c r="E8" i="71"/>
  <c r="O9" i="71"/>
  <c r="N9" i="71"/>
  <c r="B8" i="71"/>
  <c r="S8" i="71"/>
  <c r="V8" i="71"/>
  <c r="D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A19" i="62"/>
  <c r="A12" i="62"/>
  <c r="A120" i="9"/>
  <c r="H2" i="52"/>
  <c r="A1" i="52"/>
  <c r="A3" i="53"/>
  <c r="Q10" i="71"/>
  <c r="P10" i="71"/>
  <c r="O10" i="71"/>
  <c r="N10"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1" i="71"/>
  <c r="P11" i="71"/>
  <c r="Q11" i="71"/>
  <c r="N11" i="71"/>
  <c r="AE3" i="71"/>
  <c r="AF3" i="71"/>
  <c r="AG3" i="71"/>
  <c r="AH3"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c r="F7" i="73"/>
  <c r="J1"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C38" i="71"/>
  <c r="Q37" i="71"/>
  <c r="F38" i="71"/>
  <c r="F39" i="71"/>
  <c r="F40" i="71"/>
  <c r="V40" i="71"/>
  <c r="P37" i="71"/>
  <c r="E38" i="71"/>
  <c r="O37"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F26" i="71"/>
  <c r="F27" i="71"/>
  <c r="F28" i="71"/>
  <c r="V28" i="71"/>
  <c r="Q25" i="71"/>
  <c r="P25" i="71"/>
  <c r="E26" i="71"/>
  <c r="E27" i="71"/>
  <c r="E28" i="71"/>
  <c r="U28" i="71"/>
  <c r="O25" i="71"/>
  <c r="C26" i="71"/>
  <c r="N25" i="71"/>
  <c r="B26" i="71"/>
  <c r="B27" i="71"/>
  <c r="B28" i="71"/>
  <c r="S28" i="71"/>
  <c r="D25" i="71"/>
  <c r="Q24" i="71"/>
  <c r="P24" i="71"/>
  <c r="O24" i="71"/>
  <c r="N24" i="71"/>
  <c r="AB23" i="71"/>
  <c r="Q23" i="71"/>
  <c r="P23" i="71"/>
  <c r="AA23" i="71"/>
  <c r="O23" i="71"/>
  <c r="Y23" i="71"/>
  <c r="Z23" i="71"/>
  <c r="N23" i="71"/>
  <c r="X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Q16" i="71"/>
  <c r="AB16" i="71"/>
  <c r="P16" i="71"/>
  <c r="O16" i="71"/>
  <c r="Y16" i="71"/>
  <c r="Z16" i="71"/>
  <c r="N16" i="71"/>
  <c r="Q15" i="71"/>
  <c r="AB15" i="71"/>
  <c r="P15" i="71"/>
  <c r="O15" i="71"/>
  <c r="Y15" i="71"/>
  <c r="Z15" i="71"/>
  <c r="N15" i="71"/>
  <c r="Q14" i="71"/>
  <c r="AB14" i="71"/>
  <c r="P14" i="71"/>
  <c r="O14" i="71"/>
  <c r="Y14" i="71"/>
  <c r="Z14" i="71"/>
  <c r="N14" i="71"/>
  <c r="F14" i="71"/>
  <c r="F15" i="71"/>
  <c r="F16" i="71"/>
  <c r="V16" i="71"/>
  <c r="Q13" i="71"/>
  <c r="P13" i="71"/>
  <c r="O13" i="71"/>
  <c r="N13" i="71"/>
  <c r="D13" i="71"/>
  <c r="O12" i="71"/>
  <c r="N12" i="71"/>
  <c r="B14" i="71"/>
  <c r="B15" i="71"/>
  <c r="B16" i="71"/>
  <c r="S16" i="71"/>
  <c r="X13" i="71"/>
  <c r="E14" i="71"/>
  <c r="E15" i="71"/>
  <c r="E16" i="71"/>
  <c r="U16" i="71"/>
  <c r="AA13" i="71"/>
  <c r="B18" i="71"/>
  <c r="B19" i="71"/>
  <c r="B20" i="71"/>
  <c r="S20" i="71"/>
  <c r="X17" i="71"/>
  <c r="B22" i="71"/>
  <c r="B23" i="71"/>
  <c r="B24" i="71"/>
  <c r="S24" i="71"/>
  <c r="X21" i="71"/>
  <c r="E22" i="71"/>
  <c r="E23" i="71"/>
  <c r="E24" i="71"/>
  <c r="U24" i="71"/>
  <c r="AA21" i="71"/>
  <c r="N52" i="71"/>
  <c r="E18" i="71"/>
  <c r="E19" i="71"/>
  <c r="E20" i="71"/>
  <c r="U20" i="71"/>
  <c r="AA17" i="71"/>
  <c r="C14" i="71"/>
  <c r="Y13" i="71"/>
  <c r="Z13" i="71"/>
  <c r="AB13" i="71"/>
  <c r="X14" i="71"/>
  <c r="AA14" i="71"/>
  <c r="X15" i="71"/>
  <c r="AA15" i="71"/>
  <c r="X16" i="71"/>
  <c r="AA16" i="71"/>
  <c r="C18" i="71"/>
  <c r="C19" i="71"/>
  <c r="Y17" i="71"/>
  <c r="Z17" i="71"/>
  <c r="AB17" i="71"/>
  <c r="X18" i="71"/>
  <c r="AA18" i="71"/>
  <c r="X19" i="71"/>
  <c r="AA19" i="71"/>
  <c r="X20" i="71"/>
  <c r="AA20" i="71"/>
  <c r="C22" i="71"/>
  <c r="Y21" i="71"/>
  <c r="Z21" i="71"/>
  <c r="AB21" i="71"/>
  <c r="X22" i="71"/>
  <c r="AA22" i="71"/>
  <c r="F35" i="71"/>
  <c r="F36" i="71"/>
  <c r="V36" i="71"/>
  <c r="C12" i="71"/>
  <c r="Y3" i="71"/>
  <c r="Z3" i="71"/>
  <c r="Y9" i="71"/>
  <c r="Z9" i="71"/>
  <c r="Y10" i="71"/>
  <c r="Z10" i="71"/>
  <c r="Y11" i="71"/>
  <c r="Z11" i="71"/>
  <c r="Y12" i="71"/>
  <c r="Z12" i="71"/>
  <c r="B12" i="71"/>
  <c r="B11" i="71"/>
  <c r="B10" i="71"/>
  <c r="X9" i="71"/>
  <c r="X10" i="71"/>
  <c r="X11" i="71"/>
  <c r="X3" i="71"/>
  <c r="X12" i="71"/>
  <c r="C15" i="71"/>
  <c r="D14" i="71"/>
  <c r="D18" i="71"/>
  <c r="C23" i="71"/>
  <c r="D22" i="71"/>
  <c r="C27" i="71"/>
  <c r="D26" i="71"/>
  <c r="C31" i="71"/>
  <c r="D31" i="71"/>
  <c r="D30" i="71"/>
  <c r="C35" i="71"/>
  <c r="D34" i="71"/>
  <c r="P12" i="71"/>
  <c r="E39" i="71"/>
  <c r="E40" i="71"/>
  <c r="U40" i="71"/>
  <c r="E43" i="71"/>
  <c r="E44" i="71"/>
  <c r="U44" i="71"/>
  <c r="E47" i="71"/>
  <c r="E48" i="71"/>
  <c r="U48" i="71"/>
  <c r="Q49" i="71"/>
  <c r="U52" i="71"/>
  <c r="E51" i="71"/>
  <c r="Q12"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C11" i="71"/>
  <c r="S12" i="71"/>
  <c r="F12" i="71"/>
  <c r="F11" i="71"/>
  <c r="F10" i="71"/>
  <c r="AB3" i="71"/>
  <c r="AB9" i="71"/>
  <c r="AB10" i="71"/>
  <c r="AB11" i="71"/>
  <c r="AB12" i="71"/>
  <c r="E12" i="71"/>
  <c r="E11" i="71"/>
  <c r="E10" i="71"/>
  <c r="AA3" i="71"/>
  <c r="AA9" i="71"/>
  <c r="AA10" i="71"/>
  <c r="AA11" i="71"/>
  <c r="AA12" i="71"/>
  <c r="D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C24" i="71"/>
  <c r="D23" i="71"/>
  <c r="C20" i="71"/>
  <c r="D19" i="71"/>
  <c r="C16" i="71"/>
  <c r="D15" i="71"/>
  <c r="C10" i="71"/>
  <c r="D10" i="71"/>
  <c r="D11" i="71"/>
  <c r="V12" i="71"/>
  <c r="P49" i="71"/>
  <c r="P50" i="71"/>
  <c r="O50" i="71"/>
  <c r="D50" i="71"/>
  <c r="O49" i="71"/>
  <c r="T16" i="71"/>
  <c r="D16" i="71"/>
  <c r="T20" i="71"/>
  <c r="D20" i="71"/>
  <c r="T24" i="71"/>
  <c r="D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8" i="1"/>
  <c r="B8" i="1"/>
  <c r="E8" i="1"/>
  <c r="A9" i="1"/>
  <c r="A10" i="1"/>
  <c r="A11" i="1"/>
  <c r="A12" i="1"/>
  <c r="A13" i="1"/>
  <c r="F3" i="35"/>
  <c r="B11" i="1"/>
  <c r="E11" i="1"/>
  <c r="B7" i="1"/>
  <c r="E7"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A5" i="62"/>
  <c r="B72" i="72"/>
  <c r="A4" i="62"/>
  <c r="B70" i="72"/>
  <c r="F33" i="9"/>
  <c r="B37" i="48"/>
  <c r="B2" i="72"/>
  <c r="B13" i="53"/>
  <c r="B29" i="72"/>
  <c r="R35" i="4"/>
  <c r="Q35" i="4"/>
  <c r="P35" i="4"/>
  <c r="O35" i="4"/>
  <c r="N35" i="4"/>
  <c r="M35" i="4"/>
  <c r="L35" i="4"/>
  <c r="K34" i="4"/>
  <c r="T34" i="4"/>
  <c r="G13" i="1"/>
  <c r="G11" i="1"/>
  <c r="H15" i="4"/>
  <c r="G15" i="4"/>
  <c r="E15" i="4"/>
  <c r="D15" i="4"/>
  <c r="F7" i="1"/>
  <c r="G7" i="1"/>
  <c r="F19" i="4"/>
  <c r="F2" i="52"/>
  <c r="B50" i="72"/>
  <c r="D2" i="52"/>
  <c r="B46" i="72"/>
  <c r="B8" i="53"/>
  <c r="B23" i="72"/>
  <c r="L4" i="9"/>
  <c r="B17" i="72"/>
  <c r="B15" i="72"/>
  <c r="A3" i="51"/>
  <c r="C8" i="11"/>
  <c r="B2" i="49"/>
  <c r="B23" i="49"/>
  <c r="B40" i="48"/>
  <c r="B3" i="72"/>
  <c r="N1" i="43"/>
  <c r="F35" i="4"/>
  <c r="J55" i="39"/>
  <c r="H34" i="43"/>
  <c r="H35" i="43"/>
  <c r="H36" i="43"/>
  <c r="H37" i="43"/>
  <c r="H38" i="43"/>
  <c r="H39" i="43"/>
  <c r="H33" i="43"/>
  <c r="J20" i="43"/>
  <c r="P17" i="43"/>
  <c r="O17" i="43"/>
  <c r="N17" i="43"/>
  <c r="M17" i="43"/>
  <c r="C18" i="43"/>
  <c r="F15" i="43"/>
  <c r="E15" i="43"/>
  <c r="D15" i="43"/>
  <c r="C15" i="43"/>
  <c r="C10" i="43"/>
  <c r="C11" i="43"/>
  <c r="C9" i="43"/>
  <c r="A7" i="43"/>
  <c r="F33" i="15"/>
  <c r="F61" i="15"/>
  <c r="M19" i="15"/>
  <c r="M10" i="1"/>
  <c r="O10" i="1"/>
  <c r="B22" i="1"/>
  <c r="B23" i="1"/>
  <c r="B24" i="1"/>
  <c r="B43" i="1"/>
  <c r="D78" i="9"/>
  <c r="BQ16" i="3"/>
  <c r="BQ17" i="3"/>
  <c r="BS16" i="3"/>
  <c r="BS17" i="3"/>
  <c r="BR16" i="3"/>
  <c r="BR17" i="3"/>
  <c r="BT16" i="3"/>
  <c r="BT17" i="3"/>
  <c r="BM16" i="3"/>
  <c r="BM17" i="3"/>
  <c r="BO16" i="3"/>
  <c r="BO17" i="3"/>
  <c r="BN16" i="3"/>
  <c r="BN17" i="3"/>
  <c r="BP16" i="3"/>
  <c r="BP17" i="3"/>
  <c r="E21" i="6"/>
  <c r="M8" i="1"/>
  <c r="F23" i="15"/>
  <c r="D24" i="15"/>
  <c r="O8" i="1"/>
  <c r="P8" i="1"/>
  <c r="M13" i="1"/>
  <c r="O13" i="1"/>
  <c r="P13" i="1"/>
  <c r="E22" i="6"/>
  <c r="E23" i="6"/>
  <c r="E24" i="6"/>
  <c r="E25" i="6"/>
  <c r="E26" i="6"/>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5" i="3"/>
  <c r="H16" i="3"/>
  <c r="AC16" i="3"/>
  <c r="H17" i="3"/>
  <c r="AC17" i="3"/>
  <c r="AD5" i="3"/>
  <c r="AH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E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E71" i="37"/>
  <c r="F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F96"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F15" i="37"/>
  <c r="AA15" i="37"/>
  <c r="E94" i="37"/>
  <c r="F31" i="37"/>
  <c r="S31" i="37"/>
  <c r="F12" i="39"/>
  <c r="S12" i="39"/>
  <c r="J42" i="39"/>
  <c r="AC42" i="39"/>
  <c r="H21" i="40"/>
  <c r="AB21" i="40"/>
  <c r="AC12" i="37"/>
  <c r="F94" i="37"/>
  <c r="G94" i="37"/>
  <c r="H94" i="37"/>
  <c r="I94" i="37"/>
  <c r="J94" i="37"/>
  <c r="K94" i="37"/>
  <c r="L94" i="37"/>
  <c r="M94" i="37"/>
  <c r="H31" i="37"/>
  <c r="U3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H113" i="43"/>
  <c r="F48" i="43"/>
  <c r="H52" i="43"/>
  <c r="N7" i="43"/>
  <c r="F70" i="43"/>
  <c r="H73" i="43"/>
  <c r="M6" i="43"/>
  <c r="M11" i="43"/>
  <c r="E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M9" i="1"/>
  <c r="O9" i="1"/>
  <c r="P9" i="1"/>
  <c r="AE9" i="1"/>
  <c r="D93" i="9"/>
  <c r="E12" i="6"/>
  <c r="E15" i="6"/>
  <c r="E60" i="40"/>
  <c r="E13" i="6"/>
  <c r="E58" i="40"/>
  <c r="G29" i="6"/>
  <c r="E29" i="6"/>
  <c r="AC26" i="33"/>
  <c r="W26" i="33"/>
  <c r="W27" i="34"/>
  <c r="AC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M12" i="1"/>
  <c r="O12" i="1"/>
  <c r="P12" i="1"/>
  <c r="S13" i="1"/>
  <c r="AR13" i="1"/>
  <c r="R13" i="1"/>
  <c r="S11" i="1"/>
  <c r="AQ11" i="1"/>
  <c r="R11" i="1"/>
  <c r="S9" i="1"/>
  <c r="AR9" i="1"/>
  <c r="R9" i="1"/>
  <c r="J51" i="67"/>
  <c r="C42" i="1"/>
  <c r="H100" i="43"/>
  <c r="C30" i="66"/>
  <c r="E26" i="66"/>
  <c r="AC34" i="33"/>
  <c r="AA34" i="33"/>
  <c r="D117" i="43"/>
  <c r="E117" i="43"/>
  <c r="F117" i="43"/>
  <c r="G117" i="43"/>
  <c r="H117" i="4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11" i="6"/>
  <c r="E61" i="39"/>
  <c r="BL17" i="3"/>
  <c r="AZ17" i="3"/>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E62" i="39"/>
  <c r="E56" i="39"/>
  <c r="E51" i="40"/>
  <c r="B6" i="1"/>
  <c r="E6" i="1"/>
  <c r="S8" i="1"/>
  <c r="M11"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B8" i="49"/>
  <c r="C4" i="4"/>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F16" i="15"/>
  <c r="F37" i="67"/>
  <c r="F40" i="67"/>
  <c r="F36" i="67"/>
  <c r="M28" i="67"/>
  <c r="F43" i="15"/>
  <c r="M26" i="15"/>
  <c r="M29" i="67"/>
  <c r="F9" i="67"/>
  <c r="M8" i="67"/>
  <c r="M29" i="15"/>
  <c r="F42" i="67"/>
  <c r="M23" i="67"/>
  <c r="C6" i="15"/>
  <c r="C10" i="15"/>
  <c r="C53" i="15"/>
  <c r="C10" i="67"/>
  <c r="C53" i="67"/>
  <c r="L58" i="67"/>
  <c r="L58" i="15"/>
  <c r="Q73" i="15"/>
  <c r="N59" i="67"/>
  <c r="L59" i="67"/>
  <c r="M59" i="67"/>
  <c r="M59" i="15"/>
  <c r="I54" i="67"/>
  <c r="N59" i="15"/>
  <c r="I54" i="15"/>
  <c r="L56" i="15"/>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AP7" i="1"/>
  <c r="O7" i="1"/>
  <c r="Q16" i="1"/>
  <c r="F27" i="69"/>
  <c r="H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M27" i="6"/>
  <c r="H10" i="39"/>
  <c r="J10" i="39"/>
  <c r="C49" i="15"/>
  <c r="Q60" i="15"/>
  <c r="M16" i="1"/>
  <c r="N16" i="1"/>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B2" i="74"/>
  <c r="AB7" i="36"/>
  <c r="T36" i="36"/>
  <c r="C23" i="68"/>
  <c r="C38" i="15"/>
  <c r="E38" i="43"/>
  <c r="E6" i="3"/>
  <c r="C47" i="68"/>
  <c r="D45" i="68"/>
  <c r="AA10" i="39"/>
  <c r="D10" i="68"/>
  <c r="D10" i="11"/>
  <c r="C10" i="11"/>
  <c r="D20" i="12"/>
  <c r="C20" i="12"/>
  <c r="C18" i="12"/>
  <c r="D25" i="6"/>
  <c r="D26" i="6"/>
  <c r="D15" i="6"/>
  <c r="C18" i="4"/>
  <c r="D22" i="6"/>
  <c r="D8" i="6"/>
  <c r="D21" i="6"/>
  <c r="D23" i="6"/>
  <c r="D24" i="6"/>
  <c r="D14" i="6"/>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C35" i="11"/>
  <c r="C38" i="11"/>
  <c r="C14" i="12"/>
  <c r="C23" i="12"/>
  <c r="D31" i="6"/>
  <c r="I6" i="6"/>
  <c r="R49" i="21"/>
  <c r="C48" i="21"/>
  <c r="G54" i="34"/>
  <c r="H54" i="34"/>
  <c r="I53" i="21"/>
  <c r="J53" i="21"/>
  <c r="C37" i="36"/>
  <c r="C36" i="36"/>
  <c r="G40" i="36"/>
  <c r="H40" i="36"/>
  <c r="E41" i="36"/>
  <c r="F41" i="36"/>
  <c r="G41" i="36"/>
  <c r="H41" i="36"/>
  <c r="C19" i="68"/>
  <c r="D37" i="68"/>
  <c r="C37" i="68"/>
  <c r="R27" i="6"/>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B2" i="70"/>
  <c r="C19" i="9"/>
  <c r="E2" i="68"/>
  <c r="D2" i="35"/>
  <c r="B20" i="31"/>
  <c r="B2" i="36"/>
  <c r="B3" i="36"/>
  <c r="B2" i="35"/>
  <c r="B3" i="35"/>
  <c r="B2" i="37"/>
  <c r="B3" i="37"/>
  <c r="B2" i="34"/>
  <c r="B3" i="34"/>
  <c r="B2" i="21"/>
  <c r="B3" i="21"/>
  <c r="B3" i="70"/>
  <c r="C102" i="9"/>
  <c r="C21" i="9"/>
  <c r="B3" i="68"/>
  <c r="D19" i="9"/>
  <c r="C20" i="9"/>
  <c r="D20" i="9"/>
  <c r="G19" i="9"/>
  <c r="D102" i="9"/>
  <c r="D22" i="9"/>
  <c r="D21" i="9"/>
  <c r="C103" i="9"/>
  <c r="D103" i="9"/>
  <c r="G20" i="9"/>
  <c r="C32" i="9"/>
  <c r="G21" i="9"/>
  <c r="D34" i="9"/>
  <c r="H109" i="9"/>
  <c r="H118" i="9"/>
  <c r="H101" i="9"/>
  <c r="H107"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C104" i="9"/>
  <c r="D8" i="74"/>
  <c r="C8" i="74"/>
  <c r="M48" i="9"/>
  <c r="I118" i="9"/>
  <c r="C105" i="9"/>
  <c r="H119" i="9"/>
  <c r="H5" i="52"/>
  <c r="F4" i="52"/>
  <c r="B51" i="72"/>
  <c r="F119" i="9"/>
  <c r="F5" i="52"/>
  <c r="B53" i="72"/>
  <c r="D14" i="74"/>
  <c r="H4" i="52"/>
  <c r="D4" i="52"/>
  <c r="B47" i="72"/>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<sst xmlns="http://schemas.openxmlformats.org/spreadsheetml/2006/main" count="7391" uniqueCount="3129">
  <si>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</si>
  <si>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</si>
  <si>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</si>
  <si>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</si>
  <si>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</si>
  <si>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</si>
  <si>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</si>
  <si>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</si>
  <si>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</si>
  <si>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</si>
  <si>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</si>
  <si>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</si>
  <si>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</si>
  <si>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</si>
  <si>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</si>
  <si>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</si>
  <si>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</si>
  <si>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</si>
  <si>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</si>
  <si>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</si>
  <si>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</si>
  <si>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</si>
  <si>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</si>
  <si>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</si>
  <si>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</si>
  <si>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</si>
  <si>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</si>
  <si>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</si>
  <si>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</si>
  <si>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</si>
  <si>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</si>
  <si>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</si>
  <si>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</si>
  <si>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</si>
  <si>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</si>
  <si>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</si>
  <si>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</si>
  <si>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</si>
  <si>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</si>
  <si>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</si>
  <si>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</si>
  <si>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</si>
  <si>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</si>
  <si>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</si>
  <si>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</si>
  <si>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</si>
  <si>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</si>
  <si>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</si>
  <si>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</si>
  <si>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</si>
  <si>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</si>
  <si>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</si>
  <si>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</si>
  <si>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</si>
  <si>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</si>
  <si>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</si>
  <si>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</si>
  <si>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</si>
  <si>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</si>
  <si>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</si>
  <si>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</si>
  <si>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</si>
  <si>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</si>
  <si>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</si>
  <si>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</si>
  <si>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</si>
  <si>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</si>
  <si>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</si>
  <si>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</si>
  <si>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</si>
  <si>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</si>
  <si>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</si>
  <si>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</si>
  <si>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</si>
  <si>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</si>
  <si>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</si>
  <si>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</si>
  <si>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</si>
  <si>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</si>
  <si>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</si>
  <si>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</si>
  <si>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</si>
  <si>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</si>
  <si>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</si>
  <si>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</si>
  <si>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</si>
  <si>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</si>
  <si>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</si>
  <si>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</si>
  <si>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</si>
  <si>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</si>
  <si>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</si>
  <si>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</si>
  <si>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</si>
  <si>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</si>
  <si>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</si>
  <si>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</si>
  <si>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</si>
  <si>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</si>
  <si>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</si>
  <si>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</si>
  <si>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</si>
  <si>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</si>
  <si>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</si>
  <si>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</si>
  <si>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</si>
  <si>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</si>
  <si>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</si>
  <si>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</si>
  <si>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</si>
  <si>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</si>
  <si>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</si>
  <si>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</si>
  <si>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</si>
  <si>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</si>
  <si>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</si>
  <si>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</si>
  <si>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</si>
  <si>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</si>
  <si>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</si>
  <si>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</si>
  <si>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</si>
  <si>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</si>
  <si>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</si>
  <si>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</si>
  <si>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</si>
  <si>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</si>
  <si>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</si>
  <si>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</si>
  <si>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</si>
  <si>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</si>
  <si>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</si>
  <si>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</si>
  <si>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</si>
  <si>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</si>
  <si>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</si>
  <si>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</si>
  <si>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</si>
  <si>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</si>
  <si>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</si>
  <si>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</si>
  <si>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</si>
  <si>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</si>
  <si>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</si>
  <si>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</si>
  <si>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</si>
  <si>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</si>
  <si>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</si>
  <si>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</si>
  <si>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</si>
  <si>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</si>
  <si>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</si>
  <si>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</si>
  <si>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</si>
  <si>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</si>
  <si>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</si>
  <si>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</si>
  <si>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</si>
  <si>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</si>
  <si>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</si>
  <si>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</si>
  <si>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</si>
  <si>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</si>
  <si>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</si>
  <si>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</si>
  <si>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</si>
  <si>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</si>
  <si>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</si>
  <si>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</si>
  <si>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</si>
  <si>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</si>
  <si>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</si>
  <si>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</si>
  <si>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</si>
  <si>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</si>
  <si>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</si>
  <si>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</si>
  <si>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</si>
  <si>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</si>
  <si>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</si>
  <si>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</si>
  <si>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</si>
  <si>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</si>
  <si>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</si>
  <si>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</si>
  <si>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</si>
  <si>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</si>
  <si>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</si>
  <si>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</si>
  <si>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</si>
  <si>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</si>
  <si>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</si>
  <si>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</si>
  <si>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</si>
  <si>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</si>
  <si>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</si>
  <si>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</si>
  <si>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</si>
  <si>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</si>
  <si>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</si>
  <si>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</si>
  <si>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</si>
  <si>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</si>
  <si>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</si>
  <si>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</si>
  <si>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</si>
  <si>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</si>
  <si>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</si>
  <si>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</si>
  <si>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</si>
  <si>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</si>
  <si>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</si>
  <si>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</si>
  <si>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</si>
  <si>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</si>
  <si>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</si>
  <si>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</si>
  <si>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</si>
  <si>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</si>
  <si>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</si>
  <si>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</si>
  <si>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</si>
  <si>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</si>
  <si>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</si>
  <si>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</si>
  <si>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</si>
  <si>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</si>
  <si>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</si>
  <si>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</si>
  <si>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</si>
  <si>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</si>
  <si>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</si>
  <si>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</si>
  <si>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</si>
  <si>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</si>
  <si>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</si>
  <si>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</si>
  <si>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</si>
  <si>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</si>
  <si>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</si>
  <si>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</si>
  <si>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</si>
  <si>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</si>
  <si>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</si>
  <si>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</si>
  <si>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</si>
  <si>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</si>
  <si>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</si>
  <si>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</si>
  <si>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</si>
  <si>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</si>
  <si>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</si>
  <si>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</si>
  <si>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</si>
  <si>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</si>
  <si>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</si>
  <si>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</si>
  <si>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</si>
  <si>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</si>
  <si>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</si>
  <si>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</si>
  <si>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</si>
  <si>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</si>
  <si>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</si>
  <si>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</si>
  <si>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</si>
  <si>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</si>
  <si>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</si>
  <si>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</si>
  <si>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</si>
  <si>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</si>
  <si>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</si>
  <si>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</si>
  <si>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</si>
  <si>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</si>
  <si>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</si>
  <si>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</si>
  <si>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</si>
  <si>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</si>
  <si>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</si>
  <si>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</si>
  <si>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</si>
  <si>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</si>
  <si>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</si>
  <si>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</si>
  <si>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</si>
  <si>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</si>
  <si>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</si>
  <si>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</si>
  <si>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</si>
  <si>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</si>
  <si>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</si>
  <si>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</si>
  <si>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</si>
  <si>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</si>
  <si>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</si>
  <si>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</si>
  <si>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</si>
  <si>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</si>
  <si>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</si>
  <si>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</si>
  <si>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</si>
  <si>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</si>
  <si>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</si>
  <si>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</si>
  <si>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</si>
  <si>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</si>
  <si>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</si>
  <si>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</si>
  <si>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</si>
  <si>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</si>
  <si>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</si>
  <si>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</si>
  <si>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</si>
  <si>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</si>
  <si>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</si>
  <si>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</si>
  <si>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</si>
  <si>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</si>
  <si>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</si>
  <si>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</si>
  <si>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</si>
  <si>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</si>
  <si>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</si>
  <si>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</si>
  <si>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</si>
  <si>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</si>
  <si>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</si>
  <si>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</si>
  <si>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</si>
  <si>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</si>
  <si>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</si>
  <si>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</si>
  <si>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</si>
  <si>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</si>
  <si>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</si>
  <si>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</si>
  <si>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</si>
  <si>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</si>
  <si>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</si>
  <si>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</si>
  <si>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</si>
  <si>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</si>
  <si>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</si>
  <si>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</si>
  <si>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</si>
  <si>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</si>
  <si>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</si>
  <si>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</si>
  <si>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</si>
  <si>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</si>
  <si>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</si>
  <si>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</si>
  <si>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</si>
  <si>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</si>
  <si>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</si>
  <si>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</si>
  <si>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</si>
  <si>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</si>
  <si>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</si>
  <si>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</si>
  <si>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</si>
  <si>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</si>
  <si>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</si>
  <si>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</si>
  <si>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</si>
  <si>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</si>
  <si>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</si>
  <si>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</si>
  <si>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</si>
  <si>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</si>
  <si>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</si>
  <si>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</si>
  <si>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</si>
  <si>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</si>
  <si>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</si>
  <si>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</si>
  <si>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</si>
  <si>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</si>
  <si>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</si>
  <si>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</si>
  <si>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</si>
  <si>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</si>
  <si>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</si>
  <si>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</si>
  <si>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</si>
  <si>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</si>
  <si>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</si>
  <si>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</si>
  <si>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</si>
  <si>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</si>
  <si>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</si>
  <si>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</si>
  <si>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</si>
  <si>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</si>
  <si>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</si>
  <si>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</si>
  <si>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</si>
  <si>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</si>
  <si>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</si>
  <si>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</si>
  <si>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</si>
  <si>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</si>
  <si>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</si>
  <si>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</si>
  <si>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</si>
  <si>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</si>
  <si>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</si>
  <si>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</si>
  <si>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</si>
  <si>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</si>
  <si>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</si>
  <si>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</si>
  <si>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</si>
  <si>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</si>
  <si>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</si>
  <si>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</si>
  <si>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</si>
  <si>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</si>
  <si>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</si>
  <si>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</si>
  <si>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</si>
  <si>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</si>
  <si>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</si>
  <si>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</si>
  <si>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</si>
  <si>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</si>
  <si>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</si>
  <si>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</si>
  <si>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</si>
  <si>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</si>
  <si>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</si>
  <si>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</si>
  <si>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</si>
  <si>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</si>
  <si>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</si>
  <si>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</si>
  <si>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</si>
  <si>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</si>
  <si>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</si>
  <si>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</si>
  <si>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</si>
  <si>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</si>
  <si>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</si>
  <si>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</si>
  <si>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</si>
  <si>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</si>
  <si>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</si>
  <si>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</si>
  <si>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</si>
  <si>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</si>
  <si>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</si>
  <si>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</si>
  <si>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</si>
  <si>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</si>
  <si>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</si>
  <si>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</si>
  <si>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</si>
  <si>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</si>
  <si>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</si>
  <si>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</si>
  <si>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</si>
  <si>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</si>
  <si>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</si>
  <si>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</si>
  <si>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</si>
  <si>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</si>
  <si>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</si>
  <si>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</si>
  <si>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</si>
  <si>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</si>
  <si>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</si>
  <si>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</si>
  <si>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</si>
  <si>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</si>
  <si>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</si>
  <si>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</si>
  <si>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</si>
  <si>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</si>
  <si>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</si>
  <si>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</si>
  <si>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</si>
  <si>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</si>
  <si>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</si>
  <si>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</si>
  <si>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</si>
  <si>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</si>
  <si>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</si>
  <si>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</si>
  <si>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</si>
  <si>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</si>
  <si>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</si>
  <si>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</si>
  <si>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</si>
  <si>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</si>
  <si>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</si>
  <si>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</si>
  <si>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</si>
  <si>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</si>
  <si>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</si>
  <si>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</si>
  <si>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</si>
  <si>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</si>
  <si>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</si>
  <si>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</si>
  <si>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</si>
  <si>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</si>
  <si>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</si>
  <si>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</si>
  <si>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</si>
  <si>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</si>
  <si>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</si>
  <si>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</si>
  <si>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</si>
  <si>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</si>
  <si>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</si>
  <si>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</si>
  <si>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</si>
  <si>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</si>
  <si>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</si>
  <si>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</si>
  <si>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</si>
  <si>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</si>
  <si>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</si>
  <si>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</si>
  <si>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</si>
  <si>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</si>
  <si>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</si>
  <si>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</si>
  <si>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</si>
  <si>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</si>
  <si>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</si>
  <si>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</si>
  <si>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</si>
  <si>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</si>
  <si>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</si>
  <si>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</si>
  <si>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</si>
  <si>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</si>
  <si>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</si>
  <si>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</si>
  <si>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</si>
  <si>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</si>
  <si>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</si>
  <si>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</si>
  <si>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</si>
  <si>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</si>
  <si>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</si>
  <si>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</si>
  <si>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</si>
  <si>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</si>
  <si>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</si>
  <si>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</si>
  <si>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</si>
  <si>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</si>
  <si>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</si>
  <si>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</si>
  <si>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</si>
  <si>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</si>
  <si>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</si>
  <si>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</si>
  <si>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</si>
  <si>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</si>
  <si>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</si>
  <si>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</si>
  <si>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</si>
  <si>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</si>
  <si>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</si>
  <si>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</si>
  <si>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</si>
  <si>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</si>
  <si>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</si>
  <si>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</si>
  <si>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</si>
  <si>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</si>
  <si>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</si>
  <si>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</si>
  <si>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</si>
  <si>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</si>
  <si>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</si>
  <si>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</si>
  <si>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</si>
  <si>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</si>
  <si>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</si>
  <si>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</si>
  <si>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</si>
  <si>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</si>
  <si>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</si>
  <si>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</si>
  <si>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</si>
  <si>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</si>
  <si>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</si>
  <si>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</si>
  <si>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</si>
  <si>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</si>
  <si>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</si>
  <si>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</si>
  <si>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</si>
  <si>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</si>
  <si>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</si>
  <si>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</si>
  <si>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</si>
  <si>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</si>
  <si>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</si>
  <si>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</si>
  <si>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</si>
  <si>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</si>
  <si>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</si>
  <si>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</si>
  <si>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</si>
  <si>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</si>
  <si>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</si>
  <si>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</si>
  <si>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</si>
  <si>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</si>
  <si>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</si>
  <si>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</si>
  <si>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</si>
  <si>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</si>
  <si>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</si>
  <si>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</si>
  <si>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</si>
  <si>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</si>
  <si>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</si>
  <si>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</si>
  <si>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</si>
  <si>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</si>
  <si>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</si>
  <si>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</si>
  <si>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</si>
  <si>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</si>
  <si>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</si>
  <si>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</si>
  <si>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</si>
  <si>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</si>
  <si>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</si>
  <si>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</si>
  <si>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</si>
  <si>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</si>
  <si>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</si>
  <si>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</si>
  <si>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</si>
  <si>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</si>
  <si>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</si>
  <si>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</si>
  <si>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</si>
  <si>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</si>
  <si>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</si>
  <si>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</si>
  <si>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</si>
  <si>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</si>
  <si>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</si>
  <si>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</si>
  <si>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</si>
  <si>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</si>
  <si>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</si>
  <si>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</si>
  <si>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</si>
  <si>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</si>
  <si>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</si>
  <si>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</si>
  <si>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</si>
  <si>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</si>
  <si>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</si>
  <si>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</si>
  <si>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</si>
  <si>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</si>
  <si>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</si>
  <si>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</si>
  <si>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</si>
  <si>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</si>
  <si>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</si>
  <si>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</si>
  <si>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</si>
  <si>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</si>
  <si>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</si>
  <si>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</si>
  <si>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</si>
  <si>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</si>
  <si>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</si>
  <si>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</si>
  <si>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</si>
  <si>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</si>
  <si>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</si>
  <si>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</si>
  <si>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</si>
  <si>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</si>
  <si>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</si>
  <si>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</si>
  <si>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</si>
  <si>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</si>
  <si>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</si>
  <si>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</si>
  <si>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</si>
  <si>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</si>
  <si>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</si>
  <si>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</si>
  <si>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</si>
  <si>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</si>
  <si>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</si>
  <si>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</si>
  <si>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</si>
  <si>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</si>
  <si>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</si>
  <si>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</si>
  <si>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</si>
  <si>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</si>
  <si>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</si>
  <si>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</si>
  <si>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</si>
  <si>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</si>
  <si>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</si>
  <si>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</si>
  <si>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</si>
  <si>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</si>
  <si>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</si>
  <si>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</si>
  <si>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</si>
  <si>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</si>
  <si>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</si>
  <si>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</si>
  <si>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</si>
  <si>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</si>
  <si>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</si>
  <si>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</si>
  <si>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</si>
  <si>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</si>
  <si>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</si>
  <si>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</si>
  <si>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</si>
  <si>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</si>
  <si>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</si>
  <si>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</si>
  <si>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</si>
  <si>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</si>
  <si>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</si>
  <si>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</si>
  <si>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</si>
  <si>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</si>
  <si>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</si>
  <si>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</si>
  <si>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</si>
  <si>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</si>
  <si>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</si>
  <si>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</si>
  <si>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</si>
  <si>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</si>
  <si>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</si>
  <si>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</si>
  <si>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</si>
  <si>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</si>
  <si>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</si>
  <si>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</si>
  <si>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</si>
  <si>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</si>
  <si>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</si>
  <si>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</si>
  <si>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</si>
  <si>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</si>
  <si>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</si>
  <si>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</si>
  <si>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</si>
  <si>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</si>
  <si>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</si>
  <si>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</si>
  <si>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</si>
  <si>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</si>
  <si>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</si>
  <si>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</si>
  <si>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</si>
  <si>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</si>
  <si>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</si>
  <si>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</si>
  <si>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</si>
  <si>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</si>
  <si>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</si>
  <si>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</si>
  <si>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</si>
  <si>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</si>
  <si>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</si>
  <si>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</si>
  <si>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</si>
  <si>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</si>
  <si>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</si>
  <si>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</si>
  <si>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</si>
  <si>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</si>
  <si>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</si>
  <si>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</si>
  <si>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</si>
  <si>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</si>
  <si>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</si>
  <si>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</si>
  <si>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</si>
  <si>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</si>
  <si>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</si>
  <si>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</si>
  <si>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</si>
  <si>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</si>
  <si>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</si>
  <si>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</si>
  <si>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</si>
  <si>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</si>
  <si>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</si>
  <si>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</si>
  <si>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</si>
  <si>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</si>
  <si>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</si>
  <si>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</si>
  <si>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</si>
  <si>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</si>
  <si>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</si>
  <si>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</si>
  <si>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</si>
  <si>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</si>
  <si>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</si>
  <si>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</si>
  <si>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</si>
  <si>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</si>
  <si>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</si>
  <si>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</si>
  <si>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</si>
  <si>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</si>
  <si>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</si>
  <si>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</si>
  <si>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</si>
  <si>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</si>
  <si>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</si>
  <si>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</si>
  <si>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</si>
  <si>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</si>
  <si>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</si>
  <si>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</si>
  <si>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</si>
  <si>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</si>
  <si>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</si>
  <si>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</si>
  <si>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</si>
  <si>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</si>
  <si>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</si>
  <si>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</si>
  <si>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</si>
  <si>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</si>
  <si>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</si>
  <si>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</si>
  <si>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</si>
  <si>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</si>
  <si>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</si>
  <si>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</si>
  <si>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</si>
  <si>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</si>
  <si>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</si>
  <si>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</si>
  <si>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</si>
  <si>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</si>
  <si>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</si>
  <si>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</si>
  <si>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</si>
  <si>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</si>
  <si>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</si>
  <si>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</si>
  <si>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</si>
  <si>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</si>
  <si>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</si>
  <si>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</si>
  <si>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</si>
  <si>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</si>
  <si>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</si>
  <si>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</si>
  <si>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</si>
  <si>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</si>
  <si>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</si>
  <si>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</si>
  <si>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</si>
  <si>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</si>
  <si>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</si>
  <si>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</si>
  <si>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</si>
  <si>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</si>
  <si>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</si>
  <si>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</si>
  <si>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</si>
  <si>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</si>
  <si>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</si>
  <si>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</si>
  <si>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</si>
  <si>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</si>
  <si>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</si>
  <si>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</si>
  <si>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</si>
  <si>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</si>
  <si>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</si>
  <si>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</si>
  <si>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</si>
  <si>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</si>
  <si>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</si>
  <si>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</si>
  <si>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</si>
  <si>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</si>
  <si>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</si>
  <si>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</si>
  <si>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</si>
  <si>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</si>
  <si>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</si>
  <si>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</si>
  <si>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</si>
  <si>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</si>
  <si>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</si>
  <si>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</si>
  <si>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</si>
  <si>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</si>
  <si>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</si>
  <si>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</si>
  <si>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</si>
  <si>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</si>
  <si>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</si>
  <si>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</si>
  <si>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</si>
  <si>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</si>
  <si>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</si>
  <si>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</si>
  <si>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</si>
  <si>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</si>
  <si>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</si>
  <si>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</si>
  <si>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</si>
  <si>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</si>
  <si>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</si>
  <si>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</si>
  <si>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</si>
  <si>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</si>
  <si>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</si>
  <si>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</si>
  <si>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</si>
  <si>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</si>
  <si>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</si>
  <si>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</si>
  <si>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</si>
  <si>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</si>
  <si>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</si>
  <si>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</si>
  <si>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</si>
  <si>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</si>
  <si>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</si>
  <si>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</si>
  <si>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</si>
  <si>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</si>
  <si>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</si>
  <si>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</si>
  <si>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</si>
  <si>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</si>
  <si>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</si>
  <si>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</si>
  <si>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</si>
  <si>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</si>
  <si>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</si>
  <si>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</si>
  <si>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</si>
  <si>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</si>
  <si>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</si>
  <si>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</si>
  <si>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</si>
  <si>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</si>
  <si>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</si>
  <si>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</si>
  <si>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</si>
  <si>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</si>
  <si>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</si>
  <si>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</si>
  <si>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</si>
  <si>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</si>
  <si>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</si>
  <si>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</si>
  <si>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</si>
  <si>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</si>
  <si>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</si>
  <si>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</si>
  <si>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</si>
  <si>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</si>
  <si>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</si>
  <si>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</si>
  <si>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</si>
  <si>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</si>
  <si>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</si>
  <si>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</si>
  <si>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</si>
  <si>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</si>
  <si>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</si>
  <si>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</si>
  <si>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</si>
  <si>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</si>
  <si>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</si>
  <si>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</si>
  <si>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</si>
  <si>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</si>
  <si>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</si>
  <si>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</si>
  <si>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</si>
  <si>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</si>
  <si>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</si>
  <si>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</si>
  <si>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</si>
  <si>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</si>
  <si>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</si>
  <si>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</si>
  <si>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</si>
  <si>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</si>
  <si>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</si>
  <si>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</si>
  <si>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</si>
  <si>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</si>
  <si>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</si>
  <si>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</si>
  <si>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</si>
  <si>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</si>
  <si>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</si>
  <si>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</si>
  <si>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</si>
  <si>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</si>
  <si>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</si>
  <si>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</si>
  <si>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</si>
  <si>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</si>
  <si>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</si>
  <si>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</si>
  <si>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</si>
  <si>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</si>
  <si>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</si>
  <si>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</si>
  <si>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</si>
  <si>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</si>
  <si>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</si>
  <si>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</si>
  <si>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</si>
  <si>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</si>
  <si>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</si>
  <si>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</si>
  <si>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</si>
  <si>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</si>
  <si>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</si>
  <si>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</si>
  <si>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</si>
  <si>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</si>
  <si>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</si>
  <si>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</si>
  <si>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</si>
  <si>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</si>
  <si>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</si>
  <si>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</si>
  <si>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</si>
  <si>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</si>
  <si>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</si>
  <si>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</si>
  <si>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</si>
  <si>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</si>
  <si>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</si>
  <si>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</si>
  <si>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</si>
  <si>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</si>
  <si>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</si>
  <si>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</si>
  <si>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</si>
  <si>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</si>
  <si>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</si>
  <si>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</si>
  <si>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</si>
  <si>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</si>
  <si>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</si>
  <si>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</si>
  <si>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</si>
  <si>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</si>
  <si>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</si>
  <si>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</si>
  <si>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</si>
  <si>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</si>
  <si>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</si>
  <si>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</si>
  <si>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</si>
  <si>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</si>
  <si>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</si>
  <si>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</si>
  <si>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</si>
  <si>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</si>
  <si>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</si>
  <si>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</si>
  <si>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</si>
  <si>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</si>
  <si>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</si>
  <si>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</si>
  <si>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</si>
  <si>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</si>
  <si>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</si>
  <si>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</si>
  <si>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</si>
  <si>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</si>
  <si>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</si>
  <si>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</si>
  <si>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</si>
  <si>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</si>
  <si>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</si>
  <si>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</si>
  <si>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</si>
  <si>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</si>
  <si>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</si>
  <si>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</si>
  <si>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</si>
  <si>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</si>
  <si>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</si>
  <si>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</si>
  <si>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</si>
  <si>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</si>
  <si>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</si>
  <si>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</si>
  <si>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</si>
  <si>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</si>
  <si>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</si>
  <si>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</si>
  <si>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</si>
  <si>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</si>
  <si>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</si>
  <si>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</si>
  <si>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</si>
  <si>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</si>
  <si>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</si>
  <si>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</si>
  <si>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</si>
  <si>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</si>
  <si>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</si>
  <si>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</si>
  <si>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</si>
  <si>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</si>
  <si>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</si>
  <si>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</si>
  <si>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</si>
  <si>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</si>
  <si>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</si>
  <si>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</si>
  <si>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</si>
  <si>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</si>
  <si>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</si>
  <si>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</si>
  <si>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</si>
  <si>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</si>
  <si>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</si>
  <si>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</si>
  <si>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</si>
  <si>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</si>
  <si>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</si>
  <si>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</si>
  <si>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</si>
  <si>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</si>
  <si>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</si>
  <si>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</si>
  <si>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</si>
  <si>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</si>
  <si>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</si>
  <si>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</si>
  <si>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</si>
  <si>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</si>
  <si>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</si>
  <si>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</si>
  <si>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</si>
  <si>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</si>
  <si>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</si>
  <si>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</si>
  <si>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</si>
  <si>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</si>
  <si>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</si>
  <si>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</si>
  <si>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</si>
  <si>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</si>
  <si>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</si>
  <si>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</si>
  <si>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</si>
  <si>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</si>
  <si>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</si>
  <si>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</si>
  <si>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</si>
  <si>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</si>
  <si>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</si>
  <si>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</si>
  <si>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</si>
  <si>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</si>
  <si>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</si>
  <si>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</si>
  <si>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</si>
  <si>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</si>
  <si>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</si>
  <si>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</si>
  <si>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</si>
  <si>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</si>
  <si>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</si>
  <si>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</si>
  <si>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</si>
  <si>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</si>
  <si>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</si>
  <si>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</si>
  <si>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</si>
  <si>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</si>
  <si>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</si>
  <si>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</si>
  <si>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</si>
  <si>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</si>
  <si>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</si>
  <si>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</si>
  <si>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</si>
  <si>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</si>
  <si>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</si>
  <si>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</si>
  <si>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</si>
  <si>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</si>
  <si>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</si>
  <si>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</si>
  <si>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</si>
  <si>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</si>
  <si>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</si>
  <si>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</si>
  <si>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</si>
  <si>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</si>
  <si>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</si>
  <si>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</si>
  <si>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</si>
  <si>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</si>
  <si>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</si>
  <si>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</si>
  <si>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</si>
  <si>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</si>
  <si>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</si>
  <si>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</si>
  <si>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</si>
  <si>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</si>
  <si>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</si>
  <si>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</si>
  <si>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</si>
  <si>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</si>
  <si>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</si>
  <si>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</si>
  <si>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</si>
  <si>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</si>
  <si>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</si>
  <si>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</si>
  <si>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</si>
  <si>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</si>
  <si>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</si>
  <si>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</si>
  <si>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</si>
  <si>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</si>
  <si>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</si>
  <si>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</si>
  <si>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</si>
  <si>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</si>
  <si>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</si>
  <si>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</si>
  <si>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</si>
  <si>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</si>
  <si>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</si>
  <si>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</si>
  <si>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</si>
  <si>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</si>
  <si>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</si>
  <si>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</si>
  <si>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</si>
  <si>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</si>
  <si>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</si>
  <si>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</si>
  <si>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</si>
  <si>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</si>
  <si>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</si>
  <si>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</si>
  <si>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</si>
  <si>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</si>
  <si>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</si>
  <si>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</si>
  <si>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</si>
  <si>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</si>
  <si>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</si>
  <si>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</si>
  <si>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</si>
  <si>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</si>
  <si>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</si>
  <si>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</si>
  <si>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</si>
  <si>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</si>
  <si>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</si>
  <si>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</si>
  <si>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</si>
  <si>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</si>
  <si>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</si>
  <si>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</si>
  <si>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</si>
  <si>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</si>
  <si>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</si>
  <si>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</si>
  <si>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</si>
  <si>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</si>
  <si>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</si>
  <si>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</si>
  <si>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</si>
  <si>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</si>
  <si>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</si>
  <si>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</si>
  <si>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</si>
  <si>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</si>
  <si>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</si>
  <si>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</si>
  <si>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</si>
  <si>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</si>
  <si>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</si>
  <si>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</si>
  <si>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</si>
  <si>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</si>
  <si>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</si>
  <si>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</si>
  <si>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</si>
  <si>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</si>
  <si>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</si>
  <si>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</si>
  <si>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</si>
  <si>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</si>
  <si>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</si>
  <si>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</si>
  <si>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</si>
  <si>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</si>
  <si>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</si>
  <si>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</si>
  <si>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</si>
  <si>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</si>
  <si>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</si>
  <si>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</si>
  <si>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</si>
  <si>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</si>
  <si>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</si>
  <si>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</si>
  <si>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</si>
  <si>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</si>
  <si>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</si>
  <si>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</si>
  <si>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</si>
  <si>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</si>
  <si>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</si>
  <si>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</si>
  <si>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</si>
  <si>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</si>
  <si>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</si>
  <si>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</si>
  <si>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</si>
  <si>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</si>
  <si>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</si>
  <si>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</si>
  <si>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</si>
  <si>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</si>
  <si>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</si>
  <si>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</si>
  <si>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</si>
  <si>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</si>
  <si>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</si>
  <si>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</si>
  <si>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</si>
  <si>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</si>
  <si>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</si>
  <si>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</si>
  <si>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</si>
  <si>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</si>
  <si>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</si>
  <si>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</si>
  <si>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</si>
  <si>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</si>
  <si>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</si>
  <si>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</si>
  <si>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</si>
  <si>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</si>
  <si>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</si>
  <si>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</si>
  <si>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</si>
  <si>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</si>
  <si>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</si>
  <si>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</si>
  <si>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</si>
  <si>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</si>
  <si>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</si>
  <si>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</si>
  <si>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</si>
  <si>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</si>
  <si>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</si>
  <si>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</si>
  <si>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</si>
  <si>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</si>
  <si>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</si>
  <si>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</si>
  <si>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</si>
  <si>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</si>
  <si>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</si>
  <si>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</si>
  <si>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</si>
  <si>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</si>
  <si>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</si>
  <si>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</si>
  <si>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</si>
  <si>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</si>
  <si>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</si>
  <si>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</si>
  <si>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</si>
  <si>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</si>
  <si>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</si>
  <si>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</si>
  <si>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</si>
  <si>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</si>
  <si>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</si>
  <si>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</si>
  <si>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</si>
  <si>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</si>
  <si>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</si>
  <si>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</si>
  <si>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</si>
  <si>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</si>
  <si>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</si>
  <si>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</si>
  <si>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</si>
  <si>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</si>
  <si>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</si>
  <si>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</si>
  <si>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</si>
  <si>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</si>
  <si>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</si>
  <si>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</si>
  <si>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</si>
  <si>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</si>
  <si>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</si>
  <si>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</si>
  <si>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</si>
  <si>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</si>
  <si>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</si>
  <si>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</si>
  <si>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</si>
  <si>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</si>
  <si>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</si>
  <si>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</si>
  <si>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</si>
  <si>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</si>
  <si>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</si>
  <si>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</si>
  <si>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</si>
  <si>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</si>
  <si>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</si>
  <si>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</si>
  <si>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</si>
  <si>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</si>
  <si>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</si>
  <si>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</si>
  <si>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</si>
  <si>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</si>
  <si>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</si>
  <si>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</si>
  <si>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</si>
  <si>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</si>
  <si>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</si>
  <si>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</si>
  <si>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</si>
  <si>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</si>
  <si>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</si>
  <si>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</si>
  <si>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</si>
  <si>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</si>
  <si>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</si>
  <si>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</si>
  <si>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</si>
  <si>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</si>
  <si>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</si>
  <si>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</si>
  <si>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</si>
  <si>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</si>
  <si>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</si>
  <si>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</si>
  <si>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</si>
  <si>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</si>
  <si>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</si>
  <si>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</si>
  <si>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</si>
  <si>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</si>
  <si>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</si>
  <si>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</si>
  <si>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</si>
  <si>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</si>
  <si>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</si>
  <si>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</si>
  <si>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</si>
  <si>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</si>
  <si>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</si>
  <si>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</si>
  <si>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</si>
  <si>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</si>
  <si>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</si>
  <si>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</si>
  <si>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</si>
  <si>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</si>
  <si>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</si>
  <si>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</si>
  <si>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</si>
  <si>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</si>
  <si>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</si>
  <si>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</si>
  <si>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</si>
  <si>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</si>
  <si>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</si>
  <si>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</si>
  <si>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</si>
  <si>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</si>
  <si>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</si>
  <si>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</si>
  <si>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</si>
  <si>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</si>
  <si>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</si>
  <si>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</si>
  <si>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</si>
  <si>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</si>
  <si>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</si>
  <si>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</si>
  <si>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</si>
  <si>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</si>
  <si>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</si>
  <si>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</si>
  <si>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</si>
  <si>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</si>
  <si>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</si>
  <si>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</si>
  <si>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</si>
  <si>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</si>
  <si>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</si>
  <si>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</si>
  <si>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</si>
  <si>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</si>
  <si>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</si>
  <si>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</si>
  <si>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</si>
  <si>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</si>
  <si>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</si>
  <si>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</si>
  <si>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</si>
  <si>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</si>
  <si>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</si>
  <si>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</si>
  <si>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</si>
  <si>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</si>
  <si>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</si>
  <si>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</si>
  <si>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</si>
  <si>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</si>
  <si>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</si>
  <si>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</si>
  <si>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</si>
  <si>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</si>
  <si>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</si>
  <si>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</si>
  <si>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</si>
  <si>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</si>
  <si>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</si>
  <si>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</si>
  <si>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</si>
  <si>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</si>
  <si>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</si>
  <si>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</si>
  <si>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</si>
  <si>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</si>
  <si>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</si>
  <si>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</si>
  <si>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</si>
  <si>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</si>
  <si>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</si>
  <si>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</si>
  <si>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</si>
  <si>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</si>
  <si>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</si>
  <si>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</si>
  <si>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</si>
  <si>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</si>
  <si>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</si>
  <si>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</si>
  <si>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</si>
  <si>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</si>
  <si>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</si>
  <si>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</si>
  <si>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</si>
  <si>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</si>
  <si>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</si>
  <si>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</si>
  <si>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</si>
  <si>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</si>
  <si>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</si>
  <si>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</si>
  <si>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</si>
  <si>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</si>
  <si>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</si>
  <si>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</si>
  <si>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</si>
  <si>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</si>
  <si>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</si>
  <si>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</si>
  <si>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</si>
  <si>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</si>
  <si>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</si>
  <si>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</si>
  <si>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</si>
  <si>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</si>
  <si>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</si>
  <si>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</si>
  <si>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</si>
  <si>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</si>
  <si>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</si>
  <si>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</si>
  <si>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</si>
  <si>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</si>
  <si>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</si>
  <si>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</si>
  <si>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</si>
  <si>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</si>
  <si>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</si>
  <si>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</si>
  <si>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</si>
  <si>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</si>
  <si>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</si>
  <si>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</si>
  <si>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</si>
  <si>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</si>
  <si>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</si>
  <si>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</si>
  <si>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</si>
  <si>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</si>
  <si>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</si>
  <si>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</si>
  <si>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</si>
  <si>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</si>
  <si>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</si>
  <si>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</si>
  <si>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</si>
  <si>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</si>
  <si>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</si>
  <si>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</si>
  <si>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</si>
  <si>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</si>
  <si>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</si>
  <si>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</si>
  <si>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</si>
  <si>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</si>
  <si>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</si>
  <si>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</si>
  <si>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</si>
  <si>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</si>
  <si>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</si>
  <si>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</si>
  <si>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</si>
  <si>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</si>
  <si>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</si>
  <si>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</si>
  <si>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</si>
  <si>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</si>
  <si>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</si>
  <si>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</si>
  <si>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</si>
  <si>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</si>
  <si>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</si>
  <si>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</si>
  <si>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</si>
  <si>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</si>
  <si>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</si>
  <si>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</si>
  <si>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</si>
  <si>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</si>
  <si>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</si>
  <si>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</si>
  <si>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</si>
  <si>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</si>
  <si>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</si>
  <si>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</si>
  <si>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</si>
  <si>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</si>
  <si>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</si>
  <si>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</si>
  <si>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</si>
  <si>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</si>
  <si>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</si>
  <si>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</si>
  <si>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</si>
  <si>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</si>
  <si>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</si>
  <si>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</si>
  <si>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</si>
  <si>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</si>
  <si>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</si>
  <si>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</si>
  <si>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</si>
  <si>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</si>
  <si>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</si>
  <si>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</si>
  <si>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</si>
  <si>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</si>
  <si>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</si>
  <si>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</si>
  <si>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</si>
  <si>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</si>
  <si>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</si>
  <si>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</si>
  <si>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</si>
  <si>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</si>
  <si>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</si>
  <si>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</si>
  <si>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</si>
  <si>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</si>
  <si>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</si>
  <si>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</si>
  <si>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</si>
  <si>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</si>
  <si>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</si>
  <si>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</si>
  <si>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</si>
  <si>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</si>
  <si>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</si>
  <si>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</si>
  <si>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</si>
  <si>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</si>
  <si>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</si>
  <si>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</si>
  <si>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</si>
  <si>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</si>
  <si>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</si>
  <si>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</si>
  <si>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</si>
  <si>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</si>
  <si>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</si>
  <si>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</si>
  <si>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</si>
  <si>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</si>
  <si>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</si>
  <si>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</si>
  <si>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</si>
  <si>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</si>
  <si>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</si>
  <si>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</si>
  <si>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</si>
  <si>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</si>
  <si>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</si>
  <si>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</si>
  <si>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</si>
  <si>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</si>
  <si>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</si>
  <si>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</si>
  <si>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</si>
  <si>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</si>
  <si>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</si>
  <si>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</si>
  <si>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</si>
  <si>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</si>
  <si>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</si>
  <si>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</si>
  <si>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</si>
  <si>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</si>
  <si>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</si>
  <si>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</si>
  <si>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</si>
  <si>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</si>
  <si>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</si>
  <si>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</si>
  <si>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</si>
  <si>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</si>
  <si>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</si>
  <si>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</si>
  <si>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</si>
  <si>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</si>
  <si>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</si>
  <si>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</si>
  <si>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</si>
  <si>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</si>
  <si>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</si>
  <si>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</si>
  <si>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</si>
  <si>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</si>
  <si>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</si>
  <si>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</si>
  <si>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</si>
  <si>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</si>
  <si>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</si>
  <si>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</si>
  <si>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</si>
  <si>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</si>
  <si>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</si>
  <si>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</si>
  <si>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</si>
  <si>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</si>
  <si>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</si>
  <si>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</si>
  <si>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</si>
  <si>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</si>
  <si>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</si>
  <si>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</si>
  <si>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</si>
  <si>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</si>
  <si>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</si>
  <si>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</si>
  <si>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</si>
  <si>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</si>
  <si>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</si>
  <si>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</si>
  <si>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</si>
  <si>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</si>
  <si>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</si>
  <si>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</si>
  <si>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</si>
  <si>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</si>
  <si>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</si>
  <si>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</si>
  <si>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</si>
  <si>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</si>
  <si>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</si>
  <si>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</si>
  <si>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</si>
  <si>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</si>
  <si>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</si>
  <si>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</si>
  <si>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</si>
  <si>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</si>
  <si>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</si>
  <si>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</si>
  <si>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</si>
  <si>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</si>
  <si>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</si>
  <si>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</si>
  <si>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</si>
  <si>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</si>
  <si>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</si>
  <si>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</si>
  <si>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</si>
  <si>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</si>
  <si>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</si>
  <si>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</si>
  <si>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</si>
  <si>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</si>
  <si>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</si>
  <si>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</si>
  <si>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</si>
  <si>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</si>
  <si>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</si>
  <si>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</si>
  <si>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</si>
  <si>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</si>
  <si>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</si>
  <si>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</si>
  <si>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</si>
  <si>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</si>
  <si>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</si>
  <si>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</si>
  <si>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</si>
  <si>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</si>
  <si>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</si>
  <si>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</si>
  <si>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</si>
  <si>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</si>
  <si>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</si>
  <si>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</si>
  <si>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</si>
  <si>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</si>
  <si>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</si>
  <si>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</si>
  <si>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</si>
  <si>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</si>
  <si>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</si>
  <si>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</si>
  <si>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</si>
  <si>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</si>
  <si>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</si>
  <si>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</si>
  <si>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</si>
  <si>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</si>
  <si>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</si>
  <si>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</si>
  <si>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</si>
  <si>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</si>
  <si>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</si>
  <si>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</si>
  <si>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</si>
  <si>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</si>
  <si>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</si>
  <si>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</si>
  <si>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</si>
  <si>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</si>
  <si>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</si>
  <si>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</si>
  <si>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</si>
  <si>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</si>
  <si>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</si>
  <si>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</si>
  <si>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</si>
  <si>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</si>
  <si>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</si>
  <si>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</si>
  <si>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</si>
  <si>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</si>
  <si>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</si>
  <si>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</si>
  <si>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</si>
  <si>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</si>
  <si>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</si>
  <si>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</si>
  <si>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</si>
  <si>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</si>
  <si>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</si>
  <si>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</si>
  <si>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</si>
  <si>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</si>
  <si>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</si>
  <si>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</si>
  <si>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</si>
  <si>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</si>
  <si>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</si>
  <si>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</si>
  <si>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</si>
  <si>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</si>
  <si>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</si>
  <si>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</si>
  <si>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</si>
  <si>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</si>
  <si>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</si>
  <si>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</si>
  <si>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</si>
  <si>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</si>
  <si>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</si>
  <si>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</si>
  <si>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</si>
  <si>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</si>
  <si>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</si>
  <si>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</si>
  <si>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</si>
  <si>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</si>
  <si>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</si>
  <si>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</si>
  <si>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</si>
  <si>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</si>
  <si>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</si>
  <si>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</si>
  <si>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</si>
  <si>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</si>
  <si>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</si>
  <si>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</si>
  <si>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</si>
  <si>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</si>
  <si>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</si>
  <si>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</si>
  <si>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</si>
  <si>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</si>
  <si>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</si>
  <si>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</si>
  <si>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</si>
  <si>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</si>
  <si>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</si>
  <si>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</si>
  <si>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</si>
  <si>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</si>
  <si>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</si>
  <si>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</si>
  <si>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</si>
  <si>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</si>
  <si>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</si>
  <si>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</si>
  <si>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</si>
  <si>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</si>
  <si>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</si>
  <si>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</si>
  <si>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</si>
  <si>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</si>
  <si>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</si>
  <si>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</si>
  <si>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</si>
  <si>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</si>
  <si>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</si>
  <si>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</si>
  <si>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</si>
  <si>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</si>
  <si>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</si>
  <si>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</si>
  <si>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</si>
  <si>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</si>
  <si>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</si>
  <si>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</si>
  <si>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</si>
  <si>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</si>
  <si>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</si>
  <si>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</si>
  <si>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</si>
  <si>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</si>
  <si>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</si>
  <si>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</si>
  <si>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</si>
  <si>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</si>
  <si>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</si>
  <si>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</si>
  <si>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</si>
  <si>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</si>
  <si>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</si>
  <si>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</si>
  <si>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</si>
  <si>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</si>
  <si>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</si>
  <si>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</si>
  <si>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</si>
  <si>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</si>
  <si>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</si>
  <si>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</si>
  <si>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</si>
  <si>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</si>
  <si>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</si>
  <si>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</si>
  <si>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</si>
  <si>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</si>
  <si>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</si>
  <si>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</si>
  <si>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</si>
  <si>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</si>
  <si>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</si>
  <si>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</si>
  <si>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</si>
  <si>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</si>
  <si>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</si>
  <si>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</si>
  <si>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</si>
  <si>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</si>
  <si>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</si>
  <si>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</si>
  <si>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</si>
  <si>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</si>
  <si>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</si>
  <si>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</si>
  <si>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</si>
  <si>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</si>
  <si>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</si>
  <si>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</si>
  <si>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</si>
  <si>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</si>
  <si>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</si>
  <si>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</si>
  <si>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</si>
  <si>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</si>
  <si>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</si>
  <si>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</si>
  <si>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</si>
  <si>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</si>
  <si>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</si>
  <si>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</si>
  <si>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</si>
  <si>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</si>
  <si>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</si>
  <si>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</si>
  <si>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</si>
  <si>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</si>
  <si>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</si>
  <si>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</si>
  <si>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</si>
  <si>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</si>
  <si>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</si>
  <si>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</si>
  <si>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</si>
  <si>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</si>
  <si>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</si>
  <si>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</si>
  <si>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</si>
  <si>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</si>
  <si>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</si>
  <si>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</si>
  <si>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</si>
  <si>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</si>
  <si>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</si>
  <si>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</si>
  <si>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</si>
  <si>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</si>
  <si>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</si>
  <si>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</si>
  <si>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</si>
  <si>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</si>
  <si>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</si>
  <si>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</si>
  <si>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</si>
  <si>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</si>
  <si>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</si>
  <si>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</si>
  <si>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</si>
  <si>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</si>
  <si>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</si>
  <si>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</si>
  <si>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</si>
  <si>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</si>
  <si>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</si>
  <si>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</si>
  <si>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</si>
  <si>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</si>
  <si>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</si>
  <si>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</si>
  <si>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</si>
  <si>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</si>
  <si>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</si>
  <si>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</si>
  <si>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</si>
  <si>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</si>
  <si>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</si>
  <si>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</si>
  <si>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</si>
  <si>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</si>
  <si>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</si>
  <si>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</si>
  <si>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</si>
  <si>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</si>
  <si>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</si>
  <si>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</si>
  <si>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</si>
  <si>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</si>
  <si>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</si>
  <si>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</si>
  <si>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</si>
  <si>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</si>
  <si>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</si>
  <si>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</si>
  <si>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</si>
  <si>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</si>
  <si>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</si>
  <si>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</si>
  <si>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</si>
  <si>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</si>
  <si>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</si>
  <si>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</si>
  <si>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</si>
  <si>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</si>
  <si>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</si>
  <si>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</si>
  <si>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</si>
  <si>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</si>
  <si>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</si>
  <si>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</si>
  <si>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</si>
  <si>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</si>
  <si>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</si>
  <si>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</si>
  <si>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</si>
  <si>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</si>
  <si>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</si>
  <si>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</si>
  <si>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</si>
  <si>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</si>
  <si>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</si>
  <si>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</si>
  <si>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</si>
  <si>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</si>
  <si>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</si>
  <si>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</si>
  <si>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</si>
  <si>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</si>
  <si>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</si>
  <si>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</si>
  <si>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</si>
  <si>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</si>
  <si>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</si>
  <si>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</si>
  <si>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</si>
  <si>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</si>
  <si>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</si>
  <si>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</si>
  <si>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</si>
  <si>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</si>
  <si>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</si>
  <si>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</si>
  <si>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</si>
  <si>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</si>
  <si>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</si>
  <si>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</si>
  <si>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</si>
  <si>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</si>
  <si>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</si>
  <si>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</si>
  <si>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</si>
  <si>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</si>
  <si>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</si>
  <si>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</si>
  <si>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</si>
  <si>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</si>
  <si>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</si>
  <si>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</si>
  <si>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</si>
  <si>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</si>
  <si>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</si>
  <si>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</si>
  <si>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</si>
  <si>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</si>
  <si>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</si>
  <si>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</si>
  <si>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</si>
  <si>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</si>
  <si>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</si>
  <si>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</si>
  <si>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</si>
  <si>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</si>
  <si>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</si>
  <si>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</si>
  <si>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</si>
  <si>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</si>
  <si>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</si>
  <si>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</si>
  <si>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</si>
  <si>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</si>
  <si>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</si>
  <si>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</si>
  <si>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</si>
  <si>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</si>
  <si>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</si>
  <si>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</si>
  <si>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</si>
  <si>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</si>
  <si>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</si>
  <si>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</si>
  <si>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</si>
  <si>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</si>
  <si>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</si>
  <si>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</si>
  <si>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</si>
  <si>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</si>
  <si>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</si>
  <si>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</si>
  <si>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</si>
  <si>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</si>
  <si>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</si>
  <si>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</si>
  <si>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</si>
  <si>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</si>
  <si>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</si>
  <si>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</si>
  <si>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</si>
  <si>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</si>
  <si>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</si>
  <si>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</si>
  <si>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</si>
  <si>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</si>
  <si>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</si>
  <si>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</si>
  <si>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</si>
  <si>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</si>
  <si>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</si>
  <si>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</si>
  <si>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</si>
  <si>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</si>
  <si>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</si>
  <si>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</si>
  <si>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</si>
  <si>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</si>
  <si>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</si>
  <si>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</si>
  <si>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</si>
  <si>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</si>
  <si>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</si>
  <si>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</si>
  <si>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</si>
  <si>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</si>
  <si>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</si>
  <si>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</si>
  <si>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</si>
  <si>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</si>
  <si>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</si>
  <si>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</si>
  <si>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</si>
  <si>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</si>
  <si>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</si>
  <si>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</si>
  <si>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</si>
  <si>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</si>
  <si>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</si>
  <si>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</si>
  <si>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</si>
  <si>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</si>
  <si>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</si>
  <si>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</si>
  <si>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</si>
  <si>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</si>
  <si>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</si>
  <si>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</si>
  <si>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</si>
  <si>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</si>
  <si>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</si>
  <si>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</si>
  <si>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</si>
  <si>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</si>
  <si>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</si>
  <si>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</si>
  <si>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</si>
  <si>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</si>
  <si>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</si>
  <si>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</si>
  <si>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</si>
  <si>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</si>
  <si>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</si>
  <si>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</si>
  <si>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</si>
  <si>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</si>
  <si>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</si>
  <si>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</si>
  <si>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</si>
  <si>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</si>
  <si>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</si>
  <si>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</si>
  <si>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</si>
  <si>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</si>
  <si>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</si>
  <si>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</si>
  <si>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</si>
  <si>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</si>
  <si>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</si>
  <si>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</si>
  <si>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</si>
  <si>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</si>
  <si>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</si>
  <si>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</si>
  <si>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</si>
  <si>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</si>
  <si>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</si>
  <si>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</si>
  <si>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</si>
  <si>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</si>
  <si>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</si>
  <si>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</si>
  <si>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</si>
  <si>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</si>
  <si>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</si>
  <si>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</si>
  <si>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</si>
  <si>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</si>
  <si>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</si>
  <si>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</si>
  <si>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</si>
  <si>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</si>
  <si>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</si>
  <si>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</si>
  <si>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</si>
  <si>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</si>
  <si>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</si>
  <si>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</si>
  <si>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</si>
  <si>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</si>
  <si>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</si>
  <si>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</si>
  <si>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</si>
  <si>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</si>
  <si>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</si>
  <si>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</si>
  <si>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</si>
  <si>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</si>
  <si>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</si>
  <si>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</si>
  <si>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</si>
  <si>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</si>
  <si>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</si>
  <si>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</si>
  <si>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</si>
  <si>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</si>
  <si>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</si>
  <si>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</si>
  <si>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</si>
  <si>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</si>
  <si>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</si>
  <si>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</si>
  <si>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</si>
  <si>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</si>
  <si>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</si>
  <si>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</si>
  <si>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</si>
  <si>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</si>
  <si>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</si>
  <si>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</si>
  <si>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</si>
  <si>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</si>
  <si>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</si>
  <si>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</si>
  <si>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</si>
  <si>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</si>
  <si>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</si>
  <si>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</si>
  <si>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</si>
  <si>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</si>
  <si>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</si>
  <si>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</si>
  <si>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</si>
  <si>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</si>
  <si>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</si>
  <si>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</si>
  <si>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</si>
  <si>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</si>
  <si>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</si>
  <si>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</si>
  <si>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</si>
  <si>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</si>
  <si>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</si>
  <si>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</si>
  <si>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</si>
  <si>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</si>
  <si>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</si>
  <si>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</si>
  <si>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</si>
  <si>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</si>
  <si>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</si>
  <si>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</si>
  <si>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</si>
  <si>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</si>
  <si>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</si>
  <si>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</si>
  <si>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</si>
  <si>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</si>
  <si>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</si>
  <si>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</si>
  <si>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</si>
  <si>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</si>
  <si>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</si>
  <si>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</si>
  <si>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</si>
  <si>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</si>
  <si>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</si>
  <si>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</si>
  <si>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</si>
  <si>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</si>
  <si>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</si>
  <si>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</si>
  <si>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</si>
  <si>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</si>
  <si>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</si>
  <si>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</si>
  <si>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</si>
  <si>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</si>
  <si>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</si>
  <si>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</si>
  <si>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</si>
  <si>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</si>
  <si>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</si>
  <si>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</si>
  <si>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</si>
  <si>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</si>
  <si>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</si>
  <si>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</si>
  <si>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</si>
  <si>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</si>
  <si>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</si>
  <si>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</si>
  <si>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</si>
  <si>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</si>
  <si>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</si>
  <si>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</si>
  <si>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</si>
  <si>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</si>
  <si>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</si>
  <si>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</si>
  <si>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</si>
  <si>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</si>
  <si>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</si>
  <si>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</si>
  <si>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</si>
  <si>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</si>
  <si>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</si>
  <si>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</si>
  <si>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</si>
  <si>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</si>
  <si>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</si>
  <si>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</si>
  <si>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</si>
  <si>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</si>
  <si>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</si>
  <si>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</si>
  <si>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</si>
  <si>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</si>
  <si>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</si>
  <si>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</si>
  <si>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</si>
  <si>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</si>
  <si>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</si>
  <si>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</si>
  <si>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</si>
  <si>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</si>
  <si>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</si>
  <si>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</si>
  <si>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</si>
  <si>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</si>
  <si>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</si>
  <si>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</si>
  <si>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</si>
  <si>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</si>
  <si>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</si>
  <si>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</si>
  <si>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</si>
  <si>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</si>
  <si>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</si>
  <si>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</si>
  <si>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</si>
  <si>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</si>
  <si>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</si>
  <si>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</si>
  <si>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</si>
  <si>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</si>
  <si>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</si>
  <si>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</si>
  <si>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</si>
  <si>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</si>
  <si>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</si>
  <si>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</si>
  <si>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</si>
  <si>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</si>
  <si>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</si>
  <si>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</si>
  <si>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</si>
  <si>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</si>
  <si>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</si>
  <si>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</si>
  <si>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</si>
  <si>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</si>
  <si>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</si>
  <si>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</si>
  <si>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</si>
  <si>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</si>
  <si>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</si>
  <si>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</si>
  <si>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</si>
  <si>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</si>
  <si>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</si>
  <si>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</si>
  <si>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</si>
  <si>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</si>
  <si>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</si>
  <si>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</si>
  <si>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</si>
  <si>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</si>
  <si>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</si>
  <si>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</si>
  <si>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</si>
  <si>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</si>
  <si>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</si>
  <si>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</si>
  <si>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</si>
  <si>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</si>
  <si>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</si>
  <si>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</si>
  <si>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</si>
  <si>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</si>
  <si>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</si>
  <si>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</si>
  <si>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</si>
  <si>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</si>
  <si>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</si>
  <si>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</si>
  <si>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</si>
  <si>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</si>
  <si>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</si>
  <si>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</si>
  <si>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</si>
  <si>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</si>
  <si>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</si>
  <si>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</si>
  <si>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</si>
  <si>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</si>
  <si>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</si>
  <si>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</si>
  <si>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</si>
  <si>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</si>
  <si>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</si>
  <si>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</si>
  <si>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</si>
  <si>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</si>
  <si>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</si>
  <si>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</si>
  <si>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</si>
  <si>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</si>
  <si>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</si>
  <si>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</si>
  <si>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</si>
  <si>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</si>
  <si>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</si>
  <si>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</si>
  <si>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</si>
  <si>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</si>
  <si>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</si>
  <si>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</si>
  <si>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</si>
  <si>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</si>
  <si>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</si>
  <si>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</si>
  <si>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</si>
  <si>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</si>
  <si>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</si>
  <si>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</si>
  <si>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</si>
  <si>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</si>
  <si>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</si>
  <si>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</si>
  <si>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</si>
  <si>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</si>
  <si>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</si>
  <si>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</si>
  <si>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</si>
  <si>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</si>
  <si>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</si>
  <si>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</si>
  <si>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</si>
  <si>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</si>
  <si>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</si>
  <si>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</si>
  <si>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</si>
  <si>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</si>
  <si>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</si>
  <si>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</si>
  <si>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</si>
  <si>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</si>
  <si>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</si>
  <si>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</si>
  <si>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</si>
  <si>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</si>
  <si>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</si>
  <si>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</si>
  <si>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</si>
  <si>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</si>
  <si>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</si>
  <si>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</si>
  <si>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</si>
  <si>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</si>
  <si>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</si>
  <si>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</si>
  <si>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</si>
  <si>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</si>
  <si>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</si>
  <si>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</si>
  <si>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</si>
  <si>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</si>
  <si>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</si>
  <si>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</si>
  <si>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</si>
  <si>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</si>
  <si>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</si>
  <si>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</si>
  <si>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</si>
  <si>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</si>
  <si>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</si>
  <si>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</si>
  <si>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</si>
  <si>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</si>
  <si>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</si>
  <si>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</si>
  <si>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</si>
  <si>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</si>
  <si>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</si>
  <si>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</si>
  <si>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</si>
  <si>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</si>
  <si>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</si>
  <si>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</si>
  <si>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</si>
  <si>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</si>
  <si>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</si>
  <si>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</si>
  <si>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</si>
  <si>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</si>
  <si>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</si>
  <si>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</si>
  <si>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</si>
  <si>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</si>
  <si>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</si>
  <si>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</si>
  <si>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</si>
  <si>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</si>
  <si>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</si>
  <si>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</si>
  <si>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</si>
  <si>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</si>
  <si>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</si>
  <si>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</si>
  <si>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</si>
  <si>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</si>
  <si>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</si>
  <si>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</si>
  <si>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</si>
  <si>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</si>
  <si>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</si>
  <si>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</si>
  <si>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</si>
  <si>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</si>
  <si>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</si>
  <si>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</si>
  <si>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</si>
  <si>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</si>
  <si>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</si>
  <si>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</si>
  <si>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</si>
  <si>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</si>
  <si>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</si>
  <si>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</si>
  <si>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</si>
  <si>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</si>
  <si>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</si>
  <si>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</si>
  <si>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</si>
  <si>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</si>
  <si>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</si>
  <si>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</si>
  <si>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</si>
  <si>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</si>
  <si>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</si>
  <si>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</si>
  <si>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</si>
  <si>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</si>
  <si>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</si>
  <si>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</si>
  <si>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</si>
  <si>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</si>
  <si>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</si>
  <si>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</si>
  <si>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</si>
  <si>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</si>
  <si>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</si>
  <si>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</si>
  <si>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</si>
  <si>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</si>
  <si>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</si>
  <si>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</si>
  <si>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</si>
  <si>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</si>
  <si>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</si>
  <si>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</si>
  <si>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</si>
  <si>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</si>
  <si>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</si>
  <si>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</si>
  <si>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</si>
  <si>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</si>
  <si>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</si>
  <si>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</si>
  <si>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</si>
  <si>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</si>
  <si>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</si>
  <si>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</si>
  <si>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</si>
  <si>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</si>
  <si>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</si>
  <si>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</si>
  <si>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</si>
  <si>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</si>
  <si>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</si>
  <si>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</si>
  <si>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</si>
  <si>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</si>
  <si>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</si>
  <si>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</si>
  <si>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</si>
  <si>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</si>
  <si>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</si>
  <si>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</si>
  <si>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</si>
  <si>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</si>
  <si>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</si>
  <si>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</si>
  <si>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</si>
  <si>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</si>
  <si>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</si>
  <si>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</si>
  <si>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</si>
  <si>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</si>
  <si>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</si>
  <si>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</si>
  <si>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</si>
  <si>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</si>
  <si>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</si>
  <si>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</si>
  <si>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</si>
  <si>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</si>
  <si>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</si>
  <si>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</si>
  <si>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</si>
  <si>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</si>
  <si>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</si>
  <si>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</si>
  <si>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</si>
  <si>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</si>
  <si>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</si>
  <si>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</si>
  <si>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</si>
  <si>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</si>
  <si>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</si>
  <si>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</si>
  <si>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</si>
  <si>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</si>
  <si>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</si>
  <si>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</si>
  <si>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</si>
  <si>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</si>
  <si>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</si>
  <si>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</si>
  <si>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</si>
  <si>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</si>
  <si>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</si>
  <si>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</si>
  <si>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</si>
  <si>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</si>
  <si>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</si>
  <si>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</si>
  <si>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</si>
  <si>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</si>
  <si>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</si>
  <si>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</si>
  <si>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</si>
  <si>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</si>
  <si>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</si>
  <si>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</si>
  <si>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</si>
  <si>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</si>
  <si>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</si>
  <si>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</si>
  <si>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</si>
  <si>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</si>
  <si>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</si>
  <si>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</si>
  <si>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</si>
  <si>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</si>
  <si>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</si>
  <si>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</si>
  <si>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</si>
  <si>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</si>
  <si>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</si>
  <si>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</si>
  <si>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</si>
  <si>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</si>
  <si>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</si>
  <si>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</si>
  <si>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</si>
  <si>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</si>
  <si>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</si>
  <si>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</si>
  <si>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</si>
  <si>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</si>
  <si>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</si>
  <si>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</si>
  <si>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</si>
  <si>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</si>
  <si>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</si>
  <si>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</si>
  <si>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</si>
  <si>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</si>
  <si>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</si>
  <si>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</si>
  <si>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</si>
  <si>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</si>
  <si>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</si>
  <si>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</si>
  <si>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</si>
  <si>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</si>
  <si>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</si>
  <si>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</si>
  <si>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</si>
  <si>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</si>
  <si>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</si>
  <si>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</si>
  <si>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</si>
  <si>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</si>
  <si>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</si>
  <si>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</si>
  <si>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</si>
  <si>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</si>
  <si>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</si>
  <si>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</si>
  <si>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</si>
  <si>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</si>
  <si>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</si>
  <si>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</si>
  <si>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</si>
  <si>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</si>
  <si>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</si>
  <si>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</si>
  <si>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</si>
  <si>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</si>
  <si>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</si>
  <si>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</si>
  <si>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</si>
  <si>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</si>
  <si>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</si>
  <si>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</si>
  <si>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</si>
  <si>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</si>
  <si>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</si>
  <si>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</si>
  <si>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</si>
  <si>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</si>
  <si>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</si>
  <si>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</si>
  <si>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</si>
  <si>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</si>
  <si>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</si>
  <si>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</si>
  <si>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</si>
  <si>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</si>
  <si>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</si>
  <si>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</si>
  <si>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</si>
  <si>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</si>
  <si>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</si>
  <si>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</si>
  <si>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</si>
  <si>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</si>
  <si>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</si>
  <si>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</si>
  <si>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</si>
  <si>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</si>
  <si>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</si>
  <si>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</si>
  <si>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</si>
  <si>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</si>
  <si>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</si>
  <si>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</si>
  <si>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</si>
  <si>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</si>
  <si>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</si>
  <si>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</si>
  <si>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</si>
  <si>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</si>
  <si>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</si>
  <si>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</si>
  <si>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</si>
  <si>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</si>
  <si>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</si>
  <si>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</si>
  <si>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</si>
  <si>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</si>
  <si>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</si>
  <si>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</si>
  <si>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</si>
  <si>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</si>
  <si>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</si>
  <si>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</si>
  <si>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</si>
  <si>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</si>
  <si>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</si>
  <si>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</si>
  <si>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</si>
  <si>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</si>
  <si>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</si>
  <si>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</si>
  <si>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</si>
  <si>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</si>
  <si>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</si>
  <si>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</si>
  <si>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</si>
  <si>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</si>
  <si>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</si>
  <si>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</si>
  <si>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</si>
  <si>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</si>
  <si>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</si>
  <si>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</si>
  <si>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</si>
  <si>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</si>
  <si>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</si>
  <si>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</si>
  <si>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</si>
  <si>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</si>
  <si>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</si>
  <si>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</si>
  <si>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</si>
  <si>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</si>
  <si>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</si>
  <si>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</si>
  <si>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</si>
  <si>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</si>
  <si>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</si>
  <si>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</si>
  <si>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</si>
  <si>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</si>
  <si>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</si>
  <si>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</si>
  <si>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</si>
  <si>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</si>
  <si>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</si>
  <si>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</si>
  <si>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</si>
  <si>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</si>
  <si>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</si>
  <si>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</si>
  <si>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</si>
  <si>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</si>
  <si>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</si>
  <si>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</si>
  <si>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</si>
  <si>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</si>
  <si>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</si>
  <si>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</si>
  <si>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</si>
  <si>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</si>
  <si>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</si>
  <si>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</si>
  <si>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</si>
  <si>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</si>
  <si>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</si>
  <si>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</si>
  <si>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</si>
  <si>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</si>
  <si>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</si>
  <si>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</si>
  <si>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</si>
  <si>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</si>
  <si>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</si>
  <si>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</si>
  <si>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</si>
  <si>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</si>
  <si>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</si>
  <si>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</si>
  <si>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</si>
  <si>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</si>
  <si>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</si>
  <si>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</si>
  <si>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</si>
  <si>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</si>
  <si>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</si>
  <si>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</si>
  <si>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</si>
  <si>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</si>
  <si>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</si>
  <si>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</si>
  <si>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</si>
  <si>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</si>
  <si>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</si>
  <si>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</si>
  <si>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</si>
  <si>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</si>
  <si>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</si>
  <si>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</si>
  <si>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</si>
  <si>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</si>
  <si>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</si>
  <si>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</si>
  <si>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</si>
  <si>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</si>
  <si>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</si>
  <si>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</si>
  <si>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</si>
  <si>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</si>
  <si>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</si>
  <si>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</si>
  <si>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</si>
  <si>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</si>
  <si>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</si>
  <si>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</si>
  <si>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</si>
  <si>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</si>
  <si>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</si>
  <si>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</si>
  <si>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</si>
  <si>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</si>
  <si>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</si>
  <si>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</si>
  <si>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</si>
  <si>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</si>
  <si>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</si>
  <si>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</si>
  <si>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抵押</t>
  </si>
  <si>
    <t>房地产抵押价值</t>
  </si>
  <si>
    <t>北京市</t>
  </si>
  <si>
    <t>企业</t>
  </si>
  <si>
    <t>出让</t>
  </si>
  <si>
    <t>否</t>
  </si>
  <si>
    <t>通路</t>
  </si>
  <si>
    <t>通电</t>
  </si>
  <si>
    <t>通讯</t>
  </si>
  <si>
    <t>通上水</t>
  </si>
  <si>
    <t>通下水</t>
  </si>
  <si>
    <t>现房</t>
  </si>
  <si>
    <r>
      <t>1</t>
    </r>
    <r>
      <rPr>
        <sz val="10"/>
        <color indexed="8"/>
        <rFont val="宋体"/>
        <family val="3"/>
        <charset val="134"/>
      </rPr>
      <t>号楼</t>
    </r>
    <phoneticPr fontId="3" type="noConversion"/>
  </si>
  <si>
    <r>
      <t>2号楼</t>
    </r>
    <r>
      <rPr>
        <sz val="10"/>
        <color indexed="8"/>
        <rFont val="宋体"/>
        <family val="3"/>
        <charset val="134"/>
      </rPr>
      <t/>
    </r>
  </si>
  <si>
    <t>高压分界室</t>
    <phoneticPr fontId="3" type="noConversion"/>
  </si>
  <si>
    <t>是</t>
  </si>
  <si>
    <t>地上</t>
  </si>
  <si>
    <t>办公楼</t>
  </si>
  <si>
    <t>成新度</t>
  </si>
  <si>
    <t>收益法</t>
  </si>
  <si>
    <t>押一</t>
  </si>
  <si>
    <t>钢混</t>
  </si>
  <si>
    <t>非生产用房</t>
  </si>
  <si>
    <t>车间</t>
  </si>
  <si>
    <t>车间</t>
    <phoneticPr fontId="7" type="noConversion"/>
  </si>
  <si>
    <t>正常</t>
  </si>
  <si>
    <t>比较法-工业</t>
  </si>
  <si>
    <t>售价</t>
  </si>
  <si>
    <t>地下</t>
  </si>
  <si>
    <t>车库</t>
  </si>
  <si>
    <t>欧红伟</t>
  </si>
  <si>
    <t>崔锴</t>
  </si>
  <si>
    <t>收益法</t>
    <phoneticPr fontId="16" type="noConversion"/>
  </si>
  <si>
    <t>收益法-车库</t>
    <phoneticPr fontId="16" type="noConversion"/>
  </si>
  <si>
    <t>办公</t>
    <phoneticPr fontId="143" type="noConversion"/>
  </si>
  <si>
    <t>车库</t>
    <phoneticPr fontId="143" type="noConversion"/>
  </si>
  <si>
    <t>按票据</t>
  </si>
  <si>
    <t>总部基地</t>
    <phoneticPr fontId="3" type="noConversion"/>
  </si>
  <si>
    <t>丰台区科技园区南</t>
    <phoneticPr fontId="3" type="noConversion"/>
  </si>
  <si>
    <t>位于丰台科技园区域，周边办公楼项目较多，入住率高，办公集聚程度较好</t>
    <phoneticPr fontId="32" type="noConversion"/>
  </si>
  <si>
    <t>周边道路状况较好（南四环路）、公共交通通达情况较好、停车便捷程度较高，综合评价交通便捷度较好</t>
    <phoneticPr fontId="32" type="noConversion"/>
  </si>
  <si>
    <t>估价对象所在区域公共配套设施较齐备</t>
    <phoneticPr fontId="3" type="noConversion"/>
  </si>
  <si>
    <t>估价对象所在区域基础设施水平好</t>
    <phoneticPr fontId="3" type="noConversion"/>
  </si>
  <si>
    <t>区域自然环境较好；人文环境一般；综合评价环境状况一般</t>
  </si>
  <si>
    <t>一般</t>
  </si>
  <si>
    <t>七通</t>
  </si>
  <si>
    <t>较好</t>
  </si>
  <si>
    <t>工业</t>
    <phoneticPr fontId="32" type="noConversion"/>
  </si>
  <si>
    <t>是</t>
    <phoneticPr fontId="32" type="noConversion"/>
  </si>
  <si>
    <t>否</t>
    <phoneticPr fontId="32" type="noConversion"/>
  </si>
  <si>
    <t>是否有地下</t>
    <phoneticPr fontId="32" type="noConversion"/>
  </si>
  <si>
    <t>好</t>
  </si>
  <si>
    <t>较差</t>
  </si>
  <si>
    <t>钢</t>
    <phoneticPr fontId="32" type="noConversion"/>
  </si>
  <si>
    <t>钢混</t>
    <phoneticPr fontId="32" type="noConversion"/>
  </si>
  <si>
    <t>砖混</t>
    <phoneticPr fontId="32" type="noConversion"/>
  </si>
  <si>
    <t>精装修</t>
    <phoneticPr fontId="143" type="noConversion"/>
  </si>
  <si>
    <t>普通装修</t>
    <phoneticPr fontId="143" type="noConversion"/>
  </si>
  <si>
    <t>简单装修</t>
    <phoneticPr fontId="143" type="noConversion"/>
  </si>
  <si>
    <r>
      <rPr>
        <sz val="11"/>
        <rFont val="宋体"/>
        <family val="3"/>
        <charset val="134"/>
      </rPr>
      <t>毛坯</t>
    </r>
    <r>
      <rPr>
        <sz val="11"/>
        <rFont val="Arial"/>
        <family val="2"/>
      </rPr>
      <t/>
    </r>
    <phoneticPr fontId="143" type="noConversion"/>
  </si>
  <si>
    <t>专业</t>
  </si>
  <si>
    <t>专业</t>
    <phoneticPr fontId="32" type="noConversion"/>
  </si>
  <si>
    <t>普通装修</t>
  </si>
  <si>
    <t>普通</t>
    <phoneticPr fontId="143" type="noConversion"/>
  </si>
  <si>
    <t>毛坯</t>
  </si>
  <si>
    <t>精装修</t>
  </si>
  <si>
    <t>七通</t>
    <phoneticPr fontId="143" type="noConversion"/>
  </si>
  <si>
    <t>六通</t>
    <phoneticPr fontId="143" type="noConversion"/>
  </si>
  <si>
    <t>五通</t>
    <phoneticPr fontId="143" type="noConversion"/>
  </si>
  <si>
    <t>四通</t>
    <phoneticPr fontId="143" type="noConversion"/>
  </si>
  <si>
    <t>三通</t>
    <phoneticPr fontId="143" type="noConversion"/>
  </si>
  <si>
    <t>五通</t>
  </si>
  <si>
    <t>六通</t>
  </si>
  <si>
    <t>中关村环保园</t>
    <phoneticPr fontId="3" type="noConversion"/>
  </si>
  <si>
    <t>40-50（含）</t>
  </si>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</sst>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80" fillId="0" borderId="1"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0" xfId="0" applyFont="1">
      <alignment vertical="center"/>
    </xf>
    <xf numFmtId="0" fontId="225" fillId="0" borderId="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22" fillId="0" borderId="24" xfId="0" applyFont="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9</xdr:col>
      <xdr:colOff>227800</xdr:colOff>
      <xdr:row>39</xdr:row>
      <xdr:rowOff>18362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00150"/>
          <a:ext cx="6400000" cy="5504762"/>
        </a:xfrm>
        <a:prstGeom prst="rect">
          <a:avLst/>
        </a:prstGeom>
      </xdr:spPr>
    </xdr:pic>
    <xdr:clientData/>
  </xdr:twoCellAnchor>
  <xdr:twoCellAnchor editAs="oneCell">
    <xdr:from>
      <xdr:col>10</xdr:col>
      <xdr:colOff>0</xdr:colOff>
      <xdr:row>7</xdr:row>
      <xdr:rowOff>0</xdr:rowOff>
    </xdr:from>
    <xdr:to>
      <xdr:col>19</xdr:col>
      <xdr:colOff>113515</xdr:colOff>
      <xdr:row>34</xdr:row>
      <xdr:rowOff>132755</xdr:rowOff>
    </xdr:to>
    <xdr:pic>
      <xdr:nvPicPr>
        <xdr:cNvPr id="4" name="图片 3"/>
        <xdr:cNvPicPr>
          <a:picLocks noChangeAspect="1"/>
        </xdr:cNvPicPr>
      </xdr:nvPicPr>
      <xdr:blipFill>
        <a:blip xmlns:r="http://schemas.openxmlformats.org/officeDocument/2006/relationships" r:embed="rId2"/>
        <a:stretch>
          <a:fillRect/>
        </a:stretch>
      </xdr:blipFill>
      <xdr:spPr>
        <a:xfrm>
          <a:off x="6858000" y="1200150"/>
          <a:ext cx="6285715" cy="47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北京市房地产抵押价值预评估</v>
      </c>
    </row>
    <row r="3" spans="1:2" s="1596" customFormat="1">
      <c r="A3" s="1594" t="s">
        <v>1221</v>
      </c>
      <c r="B3" s="1595">
        <f>'预评函-封皮'!B40</f>
        <v>0</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受贵公司委托，我公司对北京市房地产抵押价值进行了预评估。</v>
      </c>
    </row>
    <row r="7" spans="1:2" s="1596" customFormat="1">
      <c r="A7" s="1594" t="s">
        <v>1264</v>
      </c>
      <c r="B7" s="1595" t="str">
        <f>'预评函-1'!A7</f>
        <v>估价对象为北京市房地产，为所有。根据《国有土地使用证》[]，估价对象（分摊）出让国有建设用地使用权面积为13537.24平方米，建筑面积为57947.42平方米。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估价对象为北京市房地产,属开发建设的，该项目尚在开发建设中。根据《国有土地使用证》[]，估价对象（分摊）出让国有建设用地使用权面积为13537.24平方米，规划建筑面积为57947.42平方米。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2018年11月19日（评估专业人员实地查勘之日）</v>
      </c>
    </row>
    <row r="13" spans="1:2" s="1596" customFormat="1">
      <c r="A13" s="1594" t="s">
        <v>1227</v>
      </c>
      <c r="B13" s="1595" t="str">
        <f>'预评函-1'!A18</f>
        <v>本次估价的“房地产价值”是指在正常市场情况下，在价值时点2018年11月19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本次评估采用的主估价方法为收益法和比较法。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240481</v>
      </c>
    </row>
    <row r="21" spans="1:2" s="1596" customFormat="1">
      <c r="A21" s="1594" t="s">
        <v>1235</v>
      </c>
      <c r="B21" s="1595">
        <f ca="1">'预评函-2'!D7</f>
        <v>41500</v>
      </c>
    </row>
    <row r="22" spans="1:2" s="1596" customFormat="1">
      <c r="A22" s="1594" t="s">
        <v>1236</v>
      </c>
      <c r="B22" s="1595" t="str">
        <f ca="1">'预评函-2'!D6</f>
        <v>贰拾肆亿零肆佰捌拾壹万元整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240481</v>
      </c>
    </row>
    <row r="31" spans="1:2" s="1596" customFormat="1">
      <c r="A31" s="1594" t="s">
        <v>1274</v>
      </c>
      <c r="B31" s="1595">
        <f ca="1">'预评函-2'!D15</f>
        <v>41500</v>
      </c>
    </row>
    <row r="32" spans="1:2" s="1596" customFormat="1">
      <c r="A32" s="1594" t="s">
        <v>1241</v>
      </c>
      <c r="B32" s="1595" t="str">
        <f ca="1">'预评函-2'!D14</f>
        <v>贰拾肆亿零肆佰捌拾壹万元整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北京市房地产</v>
      </c>
    </row>
    <row r="42" spans="1:2" s="1596" customFormat="1">
      <c r="A42" s="1594" t="s">
        <v>1288</v>
      </c>
      <c r="B42" s="1595" t="str">
        <f>'预评函-3'!B2</f>
        <v>建筑面积</v>
      </c>
    </row>
    <row r="43" spans="1:2" s="1596" customFormat="1">
      <c r="A43" s="1594" t="s">
        <v>1289</v>
      </c>
      <c r="B43" s="1595">
        <f>'预评函-3'!B4</f>
        <v>57947.42</v>
      </c>
    </row>
    <row r="44" spans="1:2" s="1596" customFormat="1">
      <c r="A44" s="1594" t="s">
        <v>1273</v>
      </c>
      <c r="B44" s="1595" t="str">
        <f>'预评函-3'!C2</f>
        <v>(分摊)土地面积</v>
      </c>
    </row>
    <row r="45" spans="1:2" s="1596" customFormat="1">
      <c r="A45" s="1594" t="s">
        <v>1245</v>
      </c>
      <c r="B45" s="1595">
        <f>'预评函-3'!C4</f>
        <v>13537.24</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20" t="s">
        <v>3085</v>
      </c>
      <c r="C5" s="2018" t="s">
        <v>763</v>
      </c>
      <c r="F5" s="2019" t="s">
        <v>1732</v>
      </c>
      <c r="H5" s="2019" t="s">
        <v>1733</v>
      </c>
      <c r="I5" s="2019" t="s">
        <v>1734</v>
      </c>
      <c r="K5" s="2019" t="s">
        <v>1735</v>
      </c>
      <c r="L5" s="2019" t="s">
        <v>1735</v>
      </c>
      <c r="M5" s="2019" t="s">
        <v>1735</v>
      </c>
      <c r="N5" s="2019" t="s">
        <v>1735</v>
      </c>
      <c r="O5" s="2019" t="s">
        <v>1735</v>
      </c>
      <c r="P5" s="2019" t="s">
        <v>1735</v>
      </c>
      <c r="Q5" s="2019" t="s">
        <v>1735</v>
      </c>
      <c r="R5" s="2019" t="s">
        <v>1142</v>
      </c>
      <c r="S5" s="2019" t="s">
        <v>1735</v>
      </c>
      <c r="T5" s="2019" t="s">
        <v>1736</v>
      </c>
      <c r="U5" s="2019" t="s">
        <v>1735</v>
      </c>
      <c r="W5" s="2019" t="s">
        <v>1735</v>
      </c>
    </row>
    <row r="6" spans="1:23">
      <c r="A6" s="2017" t="s">
        <v>1737</v>
      </c>
      <c r="B6" s="2020" t="s">
        <v>1146</v>
      </c>
      <c r="C6" s="2023" t="s">
        <v>30</v>
      </c>
      <c r="F6" s="2019" t="s">
        <v>1733</v>
      </c>
      <c r="H6" s="2019" t="s">
        <v>1738</v>
      </c>
      <c r="I6" s="2019" t="s">
        <v>1739</v>
      </c>
      <c r="K6" s="2019" t="s">
        <v>1740</v>
      </c>
      <c r="L6" s="2019" t="s">
        <v>1740</v>
      </c>
      <c r="M6" s="2019" t="s">
        <v>1740</v>
      </c>
      <c r="N6" s="2019" t="s">
        <v>1740</v>
      </c>
      <c r="O6" s="2019" t="s">
        <v>1740</v>
      </c>
      <c r="P6" s="2019" t="s">
        <v>1740</v>
      </c>
      <c r="Q6" s="2019" t="s">
        <v>1740</v>
      </c>
      <c r="R6" s="2019" t="s">
        <v>1143</v>
      </c>
      <c r="S6" s="2019" t="s">
        <v>1740</v>
      </c>
      <c r="T6" s="2019"/>
      <c r="U6" s="2019" t="s">
        <v>1740</v>
      </c>
      <c r="W6" s="2019" t="s">
        <v>1740</v>
      </c>
    </row>
    <row r="7" spans="1:23">
      <c r="A7" s="2017" t="s">
        <v>1741</v>
      </c>
      <c r="B7" s="2020" t="s">
        <v>1147</v>
      </c>
      <c r="C7" s="2018" t="s">
        <v>31</v>
      </c>
      <c r="F7" s="2019" t="s">
        <v>1742</v>
      </c>
      <c r="H7" s="2019" t="s">
        <v>1743</v>
      </c>
      <c r="I7" s="2019" t="s">
        <v>1744</v>
      </c>
    </row>
    <row r="8" spans="1:23">
      <c r="A8" s="2017" t="s">
        <v>1745</v>
      </c>
      <c r="B8" s="2017" t="s">
        <v>1746</v>
      </c>
      <c r="C8" s="2018" t="s">
        <v>764</v>
      </c>
      <c r="F8" s="2019" t="s">
        <v>1747</v>
      </c>
      <c r="H8" s="2019"/>
      <c r="I8" s="2019" t="s">
        <v>1748</v>
      </c>
    </row>
    <row r="9" spans="1:23">
      <c r="A9" s="2017" t="s">
        <v>1749</v>
      </c>
      <c r="B9" s="2017" t="s">
        <v>1750</v>
      </c>
      <c r="C9" s="2018" t="s">
        <v>765</v>
      </c>
      <c r="F9" s="2019" t="s">
        <v>1751</v>
      </c>
      <c r="H9" s="2019"/>
    </row>
    <row r="10" spans="1:23">
      <c r="A10" s="2017" t="s">
        <v>1752</v>
      </c>
      <c r="B10" s="2017" t="s">
        <v>1753</v>
      </c>
      <c r="C10" s="2018" t="s">
        <v>766</v>
      </c>
      <c r="F10" s="2019" t="s">
        <v>16</v>
      </c>
    </row>
    <row r="11" spans="1:23">
      <c r="A11" s="2017" t="s">
        <v>1754</v>
      </c>
      <c r="B11" s="2017" t="s">
        <v>1755</v>
      </c>
      <c r="C11" s="2018" t="s">
        <v>767</v>
      </c>
    </row>
    <row r="12" spans="1:23">
      <c r="A12" s="2017" t="s">
        <v>1756</v>
      </c>
      <c r="B12" s="2017" t="s">
        <v>1757</v>
      </c>
      <c r="C12" s="2018" t="s">
        <v>768</v>
      </c>
    </row>
    <row r="13" spans="1:23">
      <c r="A13" s="2017" t="s">
        <v>1758</v>
      </c>
      <c r="B13" s="2017" t="s">
        <v>1759</v>
      </c>
      <c r="C13" s="2018" t="s">
        <v>769</v>
      </c>
    </row>
    <row r="14" spans="1:23">
      <c r="A14" s="2017" t="s">
        <v>1760</v>
      </c>
      <c r="B14" s="2017" t="s">
        <v>1761</v>
      </c>
      <c r="C14" s="2019" t="s">
        <v>16</v>
      </c>
    </row>
    <row r="15" spans="1:23">
      <c r="A15" s="2017" t="s">
        <v>1762</v>
      </c>
      <c r="B15" s="2017" t="s">
        <v>1763</v>
      </c>
      <c r="C15" s="2018"/>
    </row>
    <row r="16" spans="1:23">
      <c r="A16" s="2017" t="s">
        <v>1764</v>
      </c>
      <c r="B16" s="2017" t="s">
        <v>756</v>
      </c>
      <c r="C16" s="2018"/>
    </row>
    <row r="17" spans="1:3">
      <c r="A17" s="2017" t="s">
        <v>1765</v>
      </c>
      <c r="B17" s="2017" t="s">
        <v>3086</v>
      </c>
      <c r="C17" s="2018"/>
    </row>
    <row r="18" spans="1:3">
      <c r="A18" s="2017" t="s">
        <v>1766</v>
      </c>
      <c r="B18" s="2017" t="s">
        <v>757</v>
      </c>
      <c r="C18" s="2018"/>
    </row>
    <row r="19" spans="1:3">
      <c r="A19" s="2017" t="s">
        <v>1767</v>
      </c>
      <c r="B19" s="2017" t="s">
        <v>757</v>
      </c>
      <c r="C19" s="2018"/>
    </row>
    <row r="20" spans="1:3">
      <c r="A20" s="2017" t="s">
        <v>1768</v>
      </c>
      <c r="B20" s="2017" t="s">
        <v>757</v>
      </c>
      <c r="C20" s="2018"/>
    </row>
    <row r="21" spans="1:3">
      <c r="A21" s="2017" t="s">
        <v>1769</v>
      </c>
      <c r="B21" s="2017" t="s">
        <v>757</v>
      </c>
      <c r="C21" s="2018"/>
    </row>
    <row r="22" spans="1:3">
      <c r="A22" s="2017" t="s">
        <v>1770</v>
      </c>
      <c r="B22" s="2017" t="s">
        <v>757</v>
      </c>
      <c r="C22" s="2018"/>
    </row>
    <row r="23" spans="1:3">
      <c r="A23" s="2017" t="s">
        <v>1771</v>
      </c>
      <c r="B23" s="2017" t="s">
        <v>757</v>
      </c>
      <c r="C23" s="2018"/>
    </row>
    <row r="24" spans="1:3">
      <c r="A24" s="2017" t="s">
        <v>1772</v>
      </c>
      <c r="B24" s="2017" t="s">
        <v>757</v>
      </c>
      <c r="C24" s="2018"/>
    </row>
    <row r="25" spans="1:3">
      <c r="A25" s="2017" t="s">
        <v>1773</v>
      </c>
      <c r="B25" s="2017" t="s">
        <v>757</v>
      </c>
      <c r="C25" s="2018"/>
    </row>
    <row r="26" spans="1:3">
      <c r="A26" s="2017" t="s">
        <v>1774</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2994"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11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4"/>
      <c r="B54" s="2025" t="s">
        <v>864</v>
      </c>
      <c r="C54" s="2022" t="s">
        <v>1281</v>
      </c>
    </row>
    <row r="55" spans="1:4">
      <c r="A55" s="2994"/>
      <c r="B55" s="2025" t="s">
        <v>865</v>
      </c>
      <c r="C55" s="2022" t="s">
        <v>1282</v>
      </c>
    </row>
    <row r="56" spans="1:4">
      <c r="A56" s="2994"/>
      <c r="B56" s="2025" t="s">
        <v>866</v>
      </c>
      <c r="C56" s="2022" t="s">
        <v>1286</v>
      </c>
    </row>
    <row r="57" spans="1:4">
      <c r="A57" s="2994"/>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31" zoomScale="90" zoomScaleNormal="100" zoomScaleSheetLayoutView="90" workbookViewId="0">
      <selection activeCell="F7" sqref="F7"/>
    </sheetView>
  </sheetViews>
  <sheetFormatPr defaultColWidth="10" defaultRowHeight="18" customHeight="1"/>
  <cols>
    <col min="1" max="1" width="14.875" style="2035" customWidth="1"/>
    <col min="2" max="2" width="12.875" style="2035" customWidth="1"/>
    <col min="3" max="3" width="11.5" style="2035" customWidth="1"/>
    <col min="4" max="4" width="12.75" style="2035" customWidth="1"/>
    <col min="5"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1775</v>
      </c>
      <c r="B1" s="2995" t="str">
        <f>IF(B10="北京市","北京市",C10)&amp;F10&amp;IF(结果表!G1="在建","出让国有建设用地使用权及在建建筑物",IF(结果表!G1="土地","出让国有建设用地使用权",))&amp;B9&amp;"预评估"</f>
        <v>北京市房地产抵押价值预评估</v>
      </c>
      <c r="C1" s="2996"/>
      <c r="D1" s="2996"/>
      <c r="E1" s="2996"/>
      <c r="F1" s="2996"/>
      <c r="G1" s="2996"/>
      <c r="H1" s="2996"/>
      <c r="I1" s="299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9" t="s">
        <v>1776</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北京市房地产</v>
      </c>
    </row>
    <row r="3" spans="1:19" ht="18" customHeight="1">
      <c r="A3" s="2038" t="s">
        <v>1777</v>
      </c>
      <c r="B3" s="2039">
        <v>43423</v>
      </c>
      <c r="C3" s="2040" t="s">
        <v>1778</v>
      </c>
      <c r="D3" s="2039">
        <f>B3</f>
        <v>43423</v>
      </c>
      <c r="E3" s="2029"/>
      <c r="F3" s="2029"/>
      <c r="G3" s="2029"/>
      <c r="H3" s="2029"/>
      <c r="I3" s="2029"/>
      <c r="J3" s="2029"/>
      <c r="K3" s="2030"/>
      <c r="L3" s="2031"/>
      <c r="M3" s="2031"/>
      <c r="N3" s="2032"/>
      <c r="O3" s="2033"/>
      <c r="P3" s="2032"/>
      <c r="Q3" s="2032"/>
      <c r="R3" s="2032"/>
      <c r="S3" s="2034"/>
    </row>
    <row r="4" spans="1:19" ht="18" customHeight="1" thickBot="1">
      <c r="A4" s="2041" t="s">
        <v>1779</v>
      </c>
      <c r="B4" s="2042" t="s">
        <v>3083</v>
      </c>
      <c r="C4" s="1040">
        <f ca="1">SUMIF(注册房地产估价师,B4,估价师及机构信息!B3:B24)</f>
        <v>1120000080</v>
      </c>
      <c r="D4" s="2042" t="s">
        <v>3084</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欧红伟（注册号：1120000080)、崔锴（注册号：1120100036)</v>
      </c>
      <c r="L4" s="2031"/>
      <c r="M4" s="2031"/>
      <c r="N4" s="2032"/>
      <c r="O4" s="2033"/>
      <c r="P4" s="2032"/>
      <c r="Q4" s="2032"/>
      <c r="R4" s="2032"/>
      <c r="S4" s="2034"/>
    </row>
    <row r="5" spans="1:19" ht="18" customHeight="1" thickTop="1">
      <c r="A5" s="2047" t="s">
        <v>1780</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1781</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1782</v>
      </c>
      <c r="B7" s="2056"/>
      <c r="C7" s="2053"/>
      <c r="D7" s="2054"/>
      <c r="E7" s="2037"/>
      <c r="F7" s="2045"/>
      <c r="G7" s="2045"/>
      <c r="H7" s="2045"/>
      <c r="I7" s="2045"/>
      <c r="J7" s="2045"/>
      <c r="K7" s="2057"/>
      <c r="L7" s="2031"/>
      <c r="M7" s="2031"/>
      <c r="N7" s="2032"/>
      <c r="O7" s="2033"/>
      <c r="P7" s="2032"/>
      <c r="Q7" s="2032"/>
      <c r="R7" s="2032"/>
    </row>
    <row r="8" spans="1:19" ht="18" customHeight="1">
      <c r="A8" s="2051" t="s">
        <v>1783</v>
      </c>
      <c r="B8" s="2058" t="s">
        <v>3053</v>
      </c>
      <c r="C8" s="2059"/>
      <c r="D8" s="2998" t="s">
        <v>1784</v>
      </c>
      <c r="E8" s="2060" t="s">
        <v>3054</v>
      </c>
      <c r="F8" s="2061"/>
      <c r="G8" s="2029"/>
      <c r="H8" s="2029"/>
      <c r="I8" s="2029"/>
      <c r="J8" s="2045"/>
      <c r="K8" s="2046"/>
      <c r="L8" s="2031"/>
      <c r="M8" s="2031"/>
      <c r="N8" s="2032"/>
      <c r="O8" s="2033"/>
      <c r="P8" s="2032"/>
      <c r="Q8" s="2032"/>
      <c r="R8" s="2032"/>
    </row>
    <row r="9" spans="1:19" ht="18" customHeight="1" thickBot="1">
      <c r="A9" s="2043" t="s">
        <v>1785</v>
      </c>
      <c r="B9" s="2062" t="s">
        <v>3054</v>
      </c>
      <c r="C9" s="2063"/>
      <c r="D9" s="2999"/>
      <c r="E9" s="2062" t="s">
        <v>70</v>
      </c>
      <c r="F9" s="2064"/>
      <c r="G9" s="2065"/>
      <c r="H9" s="2065"/>
      <c r="I9" s="2065"/>
      <c r="J9" s="2045"/>
      <c r="K9" s="2057"/>
      <c r="L9" s="2031"/>
      <c r="M9" s="2031"/>
      <c r="N9" s="2032"/>
      <c r="O9" s="2033"/>
      <c r="P9" s="2032"/>
      <c r="Q9" s="2032"/>
      <c r="R9" s="2032"/>
    </row>
    <row r="10" spans="1:19" ht="18" customHeight="1" thickTop="1">
      <c r="A10" s="2066" t="s">
        <v>1786</v>
      </c>
      <c r="B10" s="2067" t="s">
        <v>3055</v>
      </c>
      <c r="C10" s="2068"/>
      <c r="D10" s="2050"/>
      <c r="E10" s="2069" t="s">
        <v>1787</v>
      </c>
      <c r="F10" s="2070"/>
      <c r="G10" s="2071"/>
      <c r="H10" s="2072"/>
      <c r="I10" s="2050"/>
      <c r="J10" s="2045"/>
      <c r="K10" s="2057"/>
      <c r="L10" s="2031"/>
      <c r="M10" s="2031"/>
      <c r="N10" s="2032"/>
      <c r="O10" s="2033"/>
      <c r="P10" s="2032"/>
      <c r="Q10" s="2032"/>
      <c r="R10" s="2032"/>
    </row>
    <row r="11" spans="1:19" ht="18" customHeight="1">
      <c r="A11" s="2073" t="s">
        <v>1788</v>
      </c>
      <c r="B11" s="2074" t="s">
        <v>3056</v>
      </c>
      <c r="C11" s="2075"/>
      <c r="D11" s="2076"/>
      <c r="E11" s="2045"/>
      <c r="F11" s="2045"/>
      <c r="G11" s="2045"/>
      <c r="H11" s="2045"/>
      <c r="I11" s="2045"/>
      <c r="J11" s="2045"/>
      <c r="K11" s="2057"/>
      <c r="L11" s="2031"/>
      <c r="M11" s="2031"/>
      <c r="N11" s="2032"/>
      <c r="O11" s="2033"/>
      <c r="P11" s="2032"/>
      <c r="Q11" s="2032"/>
      <c r="R11" s="2032"/>
    </row>
    <row r="12" spans="1:19" ht="18" customHeight="1">
      <c r="A12" s="2077" t="s">
        <v>1789</v>
      </c>
      <c r="B12" s="2074" t="s">
        <v>3057</v>
      </c>
      <c r="C12" s="2078" t="s">
        <v>1790</v>
      </c>
      <c r="D12" s="2079" t="s">
        <v>1791</v>
      </c>
      <c r="E12" s="2079" t="s">
        <v>1792</v>
      </c>
      <c r="F12" s="2079" t="s">
        <v>1793</v>
      </c>
      <c r="G12" s="2079" t="s">
        <v>1794</v>
      </c>
      <c r="H12" s="2079" t="s">
        <v>1795</v>
      </c>
      <c r="I12" s="2079" t="s">
        <v>1796</v>
      </c>
      <c r="J12" s="2045"/>
      <c r="K12" s="2057"/>
      <c r="L12" s="2031"/>
      <c r="M12" s="2031"/>
      <c r="N12" s="2032"/>
      <c r="O12" s="2033"/>
      <c r="P12" s="2032"/>
      <c r="Q12" s="2032"/>
      <c r="R12" s="2032"/>
    </row>
    <row r="13" spans="1:19" ht="18" customHeight="1">
      <c r="A13" s="2080"/>
      <c r="B13" s="2081"/>
      <c r="C13" s="2082" t="s">
        <v>1797</v>
      </c>
      <c r="D13" s="2083"/>
      <c r="E13" s="2083"/>
      <c r="F13" s="2083"/>
      <c r="G13" s="1050">
        <v>59326</v>
      </c>
      <c r="H13" s="2083"/>
      <c r="I13" s="1050">
        <v>59326</v>
      </c>
      <c r="J13" s="2045"/>
      <c r="K13" s="2057"/>
      <c r="L13" s="2031"/>
      <c r="M13" s="2031"/>
      <c r="N13" s="2032"/>
      <c r="O13" s="2033"/>
      <c r="P13" s="2032"/>
      <c r="Q13" s="2032"/>
      <c r="R13" s="2032"/>
    </row>
    <row r="14" spans="1:19" ht="18" customHeight="1">
      <c r="A14" s="2080"/>
      <c r="B14" s="2081"/>
      <c r="C14" s="2082" t="s">
        <v>1798</v>
      </c>
      <c r="D14" s="1053"/>
      <c r="E14" s="1053"/>
      <c r="F14" s="1053"/>
      <c r="G14" s="1053">
        <v>50</v>
      </c>
      <c r="H14" s="1053"/>
      <c r="I14" s="1053">
        <v>50</v>
      </c>
      <c r="J14" s="2045"/>
      <c r="K14" s="2084"/>
      <c r="L14" s="2031"/>
      <c r="M14" s="2031"/>
      <c r="N14" s="2032"/>
      <c r="O14" s="2033"/>
      <c r="P14" s="2032"/>
      <c r="Q14" s="2032"/>
      <c r="R14" s="2032"/>
    </row>
    <row r="15" spans="1:19" ht="18" customHeight="1">
      <c r="A15" s="2066"/>
      <c r="B15" s="2085"/>
      <c r="C15" s="2082" t="s">
        <v>1799</v>
      </c>
      <c r="D15" s="1052" t="str">
        <f>IF(B12="出让",IF(D13="","",ROUNDDOWN(MIN((D13-$D$3)/365,D14),2)),D14)</f>
        <v/>
      </c>
      <c r="E15" s="1052" t="str">
        <f>IF(B12="出让",IF(E13="","",ROUNDDOWN(MIN((E13-$D$3)/365,E14),2)),E14)</f>
        <v/>
      </c>
      <c r="F15" s="1052" t="str">
        <f>IF(B12="出让",IF(F13="","",ROUNDDOWN(MIN((F13-$D$3)/365,F14),2)),F14)</f>
        <v/>
      </c>
      <c r="G15" s="1052">
        <f>IF(B12="出让",IF(G13="","",ROUNDDOWN(MIN((G13-$D$3)/365,G14),2)),G14)</f>
        <v>43.56</v>
      </c>
      <c r="H15" s="1052" t="str">
        <f>IF(B12="出让",IF(H13="","",ROUNDDOWN(MIN((H13-$D$3)/365,H14),2)),H14)</f>
        <v/>
      </c>
      <c r="I15" s="1052">
        <f>IF(B12="出让",IF(I13="","",ROUNDDOWN(MIN((I13-$D$3)/365,I14),2)),I14)</f>
        <v>43.56</v>
      </c>
      <c r="J15" s="2045"/>
      <c r="K15" s="2086"/>
      <c r="L15" s="2087"/>
      <c r="M15" s="2087"/>
      <c r="N15" s="2088"/>
      <c r="O15" s="2087"/>
      <c r="P15" s="2088"/>
      <c r="Q15" s="2032"/>
      <c r="R15" s="2032"/>
    </row>
    <row r="16" spans="1:19" ht="30.75" customHeight="1">
      <c r="A16" s="2069" t="s">
        <v>1800</v>
      </c>
      <c r="B16" s="3005"/>
      <c r="C16" s="3006"/>
      <c r="D16" s="3007"/>
      <c r="E16" s="2089" t="s">
        <v>1801</v>
      </c>
      <c r="F16" s="3008"/>
      <c r="G16" s="3009"/>
      <c r="H16" s="3009"/>
      <c r="I16" s="3010"/>
      <c r="J16" s="2032"/>
      <c r="K16" s="2086"/>
      <c r="L16" s="2087"/>
      <c r="M16" s="2087"/>
      <c r="N16" s="2088"/>
      <c r="O16" s="2087"/>
      <c r="P16" s="2088"/>
      <c r="Q16" s="2032"/>
      <c r="R16" s="2032"/>
    </row>
    <row r="17" spans="1:22" ht="18" customHeight="1">
      <c r="A17" s="2090" t="s">
        <v>1802</v>
      </c>
      <c r="B17" s="2038" t="s">
        <v>1803</v>
      </c>
      <c r="C17" s="1057">
        <f>'数据-汇总表'!E3</f>
        <v>57947.42</v>
      </c>
      <c r="D17" s="2091" t="s">
        <v>1804</v>
      </c>
      <c r="E17" s="3011" t="s">
        <v>1805</v>
      </c>
      <c r="F17" s="3012"/>
      <c r="G17" s="3012"/>
      <c r="H17" s="3012"/>
      <c r="I17" s="3013"/>
      <c r="J17" s="2032"/>
      <c r="K17" s="2092"/>
      <c r="L17" s="2087"/>
      <c r="M17" s="2087"/>
      <c r="N17" s="2088"/>
      <c r="O17" s="2087"/>
      <c r="P17" s="2088"/>
      <c r="Q17" s="2032"/>
      <c r="R17" s="2032"/>
      <c r="S17" s="2032"/>
      <c r="T17" s="2032"/>
      <c r="U17" s="2032"/>
      <c r="V17" s="2032"/>
    </row>
    <row r="18" spans="1:22" ht="36" customHeight="1" thickBot="1">
      <c r="A18" s="2093" t="s">
        <v>1806</v>
      </c>
      <c r="B18" s="2041" t="s">
        <v>1807</v>
      </c>
      <c r="C18" s="1447">
        <f>'数据-汇总表'!D3</f>
        <v>13537.24</v>
      </c>
      <c r="D18" s="2094" t="s">
        <v>1804</v>
      </c>
      <c r="E18" s="3014" t="s">
        <v>1808</v>
      </c>
      <c r="F18" s="3015"/>
      <c r="G18" s="3015"/>
      <c r="H18" s="3015"/>
      <c r="I18" s="3016"/>
      <c r="J18" s="2032"/>
      <c r="K18" s="2092"/>
      <c r="L18" s="2087"/>
      <c r="M18" s="2087"/>
      <c r="N18" s="2088"/>
      <c r="O18" s="2087"/>
      <c r="P18" s="2088"/>
      <c r="Q18" s="2032"/>
      <c r="R18" s="2032"/>
      <c r="S18" s="2032"/>
      <c r="T18" s="2032"/>
      <c r="U18" s="2032"/>
      <c r="V18" s="2032"/>
    </row>
    <row r="19" spans="1:22" ht="37.5" customHeight="1" thickTop="1" thickBot="1">
      <c r="A19" s="373" t="s">
        <v>1809</v>
      </c>
      <c r="B19" s="352" t="s">
        <v>1810</v>
      </c>
      <c r="C19" s="2095" t="s">
        <v>3058</v>
      </c>
      <c r="D19" s="2096" t="s">
        <v>1811</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1812</v>
      </c>
      <c r="B20" s="3001" t="s">
        <v>1813</v>
      </c>
      <c r="C20" s="3002"/>
      <c r="D20" s="3003" t="s">
        <v>1814</v>
      </c>
      <c r="E20" s="3004"/>
      <c r="F20" s="2101" t="s">
        <v>1815</v>
      </c>
      <c r="G20" s="2045"/>
      <c r="H20" s="2045"/>
      <c r="I20" s="2045"/>
      <c r="J20" s="2045"/>
      <c r="K20" s="3000" t="s">
        <v>1816</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1817</v>
      </c>
      <c r="C21" s="2103" t="s">
        <v>1818</v>
      </c>
      <c r="D21" s="2104" t="s">
        <v>1819</v>
      </c>
      <c r="E21" s="2105" t="s">
        <v>1818</v>
      </c>
      <c r="F21" s="2106"/>
      <c r="G21" s="2045"/>
      <c r="H21" s="2045"/>
      <c r="I21" s="2045"/>
      <c r="J21" s="2045"/>
      <c r="K21" s="300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8"/>
      <c r="O21" s="2087"/>
      <c r="P21" s="2088"/>
      <c r="Q21" s="2032"/>
      <c r="R21" s="2032"/>
      <c r="S21" s="2032"/>
      <c r="T21" s="2032"/>
      <c r="U21" s="2032"/>
      <c r="V21" s="2032"/>
    </row>
    <row r="22" spans="1:22" ht="24.75" customHeight="1" thickBot="1">
      <c r="A22" s="2100"/>
      <c r="B22" s="2107" t="s">
        <v>1820</v>
      </c>
      <c r="C22" s="2103" t="s">
        <v>1821</v>
      </c>
      <c r="D22" s="2029"/>
      <c r="E22" s="2029"/>
      <c r="F22" s="2108"/>
      <c r="G22" s="2045"/>
      <c r="H22" s="2045"/>
      <c r="I22" s="2045"/>
      <c r="J22" s="2045"/>
      <c r="K22" s="300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1822</v>
      </c>
      <c r="B23" s="183" t="s">
        <v>1823</v>
      </c>
      <c r="C23" s="2110"/>
      <c r="D23" s="2111" t="s">
        <v>1823</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1824</v>
      </c>
      <c r="C24" s="2115"/>
      <c r="D24" s="2109" t="s">
        <v>1824</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1825</v>
      </c>
      <c r="C25" s="2115"/>
      <c r="D25" s="2109" t="s">
        <v>1825</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1826</v>
      </c>
      <c r="C26" s="2119"/>
      <c r="D26" s="2120" t="s">
        <v>1827</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3018" t="s">
        <v>1828</v>
      </c>
      <c r="B27" s="2066" t="s">
        <v>1829</v>
      </c>
      <c r="C27" s="2123"/>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3018"/>
      <c r="B28" s="2038" t="s">
        <v>1830</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3018"/>
      <c r="B29" s="2038" t="s">
        <v>1831</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3019"/>
      <c r="B30" s="2038" t="s">
        <v>1832</v>
      </c>
      <c r="C30" s="3020"/>
      <c r="D30" s="3021"/>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22" t="s">
        <v>1833</v>
      </c>
      <c r="B31" s="2130" t="s">
        <v>3064</v>
      </c>
      <c r="C31" s="2131" t="str">
        <f>IF(B31="现房","成新及维护状况正常否",IF(B31="在建","工程状态是否正常",IF(B31="土地","是否闲置","-")))</f>
        <v>成新及维护状况正常否</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23"/>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23"/>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1834</v>
      </c>
      <c r="B34" s="2137" t="s">
        <v>3059</v>
      </c>
      <c r="C34" s="2137" t="s">
        <v>3060</v>
      </c>
      <c r="D34" s="2137" t="s">
        <v>3061</v>
      </c>
      <c r="E34" s="2137" t="s">
        <v>3062</v>
      </c>
      <c r="F34" s="2137" t="s">
        <v>3063</v>
      </c>
      <c r="G34" s="2137"/>
      <c r="H34" s="2137"/>
      <c r="I34" s="2045"/>
      <c r="J34" s="2045"/>
      <c r="K34" s="1798">
        <f>COUNTIF(B34:H34,"——")</f>
        <v>0</v>
      </c>
      <c r="L34" s="2078" t="s">
        <v>1835</v>
      </c>
      <c r="M34" s="2078" t="s">
        <v>1836</v>
      </c>
      <c r="N34" s="2078" t="s">
        <v>1837</v>
      </c>
      <c r="O34" s="2078" t="s">
        <v>1838</v>
      </c>
      <c r="P34" s="2078" t="s">
        <v>1839</v>
      </c>
      <c r="Q34" s="2078" t="s">
        <v>1840</v>
      </c>
      <c r="R34" s="2078" t="s">
        <v>1841</v>
      </c>
      <c r="S34" s="3017" t="s">
        <v>1842</v>
      </c>
      <c r="T34" s="2138" t="str">
        <f>NUMBERSTRING(7-K34,1)&amp;"通"</f>
        <v>七通</v>
      </c>
      <c r="U34" s="2032"/>
      <c r="V34" s="2032"/>
    </row>
    <row r="35" spans="1:22" ht="18" customHeight="1">
      <c r="A35" s="2139"/>
      <c r="B35" s="3024" t="s">
        <v>1843</v>
      </c>
      <c r="C35" s="3024"/>
      <c r="D35" s="3024"/>
      <c r="E35" s="3024"/>
      <c r="F35" s="2140">
        <f>C10</f>
        <v>0</v>
      </c>
      <c r="G35" s="2045"/>
      <c r="H35" s="2045"/>
      <c r="I35" s="2045"/>
      <c r="J35" s="2045"/>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17"/>
      <c r="T35" s="48" t="str">
        <f>IF(T34="一通",L35,IF(T34="二通",M35,IF(T34="三通",N35,IF(T34="四通",O35,IF(T34="五通",P35,IF(T34="六通",Q35,R35))))))</f>
        <v>通路、通电、通讯、通上水、通下水、、</v>
      </c>
      <c r="U35" s="2032"/>
      <c r="V35" s="2032"/>
    </row>
    <row r="36" spans="1:22" ht="18" customHeight="1">
      <c r="A36" s="2141"/>
      <c r="B36" s="2140" t="s">
        <v>1844</v>
      </c>
      <c r="C36" s="2140" t="s">
        <v>1845</v>
      </c>
      <c r="D36" s="2140" t="s">
        <v>1846</v>
      </c>
      <c r="E36" s="2140" t="s">
        <v>1847</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1848</v>
      </c>
      <c r="B37" s="2144"/>
      <c r="C37" s="2144"/>
      <c r="D37" s="2144" t="s">
        <v>523</v>
      </c>
      <c r="E37" s="2144" t="s">
        <v>523</v>
      </c>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1849</v>
      </c>
      <c r="B38" s="2146"/>
      <c r="C38" s="2146"/>
      <c r="D38" s="2146" t="s">
        <v>284</v>
      </c>
      <c r="E38" s="2146" t="s">
        <v>284</v>
      </c>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1850</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1851</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1852</v>
      </c>
      <c r="B42" s="1798" t="s">
        <v>1853</v>
      </c>
      <c r="C42" s="1798" t="s">
        <v>1854</v>
      </c>
      <c r="D42" s="1798" t="s">
        <v>1855</v>
      </c>
      <c r="E42" s="1798" t="s">
        <v>1856</v>
      </c>
      <c r="F42" s="1798" t="s">
        <v>1857</v>
      </c>
      <c r="G42" s="1798" t="s">
        <v>1858</v>
      </c>
      <c r="H42" s="1798" t="s">
        <v>1859</v>
      </c>
      <c r="I42" s="1798" t="s">
        <v>1860</v>
      </c>
      <c r="J42" s="2156" t="s">
        <v>1861</v>
      </c>
      <c r="K42" s="2079" t="s">
        <v>1862</v>
      </c>
      <c r="L42" s="2079" t="s">
        <v>1863</v>
      </c>
      <c r="M42" s="2079" t="s">
        <v>1864</v>
      </c>
      <c r="N42" s="1798" t="s">
        <v>1865</v>
      </c>
      <c r="O42" s="1798" t="s">
        <v>1866</v>
      </c>
      <c r="P42" s="1798" t="s">
        <v>1867</v>
      </c>
      <c r="Q42" s="2078" t="s">
        <v>1868</v>
      </c>
      <c r="R42" s="2078" t="s">
        <v>1869</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H20" sqref="H20"/>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2" width="9.5" style="2163" customWidth="1"/>
    <col min="13" max="14" width="9.5" style="2163" hidden="1" customWidth="1"/>
    <col min="15" max="15" width="9.875" style="2163" hidden="1" customWidth="1"/>
    <col min="16" max="16" width="9.75" style="2163" hidden="1" customWidth="1"/>
    <col min="17" max="17" width="9.375" style="2163" hidden="1" customWidth="1"/>
    <col min="18" max="18" width="9.25" style="2163" hidden="1" customWidth="1"/>
    <col min="19" max="19" width="10.875" style="2163" hidden="1" customWidth="1"/>
    <col min="20" max="21" width="10.75" style="2163" hidden="1" customWidth="1"/>
    <col min="22" max="22" width="10.875" style="2163" hidden="1" customWidth="1"/>
    <col min="23" max="27" width="10.75" style="2163" hidden="1" customWidth="1"/>
    <col min="28" max="28" width="10.875" style="2163" hidden="1"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1870</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1871</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1872</v>
      </c>
      <c r="B2" s="11" t="s">
        <v>1873</v>
      </c>
      <c r="C2" s="11" t="s">
        <v>1874</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1875</v>
      </c>
      <c r="AZ2" s="1273" t="s">
        <v>1876</v>
      </c>
      <c r="BA2" s="11" t="s">
        <v>1877</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v>13537.24</v>
      </c>
      <c r="B3" s="14">
        <f>IF(C3="否",G5-AT5,G5)</f>
        <v>57947.42</v>
      </c>
      <c r="C3" s="2172" t="s">
        <v>3058</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1878</v>
      </c>
      <c r="B5" s="1806"/>
      <c r="C5" s="1806"/>
      <c r="D5" s="1809"/>
      <c r="E5" s="16" t="s">
        <v>1</v>
      </c>
      <c r="F5" s="16">
        <f>SUM(F13:F587)</f>
        <v>0</v>
      </c>
      <c r="G5" s="16">
        <f>SUM(G13:G587)</f>
        <v>62034.84</v>
      </c>
      <c r="H5" s="16">
        <f t="shared" ref="H5:AT5" si="0">SUM(H13:H656)</f>
        <v>57679.67</v>
      </c>
      <c r="I5" s="16">
        <f t="shared" si="0"/>
        <v>43834.770000000004</v>
      </c>
      <c r="J5" s="16">
        <f t="shared" si="0"/>
        <v>0</v>
      </c>
      <c r="K5" s="16">
        <f t="shared" si="0"/>
        <v>13844.9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267.75</v>
      </c>
      <c r="AD5" s="16">
        <f t="shared" si="0"/>
        <v>0</v>
      </c>
      <c r="AE5" s="16">
        <f t="shared" si="0"/>
        <v>0</v>
      </c>
      <c r="AF5" s="16">
        <f t="shared" si="0"/>
        <v>0</v>
      </c>
      <c r="AG5" s="16">
        <f t="shared" si="0"/>
        <v>0</v>
      </c>
      <c r="AH5" s="16">
        <f t="shared" si="0"/>
        <v>0</v>
      </c>
      <c r="AI5" s="16">
        <f t="shared" si="0"/>
        <v>0</v>
      </c>
      <c r="AJ5" s="16">
        <f t="shared" si="0"/>
        <v>0</v>
      </c>
      <c r="AK5" s="16">
        <f t="shared" si="0"/>
        <v>0</v>
      </c>
      <c r="AL5" s="16">
        <f t="shared" si="0"/>
        <v>267.75</v>
      </c>
      <c r="AM5" s="16">
        <f t="shared" si="0"/>
        <v>0</v>
      </c>
      <c r="AN5" s="16">
        <f t="shared" si="0"/>
        <v>0</v>
      </c>
      <c r="AO5" s="16">
        <f t="shared" si="0"/>
        <v>0</v>
      </c>
      <c r="AP5" s="16">
        <f t="shared" si="0"/>
        <v>0</v>
      </c>
      <c r="AQ5" s="16">
        <f t="shared" si="0"/>
        <v>0</v>
      </c>
      <c r="AR5" s="16">
        <f t="shared" si="0"/>
        <v>0</v>
      </c>
      <c r="AS5" s="16">
        <f t="shared" si="0"/>
        <v>0</v>
      </c>
      <c r="AT5" s="16">
        <f t="shared" si="0"/>
        <v>4087.4199999999996</v>
      </c>
      <c r="AU5" s="1805"/>
      <c r="AV5" s="15" t="s">
        <v>1878</v>
      </c>
      <c r="AW5" s="1806"/>
      <c r="AX5" s="1806"/>
      <c r="AY5" s="17" t="s">
        <v>3</v>
      </c>
      <c r="AZ5" s="18">
        <f t="shared" ref="AZ5:BT5" si="1">SUM(AZ13:AZ656)</f>
        <v>57947.42</v>
      </c>
      <c r="BA5" s="18">
        <f t="shared" si="1"/>
        <v>57679.67</v>
      </c>
      <c r="BB5" s="18">
        <f t="shared" si="1"/>
        <v>43834.770000000004</v>
      </c>
      <c r="BC5" s="18">
        <f t="shared" si="1"/>
        <v>13844.9</v>
      </c>
      <c r="BD5" s="18">
        <f t="shared" si="1"/>
        <v>0</v>
      </c>
      <c r="BE5" s="18">
        <f t="shared" si="1"/>
        <v>0</v>
      </c>
      <c r="BF5" s="18">
        <f t="shared" si="1"/>
        <v>0</v>
      </c>
      <c r="BG5" s="18">
        <f t="shared" si="1"/>
        <v>0</v>
      </c>
      <c r="BH5" s="18">
        <f t="shared" si="1"/>
        <v>0</v>
      </c>
      <c r="BI5" s="18">
        <f t="shared" si="1"/>
        <v>0</v>
      </c>
      <c r="BJ5" s="18">
        <f t="shared" si="1"/>
        <v>0</v>
      </c>
      <c r="BK5" s="18">
        <f t="shared" si="1"/>
        <v>0</v>
      </c>
      <c r="BL5" s="18">
        <f t="shared" si="1"/>
        <v>267.75</v>
      </c>
      <c r="BM5" s="18">
        <f t="shared" si="1"/>
        <v>0</v>
      </c>
      <c r="BN5" s="18">
        <f t="shared" si="1"/>
        <v>0</v>
      </c>
      <c r="BO5" s="18">
        <f t="shared" si="1"/>
        <v>0</v>
      </c>
      <c r="BP5" s="18">
        <f t="shared" si="1"/>
        <v>0</v>
      </c>
      <c r="BQ5" s="18">
        <f t="shared" si="1"/>
        <v>267.75</v>
      </c>
      <c r="BR5" s="18">
        <f t="shared" si="1"/>
        <v>0</v>
      </c>
      <c r="BS5" s="18">
        <f t="shared" si="1"/>
        <v>0</v>
      </c>
      <c r="BT5" s="19">
        <f t="shared" si="1"/>
        <v>0</v>
      </c>
    </row>
    <row r="6" spans="1:72" s="2181" customFormat="1" ht="12.75">
      <c r="A6" s="15" t="s">
        <v>1879</v>
      </c>
      <c r="B6" s="2178"/>
      <c r="C6" s="2178"/>
      <c r="D6" s="2179"/>
      <c r="E6" s="16">
        <f>H6+AC6+AT6</f>
        <v>13537.24</v>
      </c>
      <c r="F6" s="16" t="s">
        <v>1</v>
      </c>
      <c r="G6" s="16" t="s">
        <v>2</v>
      </c>
      <c r="H6" s="20">
        <f>SUMIF(I$12:AB$12,"总值",I6:AB6)</f>
        <v>13474.69</v>
      </c>
      <c r="I6" s="16">
        <f t="shared" ref="I6:AB6" si="2">ROUND($A$3*I5/$B$3,2)</f>
        <v>10240.35</v>
      </c>
      <c r="J6" s="16">
        <f t="shared" si="2"/>
        <v>0</v>
      </c>
      <c r="K6" s="16">
        <f t="shared" si="2"/>
        <v>3234.34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62.55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62.55</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1879</v>
      </c>
      <c r="AW6" s="2178"/>
      <c r="AX6" s="2178"/>
      <c r="AY6" s="21">
        <f>IF(AY3&gt;0,AY3,ROUND($A$3*AZ5/$B$3,2))</f>
        <v>13537.24</v>
      </c>
      <c r="AZ6" s="16" t="s">
        <v>3</v>
      </c>
      <c r="BA6" s="16">
        <f>ROUND($AY$6*BA5/$AZ$5,2)</f>
        <v>13474.69</v>
      </c>
      <c r="BB6" s="16">
        <f>ROUND($AY$6*BB5/$AZ$5,2)</f>
        <v>10240.35</v>
      </c>
      <c r="BC6" s="16">
        <f t="shared" ref="BC6:BH6" si="4">ROUND($AY$6*BC5/$AZ$5,2)</f>
        <v>3234.34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62.55</v>
      </c>
      <c r="BM6" s="16">
        <f t="shared" si="5"/>
        <v>0</v>
      </c>
      <c r="BN6" s="16">
        <f t="shared" si="5"/>
        <v>0</v>
      </c>
      <c r="BO6" s="16">
        <f t="shared" si="5"/>
        <v>0</v>
      </c>
      <c r="BP6" s="16">
        <f t="shared" si="5"/>
        <v>0</v>
      </c>
      <c r="BQ6" s="16">
        <f t="shared" si="5"/>
        <v>62.55</v>
      </c>
      <c r="BR6" s="16">
        <f t="shared" si="5"/>
        <v>0</v>
      </c>
      <c r="BS6" s="16">
        <f t="shared" si="5"/>
        <v>0</v>
      </c>
      <c r="BT6" s="22">
        <f t="shared" si="5"/>
        <v>0</v>
      </c>
    </row>
    <row r="7" spans="1:72" s="2171" customFormat="1" ht="24.75">
      <c r="A7" s="2113" t="s">
        <v>1880</v>
      </c>
      <c r="B7" s="2113" t="s">
        <v>1881</v>
      </c>
      <c r="C7" s="2113" t="s">
        <v>1882</v>
      </c>
      <c r="D7" s="2113" t="s">
        <v>1883</v>
      </c>
      <c r="E7" s="2113" t="s">
        <v>1884</v>
      </c>
      <c r="F7" s="2113" t="s">
        <v>1885</v>
      </c>
      <c r="G7" s="2182" t="s">
        <v>1886</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1887</v>
      </c>
      <c r="AV7" s="23" t="s">
        <v>1888</v>
      </c>
      <c r="AW7" s="2170" t="s">
        <v>1889</v>
      </c>
      <c r="AX7" s="23" t="s">
        <v>1882</v>
      </c>
      <c r="AY7" s="1806" t="s">
        <v>1890</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1891</v>
      </c>
      <c r="H8" s="2188" t="s">
        <v>1892</v>
      </c>
      <c r="I8" s="2189"/>
      <c r="J8" s="1821"/>
      <c r="K8" s="1821"/>
      <c r="L8" s="1821"/>
      <c r="M8" s="1821"/>
      <c r="N8" s="1821"/>
      <c r="O8" s="1821"/>
      <c r="P8" s="1821"/>
      <c r="Q8" s="1821"/>
      <c r="R8" s="1821"/>
      <c r="S8" s="1821"/>
      <c r="T8" s="1821"/>
      <c r="U8" s="1821"/>
      <c r="V8" s="2190"/>
      <c r="W8" s="1821"/>
      <c r="X8" s="1821"/>
      <c r="Y8" s="1821"/>
      <c r="Z8" s="1821"/>
      <c r="AA8" s="2190"/>
      <c r="AB8" s="2191"/>
      <c r="AC8" s="984" t="s">
        <v>1893</v>
      </c>
      <c r="AD8" s="2192"/>
      <c r="AE8" s="2184"/>
      <c r="AF8" s="1821"/>
      <c r="AG8" s="1821"/>
      <c r="AH8" s="1821"/>
      <c r="AI8" s="1821"/>
      <c r="AJ8" s="1821"/>
      <c r="AK8" s="1821"/>
      <c r="AL8" s="1821"/>
      <c r="AM8" s="1821"/>
      <c r="AN8" s="1821"/>
      <c r="AO8" s="1821"/>
      <c r="AP8" s="1821"/>
      <c r="AQ8" s="1821"/>
      <c r="AR8" s="1821"/>
      <c r="AS8" s="1821"/>
      <c r="AT8" s="1295" t="s">
        <v>1894</v>
      </c>
      <c r="AU8" s="2186" t="s">
        <v>1895</v>
      </c>
      <c r="AV8" s="1295"/>
      <c r="AW8" s="2169"/>
      <c r="AX8" s="1295"/>
      <c r="AY8" s="2170" t="s">
        <v>1896</v>
      </c>
      <c r="AZ8" s="1820" t="s">
        <v>1897</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1898</v>
      </c>
      <c r="I9" s="2195" t="s">
        <v>3069</v>
      </c>
      <c r="J9" s="984"/>
      <c r="K9" s="2195" t="s">
        <v>3081</v>
      </c>
      <c r="L9" s="984"/>
      <c r="M9" s="2195"/>
      <c r="N9" s="984"/>
      <c r="O9" s="2195"/>
      <c r="P9" s="984"/>
      <c r="Q9" s="2195"/>
      <c r="R9" s="984"/>
      <c r="S9" s="2195"/>
      <c r="T9" s="984"/>
      <c r="U9" s="2195"/>
      <c r="V9" s="984"/>
      <c r="W9" s="2195"/>
      <c r="X9" s="2196"/>
      <c r="Y9" s="2195"/>
      <c r="Z9" s="984"/>
      <c r="AA9" s="2195"/>
      <c r="AB9" s="984"/>
      <c r="AC9" s="2187"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7"/>
      <c r="AT9" s="2186"/>
      <c r="AU9" s="2186" t="s">
        <v>1901</v>
      </c>
      <c r="AV9" s="1295"/>
      <c r="AW9" s="2169"/>
      <c r="AX9" s="1295"/>
      <c r="AY9" s="28"/>
      <c r="AZ9" s="28" t="s">
        <v>1891</v>
      </c>
      <c r="BA9" s="2198" t="s">
        <v>1902</v>
      </c>
      <c r="BB9" s="2199"/>
      <c r="BC9" s="1341"/>
      <c r="BD9" s="1341"/>
      <c r="BE9" s="1341"/>
      <c r="BF9" s="1341"/>
      <c r="BG9" s="1341"/>
      <c r="BH9" s="1341"/>
      <c r="BI9" s="1341"/>
      <c r="BJ9" s="1341"/>
      <c r="BK9" s="2200"/>
      <c r="BL9" s="15" t="s">
        <v>1903</v>
      </c>
      <c r="BM9" s="1821"/>
      <c r="BN9" s="2189"/>
      <c r="BO9" s="1821"/>
      <c r="BP9" s="1821"/>
      <c r="BQ9" s="1821"/>
      <c r="BR9" s="1821"/>
      <c r="BS9" s="1821"/>
      <c r="BT9" s="26"/>
    </row>
    <row r="10" spans="1:72" s="2193" customFormat="1" ht="12.75">
      <c r="A10" s="2186"/>
      <c r="B10" s="2186"/>
      <c r="C10" s="2186"/>
      <c r="D10" s="2186"/>
      <c r="E10" s="2186"/>
      <c r="F10" s="2186"/>
      <c r="G10" s="1295"/>
      <c r="H10" s="28"/>
      <c r="I10" s="2195" t="s">
        <v>6</v>
      </c>
      <c r="J10" s="984"/>
      <c r="K10" s="2201" t="s">
        <v>3082</v>
      </c>
      <c r="L10" s="984"/>
      <c r="M10" s="2201"/>
      <c r="N10" s="984"/>
      <c r="O10" s="2201"/>
      <c r="P10" s="984"/>
      <c r="Q10" s="2201"/>
      <c r="R10" s="984"/>
      <c r="S10" s="2201"/>
      <c r="T10" s="984"/>
      <c r="U10" s="2201"/>
      <c r="V10" s="984"/>
      <c r="W10" s="2201"/>
      <c r="X10" s="984"/>
      <c r="Y10" s="2201"/>
      <c r="Z10" s="984"/>
      <c r="AA10" s="2201"/>
      <c r="AB10" s="984"/>
      <c r="AC10" s="1295"/>
      <c r="AD10" s="15" t="s">
        <v>1904</v>
      </c>
      <c r="AE10" s="2202"/>
      <c r="AF10" s="15" t="s">
        <v>1904</v>
      </c>
      <c r="AG10" s="2202"/>
      <c r="AH10" s="15" t="s">
        <v>1905</v>
      </c>
      <c r="AI10" s="2202"/>
      <c r="AJ10" s="15" t="s">
        <v>1905</v>
      </c>
      <c r="AK10" s="2202"/>
      <c r="AL10" s="15" t="s">
        <v>1906</v>
      </c>
      <c r="AM10" s="1301"/>
      <c r="AN10" s="15" t="s">
        <v>1906</v>
      </c>
      <c r="AO10" s="1301"/>
      <c r="AP10" s="15" t="s">
        <v>1907</v>
      </c>
      <c r="AQ10" s="1301"/>
      <c r="AR10" s="15" t="s">
        <v>1907</v>
      </c>
      <c r="AS10" s="1301"/>
      <c r="AT10" s="2186"/>
      <c r="AU10" s="2186"/>
      <c r="AV10" s="1295"/>
      <c r="AW10" s="2169"/>
      <c r="AX10" s="1295"/>
      <c r="AY10" s="28"/>
      <c r="AZ10" s="28"/>
      <c r="BA10" s="2203" t="s">
        <v>1898</v>
      </c>
      <c r="BB10" s="2204" t="str">
        <f>I9</f>
        <v>地上</v>
      </c>
      <c r="BC10" s="29" t="str">
        <f>K9</f>
        <v>地下</v>
      </c>
      <c r="BD10" s="29">
        <f>M9</f>
        <v>0</v>
      </c>
      <c r="BE10" s="29">
        <f>O9</f>
        <v>0</v>
      </c>
      <c r="BF10" s="29">
        <f>Q9</f>
        <v>0</v>
      </c>
      <c r="BG10" s="29">
        <f>S9</f>
        <v>0</v>
      </c>
      <c r="BH10" s="29">
        <f>U9</f>
        <v>0</v>
      </c>
      <c r="BI10" s="29">
        <f>W9</f>
        <v>0</v>
      </c>
      <c r="BJ10" s="29">
        <f>Y9</f>
        <v>0</v>
      </c>
      <c r="BK10" s="29">
        <f>AA9</f>
        <v>0</v>
      </c>
      <c r="BL10" s="25" t="s">
        <v>1898</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t="s">
        <v>3070</v>
      </c>
      <c r="J11" s="2207"/>
      <c r="K11" s="2206" t="s">
        <v>3082</v>
      </c>
      <c r="L11" s="2207"/>
      <c r="M11" s="2206"/>
      <c r="N11" s="2207"/>
      <c r="O11" s="2206"/>
      <c r="P11" s="2207"/>
      <c r="Q11" s="2206"/>
      <c r="R11" s="2207"/>
      <c r="S11" s="2206"/>
      <c r="T11" s="2207"/>
      <c r="U11" s="2206"/>
      <c r="V11" s="2207"/>
      <c r="W11" s="2206"/>
      <c r="X11" s="2207"/>
      <c r="Y11" s="2206"/>
      <c r="Z11" s="2207"/>
      <c r="AA11" s="2206"/>
      <c r="AB11" s="2207"/>
      <c r="AC11" s="1295"/>
      <c r="AD11" s="2208" t="s">
        <v>1908</v>
      </c>
      <c r="AE11" s="1822"/>
      <c r="AF11" s="2208" t="s">
        <v>1908</v>
      </c>
      <c r="AG11" s="1822"/>
      <c r="AH11" s="2208" t="s">
        <v>1909</v>
      </c>
      <c r="AI11" s="2209"/>
      <c r="AJ11" s="2208" t="s">
        <v>1909</v>
      </c>
      <c r="AK11" s="1822"/>
      <c r="AL11" s="1820"/>
      <c r="AM11" s="1822"/>
      <c r="AN11" s="1820"/>
      <c r="AO11" s="1822"/>
      <c r="AP11" s="1820"/>
      <c r="AQ11" s="1822"/>
      <c r="AR11" s="1820"/>
      <c r="AS11" s="1822"/>
      <c r="AT11" s="2169"/>
      <c r="AU11" s="2186"/>
      <c r="AV11" s="1295"/>
      <c r="AW11" s="2169"/>
      <c r="AX11" s="1295"/>
      <c r="AY11" s="28"/>
      <c r="AZ11" s="28"/>
      <c r="BA11" s="28"/>
      <c r="BB11" s="2191" t="str">
        <f>I10</f>
        <v>工业</v>
      </c>
      <c r="BC11" s="2191" t="str">
        <f>K10</f>
        <v>车库</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5" t="s">
        <v>1911</v>
      </c>
      <c r="W12" s="11" t="s">
        <v>1910</v>
      </c>
      <c r="X12" s="11" t="s">
        <v>1911</v>
      </c>
      <c r="Y12" s="11" t="s">
        <v>1910</v>
      </c>
      <c r="Z12" s="11" t="s">
        <v>1911</v>
      </c>
      <c r="AA12" s="11" t="s">
        <v>1910</v>
      </c>
      <c r="AB12" s="11" t="s">
        <v>1911</v>
      </c>
      <c r="AC12" s="2213"/>
      <c r="AD12" s="1809"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11" t="s">
        <v>1911</v>
      </c>
      <c r="AT12" s="2214"/>
      <c r="AU12" s="2211"/>
      <c r="AV12" s="31"/>
      <c r="AW12" s="2170"/>
      <c r="AX12" s="31"/>
      <c r="AY12" s="2215"/>
      <c r="AZ12" s="28"/>
      <c r="BA12" s="2203"/>
      <c r="BB12" s="24" t="str">
        <f>I11</f>
        <v>办公楼</v>
      </c>
      <c r="BC12" s="2216" t="str">
        <f>K11</f>
        <v>车库</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t="s">
        <v>3065</v>
      </c>
      <c r="D13" s="2217" t="s">
        <v>3068</v>
      </c>
      <c r="E13" s="16">
        <f>IF($C$3="是",ROUND($A$3*G13/$B$3,2),ROUND($A$3*(G13-AT13)/$B$3,2))</f>
        <v>7749.88</v>
      </c>
      <c r="F13" s="32"/>
      <c r="G13" s="33">
        <f>H13+AC13+AT13</f>
        <v>33182.019999999997</v>
      </c>
      <c r="H13" s="20">
        <f>SUMIF(I$12:AB$12,"总值",I13:AB13)</f>
        <v>33174.07</v>
      </c>
      <c r="I13" s="2218">
        <f>33182.02-AT13</f>
        <v>33174.07</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v>7.95</v>
      </c>
      <c r="AU13" s="2221"/>
      <c r="AV13" s="11">
        <f t="shared" ref="AV13:AX17" si="6">A13</f>
        <v>0</v>
      </c>
      <c r="AW13" s="11">
        <f t="shared" si="6"/>
        <v>0</v>
      </c>
      <c r="AX13" s="11" t="str">
        <f t="shared" si="6"/>
        <v>1号楼</v>
      </c>
      <c r="AY13" s="1809">
        <f>ROUND($AY$6*AZ13/$AZ$5,2)</f>
        <v>7749.88</v>
      </c>
      <c r="AZ13" s="16">
        <f>BA13+BL13</f>
        <v>33174.07</v>
      </c>
      <c r="BA13" s="16">
        <f>SUM(BB13:BK13)</f>
        <v>33174.07</v>
      </c>
      <c r="BB13" s="16">
        <f>IF($D13="是",I13-J13,0)</f>
        <v>33174.07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1275" t="s">
        <v>3066</v>
      </c>
      <c r="D14" s="2217" t="s">
        <v>3068</v>
      </c>
      <c r="E14" s="16">
        <f>IF($C$3="是",ROUND($A$3*G14/$B$3,2),ROUND($A$3*(G14-AT14)/$B$3,2))</f>
        <v>5779.21</v>
      </c>
      <c r="F14" s="32"/>
      <c r="G14" s="33">
        <f>H14+AC14+AT14</f>
        <v>28817.91</v>
      </c>
      <c r="H14" s="20">
        <f>SUMIF(I$12:AB$12,"总值",I14:AB14)</f>
        <v>24505.599999999999</v>
      </c>
      <c r="I14" s="2218">
        <v>10660.7</v>
      </c>
      <c r="J14" s="2218"/>
      <c r="K14" s="2218">
        <v>13844.9</v>
      </c>
      <c r="L14" s="2218"/>
      <c r="M14" s="2218"/>
      <c r="N14" s="2218"/>
      <c r="O14" s="2218"/>
      <c r="P14" s="2218"/>
      <c r="Q14" s="2218"/>
      <c r="R14" s="2218"/>
      <c r="S14" s="2218"/>
      <c r="T14" s="2218"/>
      <c r="U14" s="2218"/>
      <c r="V14" s="2218"/>
      <c r="W14" s="2218"/>
      <c r="X14" s="2218"/>
      <c r="Y14" s="2218"/>
      <c r="Z14" s="2218"/>
      <c r="AA14" s="2218"/>
      <c r="AB14" s="2218"/>
      <c r="AC14" s="16">
        <f>SUMIF(AD$12:AS$12,"总值",AD14:AS14)</f>
        <v>232.84</v>
      </c>
      <c r="AD14" s="2219"/>
      <c r="AE14" s="2219"/>
      <c r="AF14" s="2219"/>
      <c r="AG14" s="2219"/>
      <c r="AH14" s="2219"/>
      <c r="AI14" s="2219"/>
      <c r="AJ14" s="2219"/>
      <c r="AK14" s="2219"/>
      <c r="AL14" s="2219">
        <v>232.84</v>
      </c>
      <c r="AM14" s="2219"/>
      <c r="AN14" s="2219"/>
      <c r="AO14" s="2219"/>
      <c r="AP14" s="2219"/>
      <c r="AQ14" s="2219"/>
      <c r="AR14" s="2219"/>
      <c r="AS14" s="2219"/>
      <c r="AT14" s="2220">
        <v>4079.47</v>
      </c>
      <c r="AU14" s="2221"/>
      <c r="AV14" s="11">
        <f t="shared" si="6"/>
        <v>0</v>
      </c>
      <c r="AW14" s="11">
        <f t="shared" si="6"/>
        <v>0</v>
      </c>
      <c r="AX14" s="11" t="str">
        <f t="shared" si="6"/>
        <v>2号楼</v>
      </c>
      <c r="AY14" s="1809">
        <f>ROUND($AY$6*AZ14/$AZ$5,2)</f>
        <v>5779.21</v>
      </c>
      <c r="AZ14" s="16">
        <f>BA14+BL14</f>
        <v>24738.44</v>
      </c>
      <c r="BA14" s="16">
        <f>SUM(BB14:BK14)</f>
        <v>24505.599999999999</v>
      </c>
      <c r="BB14" s="16">
        <f>IF($D14="是",I14-J14,0)</f>
        <v>10660.7</v>
      </c>
      <c r="BC14" s="16">
        <f>IF($D14="是",K14-L14,0)</f>
        <v>13844.9</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232.84</v>
      </c>
      <c r="BM14" s="16">
        <f>IF($D14="是",AD14-AE14,0)</f>
        <v>0</v>
      </c>
      <c r="BN14" s="16">
        <f>IF($D14="是",AF14-AG14,0)</f>
        <v>0</v>
      </c>
      <c r="BO14" s="16">
        <f>IF($D14="是",AH14-AI14,0)</f>
        <v>0</v>
      </c>
      <c r="BP14" s="16">
        <f>IF($D14="是",AJ14-AK14,0)</f>
        <v>0</v>
      </c>
      <c r="BQ14" s="16">
        <f>IF($D14="是",AL14-AM14,0)</f>
        <v>232.84</v>
      </c>
      <c r="BR14" s="16">
        <f>IF($D14="是",AN14-AO14,0)</f>
        <v>0</v>
      </c>
      <c r="BS14" s="16">
        <f>IF($D14="是",AP14-AQ14,0)</f>
        <v>0</v>
      </c>
      <c r="BT14" s="22">
        <f>IF($D14="是",AR14-AS14,0)</f>
        <v>0</v>
      </c>
    </row>
    <row r="15" spans="1:72" s="2171" customFormat="1" ht="12.75">
      <c r="A15" s="1275"/>
      <c r="B15" s="1275"/>
      <c r="C15" s="2949" t="s">
        <v>3067</v>
      </c>
      <c r="D15" s="2217" t="s">
        <v>3068</v>
      </c>
      <c r="E15" s="16">
        <f>IF($C$3="是",ROUND($A$3*G15/$B$3,2),ROUND($A$3*(G15-AT15)/$B$3,2))</f>
        <v>8.16</v>
      </c>
      <c r="F15" s="32"/>
      <c r="G15" s="33">
        <f>H15+AC15+AT15</f>
        <v>34.909999999999997</v>
      </c>
      <c r="H15" s="20">
        <f>SUMIF(I$12:AB$12,"总值",I15:AB15)</f>
        <v>0</v>
      </c>
      <c r="I15" s="2218"/>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34.909999999999997</v>
      </c>
      <c r="AD15" s="2219"/>
      <c r="AE15" s="2219"/>
      <c r="AF15" s="2219"/>
      <c r="AG15" s="2219"/>
      <c r="AH15" s="2219"/>
      <c r="AI15" s="2219"/>
      <c r="AJ15" s="2219"/>
      <c r="AK15" s="2219"/>
      <c r="AL15" s="2219">
        <v>34.909999999999997</v>
      </c>
      <c r="AM15" s="2219"/>
      <c r="AN15" s="2219"/>
      <c r="AO15" s="2219"/>
      <c r="AP15" s="2219"/>
      <c r="AQ15" s="2219"/>
      <c r="AR15" s="2219"/>
      <c r="AS15" s="2219"/>
      <c r="AT15" s="2220"/>
      <c r="AU15" s="2221"/>
      <c r="AV15" s="11">
        <f t="shared" si="6"/>
        <v>0</v>
      </c>
      <c r="AW15" s="11">
        <f t="shared" si="6"/>
        <v>0</v>
      </c>
      <c r="AX15" s="11" t="str">
        <f t="shared" si="6"/>
        <v>高压分界室</v>
      </c>
      <c r="AY15" s="1809">
        <f>ROUND($AY$6*AZ15/$AZ$5,2)</f>
        <v>8.16</v>
      </c>
      <c r="AZ15" s="16">
        <f>BA15+BL15</f>
        <v>34.909999999999997</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34.909999999999997</v>
      </c>
      <c r="BM15" s="16">
        <f>IF($D15="是",AD15-AE15,0)</f>
        <v>0</v>
      </c>
      <c r="BN15" s="16">
        <f>IF($D15="是",AF15-AG15,0)</f>
        <v>0</v>
      </c>
      <c r="BO15" s="16">
        <f>IF($D15="是",AH15-AI15,0)</f>
        <v>0</v>
      </c>
      <c r="BP15" s="16">
        <f>IF($D15="是",AJ15-AK15,0)</f>
        <v>0</v>
      </c>
      <c r="BQ15" s="16">
        <f>IF($D15="是",AL15-AM15,0)</f>
        <v>34.909999999999997</v>
      </c>
      <c r="BR15" s="16">
        <f>IF($D15="是",AN15-AO15,0)</f>
        <v>0</v>
      </c>
      <c r="BS15" s="16">
        <f>IF($D15="是",AP15-AQ15,0)</f>
        <v>0</v>
      </c>
      <c r="BT15" s="22">
        <f>IF($D15="是",AR15-AS15,0)</f>
        <v>0</v>
      </c>
    </row>
    <row r="16" spans="1:72" s="2171" customFormat="1" ht="12.75">
      <c r="A16" s="1275"/>
      <c r="B16" s="1275"/>
      <c r="C16" s="2157"/>
      <c r="D16" s="2217"/>
      <c r="E16" s="16">
        <f>IF($C$3="是",ROUND($A$3*G16/$B$3,2),ROUND($A$3*(G16-AT16)/$B$3,2))</f>
        <v>0</v>
      </c>
      <c r="F16" s="32"/>
      <c r="G16" s="33">
        <f>H16+AC16+AT16</f>
        <v>0</v>
      </c>
      <c r="H16" s="20">
        <f>SUMIF(I$12:AB$12,"总值",I16:AB16)</f>
        <v>0</v>
      </c>
      <c r="I16" s="2218"/>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2157"/>
      <c r="D17" s="2217"/>
      <c r="E17" s="16">
        <f>IF($C$3="是",ROUND($A$3*G17/$B$3,2),ROUND($A$3*(G17-AT17)/$B$3,2))</f>
        <v>0</v>
      </c>
      <c r="F17" s="32"/>
      <c r="G17" s="33">
        <f>H17+AC17+AT17</f>
        <v>0</v>
      </c>
      <c r="H17" s="20">
        <f>SUMIF(I$12:AB$12,"总值",I17:AB17)</f>
        <v>0</v>
      </c>
      <c r="I17" s="2218"/>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5" t="s">
        <v>0</v>
      </c>
      <c r="B1" s="3025" t="s">
        <v>4</v>
      </c>
      <c r="C1" s="3025" t="s">
        <v>5</v>
      </c>
      <c r="D1" s="3026" t="s">
        <v>53</v>
      </c>
      <c r="E1" s="3026" t="s">
        <v>54</v>
      </c>
      <c r="F1" s="3026"/>
      <c r="G1" s="3026"/>
      <c r="H1" s="3026"/>
      <c r="I1" s="3026"/>
      <c r="J1" s="3026"/>
      <c r="K1" s="3026"/>
      <c r="L1" s="3026"/>
      <c r="M1" s="3026"/>
    </row>
    <row r="2" spans="1:13" ht="27" customHeight="1">
      <c r="A2" s="3025"/>
      <c r="B2" s="3025"/>
      <c r="C2" s="3025"/>
      <c r="D2" s="3026"/>
      <c r="E2" s="3026" t="s">
        <v>37</v>
      </c>
      <c r="F2" s="3026" t="s">
        <v>38</v>
      </c>
      <c r="G2" s="3026"/>
      <c r="H2" s="3026"/>
      <c r="I2" s="3026"/>
      <c r="J2" s="3026" t="s">
        <v>39</v>
      </c>
      <c r="K2" s="3026"/>
      <c r="L2" s="3026"/>
      <c r="M2" s="3026"/>
    </row>
    <row r="3" spans="1:13" ht="28.5">
      <c r="A3" s="3025"/>
      <c r="B3" s="3025"/>
      <c r="C3" s="3025"/>
      <c r="D3" s="3026"/>
      <c r="E3" s="302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6" t="s">
        <v>55</v>
      </c>
      <c r="B9" s="3026"/>
      <c r="C9" s="302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27" sqref="E27"/>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1937</v>
      </c>
      <c r="B1" s="1395"/>
      <c r="C1" s="1395"/>
      <c r="D1" s="1395"/>
      <c r="E1" s="1395"/>
      <c r="F1" s="1395"/>
      <c r="G1" s="1395"/>
      <c r="H1" s="1395"/>
      <c r="I1" s="1395"/>
      <c r="J1" s="1395"/>
      <c r="K1" s="1395"/>
      <c r="L1" s="1395"/>
      <c r="M1" s="1395"/>
      <c r="N1" s="1395"/>
      <c r="O1" s="1395"/>
      <c r="P1" s="1395"/>
    </row>
    <row r="2" spans="1:16" ht="15">
      <c r="A2" s="3036" t="s">
        <v>1938</v>
      </c>
      <c r="B2" s="3036"/>
      <c r="C2" s="3036"/>
      <c r="D2" s="970" t="s">
        <v>1914</v>
      </c>
      <c r="E2" s="2231" t="s">
        <v>1915</v>
      </c>
      <c r="F2" s="1395"/>
      <c r="G2" s="2232"/>
      <c r="H2" s="2233"/>
      <c r="I2" s="2234" t="s">
        <v>1939</v>
      </c>
      <c r="J2" s="1395"/>
      <c r="K2" s="1395"/>
      <c r="L2" s="1395"/>
      <c r="M2" s="1395"/>
      <c r="N2" s="1430"/>
      <c r="O2" s="1395"/>
      <c r="P2" s="1395"/>
    </row>
    <row r="3" spans="1:16" ht="15.75" thickBot="1">
      <c r="A3" s="3037" t="s">
        <v>1912</v>
      </c>
      <c r="B3" s="3037"/>
      <c r="C3" s="3037"/>
      <c r="D3" s="46">
        <f>'数据-基础表'!AY6</f>
        <v>13537.24</v>
      </c>
      <c r="E3" s="46">
        <f>'数据-基础表'!AZ5</f>
        <v>57947.42</v>
      </c>
      <c r="F3" s="1395"/>
      <c r="G3" s="1402"/>
      <c r="H3" s="1250" t="s">
        <v>1913</v>
      </c>
      <c r="I3" s="55">
        <f>ROUND('数据-基础表'!B3/'数据-基础表'!A3,2)</f>
        <v>4.28</v>
      </c>
      <c r="J3" s="1395"/>
      <c r="K3" s="1395"/>
      <c r="L3" s="1395"/>
      <c r="M3" s="1395"/>
      <c r="N3" s="1430"/>
      <c r="O3" s="1395"/>
      <c r="P3" s="1395"/>
    </row>
    <row r="4" spans="1:16" ht="15">
      <c r="A4" s="3038"/>
      <c r="B4" s="3039"/>
      <c r="C4" s="3040"/>
      <c r="D4" s="2235" t="s">
        <v>1914</v>
      </c>
      <c r="E4" s="2236" t="s">
        <v>1915</v>
      </c>
      <c r="F4" s="1395"/>
      <c r="G4" s="2237" t="s">
        <v>1940</v>
      </c>
      <c r="H4" s="1250" t="s">
        <v>1920</v>
      </c>
      <c r="I4" s="55">
        <f>ROUND(SUMIF('数据-基础表'!I9:AS9,"地上",'数据-基础表'!I5:AS5)/'数据-基础表'!A3,2)</f>
        <v>3.26</v>
      </c>
      <c r="J4" s="1395"/>
      <c r="K4" s="1395"/>
      <c r="L4" s="1395"/>
      <c r="M4" s="1395"/>
      <c r="N4" s="1430"/>
      <c r="O4" s="1395"/>
      <c r="P4" s="1395"/>
    </row>
    <row r="5" spans="1:16">
      <c r="A5" s="47" t="s">
        <v>1916</v>
      </c>
      <c r="B5" s="3041" t="s">
        <v>1917</v>
      </c>
      <c r="C5" s="3041"/>
      <c r="D5" s="48">
        <f>ROUND($D$3*E5/$E$3,2)</f>
        <v>0</v>
      </c>
      <c r="E5" s="49">
        <f>SUMIF('数据-基础表'!$11:$11,"住宅",'数据-基础表'!$5:$5)</f>
        <v>0</v>
      </c>
      <c r="F5" s="1395"/>
      <c r="G5" s="1402"/>
      <c r="H5" s="1250" t="s">
        <v>1913</v>
      </c>
      <c r="I5" s="55">
        <f>ROUND(E31/D31,2)</f>
        <v>4.28</v>
      </c>
      <c r="J5" s="1395"/>
      <c r="K5" s="1395"/>
      <c r="L5" s="1395"/>
      <c r="M5" s="1395"/>
      <c r="N5" s="1395"/>
      <c r="O5" s="1395"/>
      <c r="P5" s="1395"/>
    </row>
    <row r="6" spans="1:16" ht="15" thickBot="1">
      <c r="A6" s="2238"/>
      <c r="B6" s="3041" t="s">
        <v>1918</v>
      </c>
      <c r="C6" s="3041"/>
      <c r="D6" s="48">
        <f>ROUND($D$3*E6/$E$3,2)</f>
        <v>13537.24</v>
      </c>
      <c r="E6" s="49">
        <f>E3-E5</f>
        <v>57947.42</v>
      </c>
      <c r="F6" s="1395"/>
      <c r="G6" s="2239" t="s">
        <v>1919</v>
      </c>
      <c r="H6" s="1402" t="s">
        <v>1920</v>
      </c>
      <c r="I6" s="942">
        <f>ROUND(F31/D31,2)</f>
        <v>3.26</v>
      </c>
      <c r="J6" s="1395"/>
      <c r="K6" s="1395"/>
      <c r="L6" s="1395"/>
      <c r="M6" s="1395"/>
      <c r="N6" s="1395"/>
      <c r="O6" s="1395"/>
      <c r="P6" s="1395"/>
    </row>
    <row r="7" spans="1:16" ht="15">
      <c r="A7" s="3033"/>
      <c r="B7" s="3034"/>
      <c r="C7" s="3035"/>
      <c r="D7" s="2235" t="s">
        <v>1914</v>
      </c>
      <c r="E7" s="2240" t="s">
        <v>1921</v>
      </c>
      <c r="F7" s="1395"/>
      <c r="G7" s="2232" t="s">
        <v>1922</v>
      </c>
      <c r="H7" s="64"/>
      <c r="I7" s="420"/>
      <c r="J7" s="1395"/>
      <c r="K7" s="1395"/>
      <c r="L7" s="1395"/>
      <c r="M7" s="1395"/>
      <c r="N7" s="1395"/>
      <c r="O7" s="1395"/>
      <c r="P7" s="1395"/>
    </row>
    <row r="8" spans="1:16">
      <c r="A8" s="47" t="s">
        <v>1923</v>
      </c>
      <c r="B8" s="50" t="s">
        <v>1924</v>
      </c>
      <c r="C8" s="48" t="s">
        <v>1925</v>
      </c>
      <c r="D8" s="48">
        <f t="shared" ref="D8:D15" si="0">ROUND($D$3*E8/$E$3,2)</f>
        <v>10240.35</v>
      </c>
      <c r="E8" s="51">
        <f>SUMIF('数据-基础表'!BB10:BK10,"地上",'数据-基础表'!BB5:BK5)</f>
        <v>43834.770000000004</v>
      </c>
      <c r="F8" s="1395"/>
      <c r="G8" s="2241"/>
      <c r="H8" s="2241"/>
      <c r="I8" s="1395"/>
      <c r="J8" s="1395"/>
      <c r="K8" s="1395"/>
      <c r="L8" s="1395"/>
      <c r="M8" s="1395"/>
      <c r="N8" s="1395"/>
      <c r="O8" s="1395"/>
      <c r="P8" s="1395"/>
    </row>
    <row r="9" spans="1:16">
      <c r="A9" s="2242"/>
      <c r="B9" s="2243"/>
      <c r="C9" s="48" t="s">
        <v>1926</v>
      </c>
      <c r="D9" s="48">
        <f t="shared" si="0"/>
        <v>0</v>
      </c>
      <c r="E9" s="52">
        <v>0</v>
      </c>
      <c r="F9" s="1395"/>
      <c r="G9" s="2241"/>
      <c r="H9" s="2241"/>
      <c r="I9" s="1395"/>
      <c r="J9" s="1395"/>
      <c r="K9" s="1395"/>
      <c r="L9" s="1395"/>
      <c r="M9" s="1395"/>
      <c r="N9" s="1395"/>
      <c r="O9" s="1395"/>
      <c r="P9" s="1395"/>
    </row>
    <row r="10" spans="1:16">
      <c r="A10" s="2242"/>
      <c r="B10" s="2243"/>
      <c r="C10" s="48" t="s">
        <v>1935</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1927</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1928</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1929</v>
      </c>
      <c r="D13" s="48">
        <f t="shared" si="0"/>
        <v>3234.34</v>
      </c>
      <c r="E13" s="51">
        <f>SUMPRODUCT(('数据-基础表'!BB10:BK10="地下")*('数据-基础表'!BB11:BK11="车库")*('数据-基础表'!BB5:BK5))</f>
        <v>13844.9</v>
      </c>
      <c r="F13" s="1395"/>
      <c r="G13" s="2241"/>
      <c r="H13" s="2241"/>
      <c r="I13" s="1395"/>
      <c r="J13" s="1395"/>
      <c r="K13" s="1395"/>
      <c r="L13" s="1395"/>
      <c r="M13" s="1395"/>
      <c r="N13" s="1395"/>
      <c r="O13" s="1395"/>
      <c r="P13" s="1395"/>
    </row>
    <row r="14" spans="1:16">
      <c r="A14" s="2242"/>
      <c r="B14" s="2243"/>
      <c r="C14" s="48" t="s">
        <v>1941</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1936</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1930</v>
      </c>
      <c r="D16" s="50">
        <f>SUM(D8:D15)</f>
        <v>13474.69</v>
      </c>
      <c r="E16" s="53">
        <f>SUM(E8:E15)</f>
        <v>57679.670000000006</v>
      </c>
      <c r="F16" s="1395"/>
      <c r="G16" s="2241"/>
      <c r="H16" s="2244" t="s">
        <v>1942</v>
      </c>
      <c r="I16" s="2245"/>
      <c r="J16" s="1395"/>
      <c r="K16" s="3030" t="s">
        <v>1942</v>
      </c>
      <c r="L16" s="3031"/>
      <c r="M16" s="3031"/>
      <c r="N16" s="3031"/>
      <c r="O16" s="3031"/>
      <c r="P16" s="3032"/>
    </row>
    <row r="17" spans="1:19" ht="15">
      <c r="A17" s="2246" t="s">
        <v>1943</v>
      </c>
      <c r="B17" s="2247" t="s">
        <v>1944</v>
      </c>
      <c r="C17" s="2248" t="s">
        <v>1945</v>
      </c>
      <c r="D17" s="2249" t="s">
        <v>1933</v>
      </c>
      <c r="E17" s="2250" t="s">
        <v>1934</v>
      </c>
      <c r="F17" s="2251"/>
      <c r="G17" s="2252"/>
      <c r="H17" s="2253" t="s">
        <v>1946</v>
      </c>
      <c r="I17" s="2254" t="s">
        <v>1931</v>
      </c>
      <c r="J17" s="1395"/>
      <c r="K17" s="3027" t="s">
        <v>1947</v>
      </c>
      <c r="L17" s="3028"/>
      <c r="M17" s="3029"/>
      <c r="N17" s="3027" t="s">
        <v>1948</v>
      </c>
      <c r="O17" s="3028"/>
      <c r="P17" s="3029"/>
      <c r="R17" s="2232" t="s">
        <v>1949</v>
      </c>
      <c r="S17" s="64"/>
    </row>
    <row r="18" spans="1:19" ht="15">
      <c r="A18" s="2242"/>
      <c r="B18" s="2255"/>
      <c r="C18" s="2256"/>
      <c r="D18" s="2257"/>
      <c r="E18" s="2258" t="s">
        <v>1950</v>
      </c>
      <c r="F18" s="2259" t="s">
        <v>1951</v>
      </c>
      <c r="G18" s="2260" t="s">
        <v>1952</v>
      </c>
      <c r="H18" s="1265" t="s">
        <v>1953</v>
      </c>
      <c r="I18" s="2261" t="s">
        <v>1954</v>
      </c>
      <c r="J18" s="1395"/>
      <c r="K18" s="1265" t="s">
        <v>1955</v>
      </c>
      <c r="L18" s="2262" t="s">
        <v>1956</v>
      </c>
      <c r="M18" s="1049" t="s">
        <v>1957</v>
      </c>
      <c r="N18" s="1265" t="s">
        <v>1955</v>
      </c>
      <c r="O18" s="2262" t="s">
        <v>1956</v>
      </c>
      <c r="P18" s="1049" t="s">
        <v>1957</v>
      </c>
      <c r="R18" s="1250" t="s">
        <v>1958</v>
      </c>
      <c r="S18" s="1250" t="s">
        <v>1959</v>
      </c>
    </row>
    <row r="19" spans="1:19">
      <c r="A19" s="2263"/>
      <c r="B19" s="50" t="s">
        <v>1932</v>
      </c>
      <c r="C19" s="2950" t="s">
        <v>3077</v>
      </c>
      <c r="D19" s="48">
        <f>ROUND($D$3*E19/$E$3,2)</f>
        <v>13474.69</v>
      </c>
      <c r="E19" s="56">
        <f t="shared" ref="E19:E26" si="1">SUM(F19:G19)</f>
        <v>57679.670000000006</v>
      </c>
      <c r="F19" s="57">
        <f>'数据-基础表'!I5</f>
        <v>43834.770000000004</v>
      </c>
      <c r="G19" s="58">
        <f>'数据-基础表'!K14</f>
        <v>13844.9</v>
      </c>
      <c r="H19" s="723">
        <f>ROUND($D$3*I19/$E$3,2)</f>
        <v>62.55</v>
      </c>
      <c r="I19" s="51">
        <f t="shared" ref="I19:I26" si="2">IF($I$17="自定义",P19,M19)</f>
        <v>267.75</v>
      </c>
      <c r="J19" s="1395"/>
      <c r="K19" s="1394">
        <f t="shared" ref="K19:K26" si="3">ROUND(E$28*E19/E$27,2)</f>
        <v>267.75</v>
      </c>
      <c r="L19" s="1250">
        <f t="shared" ref="L19:L26" si="4">ROUND(IF(COUNTIF(C19,"*住宅*")&gt;0,E$29*E19/E$32,0),2)</f>
        <v>0</v>
      </c>
      <c r="M19" s="1406">
        <f>K19+L19</f>
        <v>267.75</v>
      </c>
      <c r="N19" s="2265"/>
      <c r="O19" s="2266"/>
      <c r="P19" s="1406">
        <f>N19+O19</f>
        <v>0</v>
      </c>
      <c r="R19" s="1250">
        <f t="shared" ref="R19:S26" si="5">D19+H19</f>
        <v>13537.24</v>
      </c>
      <c r="S19" s="1251">
        <f t="shared" si="5"/>
        <v>57947.420000000006</v>
      </c>
    </row>
    <row r="20" spans="1:19">
      <c r="A20" s="2267"/>
      <c r="B20" s="50" t="s">
        <v>1960</v>
      </c>
      <c r="C20" s="2950"/>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0</v>
      </c>
    </row>
    <row r="21" spans="1:19">
      <c r="A21" s="2267"/>
      <c r="B21" s="50" t="s">
        <v>1960</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1961</v>
      </c>
      <c r="D27" s="1396">
        <f>SUM(D19:D26)</f>
        <v>13474.69</v>
      </c>
      <c r="E27" s="1397">
        <f>IF(SUM(E19:E26)='数据-基础表'!BA5,SUM(E19:E26),IF(F27="地上面积有误","面积有误","地下面积有误"))</f>
        <v>57679.670000000006</v>
      </c>
      <c r="F27" s="1396">
        <f>IF(SUM(F19:F26)=E8,SUM(F19:F26),"地上面积有误")</f>
        <v>43834.770000000004</v>
      </c>
      <c r="G27" s="1398">
        <f>SUM(G19:G26)</f>
        <v>13844.9</v>
      </c>
      <c r="H27" s="1399">
        <f>SUM(H19:H26)</f>
        <v>62.55</v>
      </c>
      <c r="I27" s="1400">
        <f>SUM(I19:I26)</f>
        <v>267.75</v>
      </c>
      <c r="J27" s="1395"/>
      <c r="K27" s="1403">
        <f>SUM(K19:K26)</f>
        <v>267.75</v>
      </c>
      <c r="L27" s="1404">
        <f>SUM(L19:L26)</f>
        <v>0</v>
      </c>
      <c r="M27" s="1407">
        <f>SUM(M19:M26)</f>
        <v>267.75</v>
      </c>
      <c r="N27" s="1403">
        <f t="shared" ref="N27:O27" si="10">SUM(N19:N26)</f>
        <v>0</v>
      </c>
      <c r="O27" s="1404">
        <f t="shared" si="10"/>
        <v>0</v>
      </c>
      <c r="P27" s="1405">
        <f>SUM(P19:P26)</f>
        <v>0</v>
      </c>
      <c r="R27" s="1252">
        <f>IF(SUM(R19:R26)=$D$3,SUM(R19:R26),SUM(R19:R26)&amp;"误差"&amp;ROUND(SUM(R19:R26)-$D$3,2))</f>
        <v>13537.24</v>
      </c>
      <c r="S27" s="1250">
        <f>IF(SUM(S19:S26)=$E$3,SUM(S19:S26),SUM(S19:S26)&amp;"误差"&amp;ROUND(SUM(S19:S26)-E3,2))</f>
        <v>57947.420000000006</v>
      </c>
    </row>
    <row r="28" spans="1:19">
      <c r="A28" s="2267"/>
      <c r="B28" s="50" t="s">
        <v>1962</v>
      </c>
      <c r="C28" s="1262" t="s">
        <v>1963</v>
      </c>
      <c r="D28" s="48">
        <f>ROUND($D$3*E28/$E$3,2)</f>
        <v>62.55</v>
      </c>
      <c r="E28" s="56">
        <f>SUM(F28:G28)</f>
        <v>267.75</v>
      </c>
      <c r="F28" s="64">
        <f>'数据-基础表'!BQ5+'数据-基础表'!BS5</f>
        <v>267.75</v>
      </c>
      <c r="G28" s="65">
        <f>'数据-基础表'!BR5+'数据-基础表'!BT5</f>
        <v>0</v>
      </c>
      <c r="H28" s="1395"/>
      <c r="I28" s="1395"/>
      <c r="J28" s="1395"/>
      <c r="K28" s="1395"/>
      <c r="L28" s="1395"/>
      <c r="M28" s="1395"/>
      <c r="N28" s="1395"/>
      <c r="O28" s="1395"/>
      <c r="P28" s="1395"/>
    </row>
    <row r="29" spans="1:19">
      <c r="A29" s="2267"/>
      <c r="B29" s="50" t="s">
        <v>1962</v>
      </c>
      <c r="C29" s="2271"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1961</v>
      </c>
      <c r="D30" s="1396">
        <f>SUM(D28:D29)</f>
        <v>62.55</v>
      </c>
      <c r="E30" s="1396">
        <f>SUM(E28:E29)</f>
        <v>267.75</v>
      </c>
      <c r="F30" s="1396">
        <f>SUM(F28:F29)</f>
        <v>267.75</v>
      </c>
      <c r="G30" s="1398">
        <f>SUM(G28:G29)</f>
        <v>0</v>
      </c>
      <c r="H30" s="1395"/>
      <c r="I30" s="1395"/>
      <c r="J30" s="1395"/>
      <c r="K30" s="1395"/>
      <c r="L30" s="1395"/>
      <c r="M30" s="1395"/>
      <c r="N30" s="1395"/>
      <c r="O30" s="1395"/>
      <c r="P30" s="1395"/>
    </row>
    <row r="31" spans="1:19" ht="15.75" thickBot="1">
      <c r="A31" s="2273"/>
      <c r="B31" s="2274"/>
      <c r="C31" s="1010" t="s">
        <v>1965</v>
      </c>
      <c r="D31" s="729">
        <f>D27+D30</f>
        <v>13537.24</v>
      </c>
      <c r="E31" s="729">
        <f>E27+E30</f>
        <v>57947.420000000006</v>
      </c>
      <c r="F31" s="730">
        <f>F27+F30</f>
        <v>44102.520000000004</v>
      </c>
      <c r="G31" s="731">
        <f>G27+G30</f>
        <v>13844.9</v>
      </c>
      <c r="H31" s="1395"/>
      <c r="I31" s="1395"/>
      <c r="J31" s="1395"/>
      <c r="K31" s="1395"/>
      <c r="L31" s="1395"/>
      <c r="M31" s="1395"/>
      <c r="N31" s="1395"/>
      <c r="O31" s="1395"/>
      <c r="P31" s="1395"/>
    </row>
    <row r="32" spans="1:19">
      <c r="A32" s="2237"/>
      <c r="B32" s="2237" t="s">
        <v>1966</v>
      </c>
      <c r="C32" s="2237"/>
      <c r="D32" s="2237"/>
      <c r="E32" s="1277">
        <f>SUMIF(C19:C26,"*住宅*",E19:E26)</f>
        <v>0</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N6" sqref="AN6"/>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1967</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1968</v>
      </c>
      <c r="B2" s="1269">
        <f>项目基本情况!D3</f>
        <v>43423</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1969</v>
      </c>
      <c r="B4" s="2285"/>
      <c r="C4" s="2286"/>
      <c r="D4" s="2287"/>
      <c r="E4" s="2286" t="s">
        <v>1970</v>
      </c>
      <c r="F4" s="2286"/>
      <c r="G4" s="2286"/>
      <c r="H4" s="2286"/>
      <c r="I4" s="2286"/>
      <c r="J4" s="2288"/>
      <c r="K4" s="2289"/>
      <c r="L4" s="2290"/>
      <c r="M4" s="2286"/>
      <c r="N4" s="2286" t="s">
        <v>1971</v>
      </c>
      <c r="O4" s="2286"/>
      <c r="P4" s="2286"/>
      <c r="Q4" s="2286"/>
      <c r="R4" s="2286"/>
      <c r="S4" s="2288"/>
      <c r="T4" s="2291" t="str">
        <f>'数据-汇总表'!I17</f>
        <v>按面积比例</v>
      </c>
      <c r="U4" s="2285" t="s">
        <v>1972</v>
      </c>
      <c r="V4" s="2286"/>
      <c r="W4" s="2286"/>
      <c r="X4" s="2286"/>
      <c r="Y4" s="2288"/>
      <c r="Z4" s="2248" t="s">
        <v>1973</v>
      </c>
      <c r="AA4" s="2248"/>
      <c r="AB4" s="2248"/>
      <c r="AC4" s="2248"/>
      <c r="AD4" s="2248"/>
      <c r="AE4" s="2246" t="s">
        <v>1974</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1975</v>
      </c>
      <c r="B5" s="2294" t="s">
        <v>1976</v>
      </c>
      <c r="C5" s="2295" t="s">
        <v>1977</v>
      </c>
      <c r="D5" s="2296" t="s">
        <v>1978</v>
      </c>
      <c r="E5" s="1271" t="s">
        <v>1979</v>
      </c>
      <c r="F5" s="2297" t="s">
        <v>1980</v>
      </c>
      <c r="G5" s="1271" t="s">
        <v>1981</v>
      </c>
      <c r="H5" s="1271" t="s">
        <v>1982</v>
      </c>
      <c r="I5" s="1271" t="s">
        <v>1983</v>
      </c>
      <c r="J5" s="2298" t="s">
        <v>1984</v>
      </c>
      <c r="K5" s="2299" t="s">
        <v>1985</v>
      </c>
      <c r="L5" s="2300" t="s">
        <v>1986</v>
      </c>
      <c r="M5" s="2301" t="s">
        <v>1987</v>
      </c>
      <c r="N5" s="2302" t="s">
        <v>3071</v>
      </c>
      <c r="O5" s="2300" t="s">
        <v>1988</v>
      </c>
      <c r="P5" s="2303" t="s">
        <v>1989</v>
      </c>
      <c r="Q5" s="69" t="s">
        <v>1990</v>
      </c>
      <c r="R5" s="2304" t="s">
        <v>1991</v>
      </c>
      <c r="S5" s="2305" t="s">
        <v>1992</v>
      </c>
      <c r="T5" s="2306" t="s">
        <v>1993</v>
      </c>
      <c r="U5" s="1270" t="s">
        <v>1994</v>
      </c>
      <c r="V5" s="1271" t="s">
        <v>1995</v>
      </c>
      <c r="W5" s="1271" t="s">
        <v>1996</v>
      </c>
      <c r="X5" s="71"/>
      <c r="Y5" s="70" t="s">
        <v>1997</v>
      </c>
      <c r="Z5" s="2307" t="s">
        <v>1994</v>
      </c>
      <c r="AA5" s="1271" t="s">
        <v>1995</v>
      </c>
      <c r="AB5" s="1271" t="s">
        <v>1996</v>
      </c>
      <c r="AC5" s="71"/>
      <c r="AD5" s="71" t="s">
        <v>1997</v>
      </c>
      <c r="AE5" s="1270" t="s">
        <v>1998</v>
      </c>
      <c r="AF5" s="1271" t="s">
        <v>1999</v>
      </c>
      <c r="AG5" s="70" t="s">
        <v>2000</v>
      </c>
      <c r="AH5" s="1270" t="s">
        <v>2001</v>
      </c>
      <c r="AI5" s="2307" t="s">
        <v>2002</v>
      </c>
      <c r="AJ5" s="2307" t="s">
        <v>2003</v>
      </c>
      <c r="AK5" s="1271" t="s">
        <v>2004</v>
      </c>
      <c r="AL5" s="1271" t="s">
        <v>2005</v>
      </c>
      <c r="AM5" s="70" t="s">
        <v>2006</v>
      </c>
      <c r="AN5" s="2308" t="s">
        <v>2007</v>
      </c>
      <c r="AO5" s="2078" t="s">
        <v>2008</v>
      </c>
      <c r="AP5" s="1252" t="s">
        <v>2009</v>
      </c>
      <c r="AQ5" s="2309" t="s">
        <v>2010</v>
      </c>
      <c r="AR5" s="2309" t="s">
        <v>2011</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车间</v>
      </c>
      <c r="B6" s="2311" t="str">
        <f>IF(A6=0,"","经营性")</f>
        <v>经营性</v>
      </c>
      <c r="C6" s="2312" t="s">
        <v>6</v>
      </c>
      <c r="D6" s="1054">
        <f>SUMIF(项目基本情况!D$12:I$12,C6,项目基本情况!D$14:I$14)</f>
        <v>50</v>
      </c>
      <c r="E6" s="1051">
        <f>IF(B6="","",SUMIF(项目基本情况!D$12:I$12,C6,项目基本情况!D$13:I$13))</f>
        <v>59326</v>
      </c>
      <c r="F6" s="72">
        <f>SUMIF(项目基本情况!D$12:I$12,C6,项目基本情况!D$15:I$15)</f>
        <v>43.56</v>
      </c>
      <c r="G6" s="73">
        <f>IF(ISERROR(ROUND(POWER(1+H6,D6-F6)*(POWER(1+H6,F6)-1)/(POWER(1+H6,D6)-1),3)),0,ROUND(POWER(1+H6,D6-F6)*(POWER(1+H6,F6)-1)/(POWER(1+H6,D6)-1),3))</f>
        <v>0.95899999999999996</v>
      </c>
      <c r="H6" s="802">
        <v>4.4999999999999998E-2</v>
      </c>
      <c r="I6" s="802">
        <v>0.05</v>
      </c>
      <c r="J6" s="74">
        <v>0.08</v>
      </c>
      <c r="K6" s="1254">
        <f>SUMIF('数据-汇总表'!C$19:C$33,A6,'数据-汇总表'!E$19:E$33)</f>
        <v>57679.670000000006</v>
      </c>
      <c r="L6" s="803">
        <v>3500</v>
      </c>
      <c r="M6" s="75">
        <f t="shared" ref="M6:M14" si="0">ROUND(K6*L6/10000,0)</f>
        <v>20188</v>
      </c>
      <c r="N6" s="801">
        <f>ROUND(1-(2018-2014)/60,2)</f>
        <v>0.93</v>
      </c>
      <c r="O6" s="75" t="str">
        <f>IF($N$5="成新度","——",ROUND(M6*N6,0))</f>
        <v>——</v>
      </c>
      <c r="P6" s="76" t="str">
        <f>IF($N$5="成新度","——",M6-O6)</f>
        <v>——</v>
      </c>
      <c r="Q6" s="804">
        <v>0.2</v>
      </c>
      <c r="R6" s="77">
        <f ca="1">SUMIF('数据-汇总表'!C$19:C$33,A6,'数据-汇总表'!R$19:R$27)</f>
        <v>13537.24</v>
      </c>
      <c r="S6" s="54">
        <f>IF('数据-汇总表'!$I$17="按面积比例",SUMIF('数据-汇总表'!C$19:C$33,A6,'数据-汇总表'!K$19:K$33),SUMIF('数据-汇总表'!C$19:C$33,A6,'数据-汇总表'!N$19:N$33))</f>
        <v>267.75</v>
      </c>
      <c r="T6" s="1446">
        <f>ROUND($L$14*S6/10000,0)</f>
        <v>94</v>
      </c>
      <c r="U6" s="78">
        <v>4.8</v>
      </c>
      <c r="V6" s="79">
        <v>3.5000000000000003E-2</v>
      </c>
      <c r="W6" s="79">
        <v>0.05</v>
      </c>
      <c r="X6" s="1264"/>
      <c r="Y6" s="80">
        <f>N6</f>
        <v>0.93</v>
      </c>
      <c r="Z6" s="81"/>
      <c r="AA6" s="74"/>
      <c r="AB6" s="74"/>
      <c r="AC6" s="1264"/>
      <c r="AD6" s="82"/>
      <c r="AE6" s="1265">
        <f ca="1">IF(AN6="",0,SUMIF(INDIRECT("'"&amp;AN6&amp;"'"&amp;"!E:E"),$AE$5,INDIRECT("'"&amp;AN6&amp;"'"&amp;"!F:F")))</f>
        <v>43.56</v>
      </c>
      <c r="AF6" s="1807"/>
      <c r="AG6" s="147">
        <f>IF(AF6="",0,AE6-AF6)</f>
        <v>0</v>
      </c>
      <c r="AH6" s="83"/>
      <c r="AI6" s="85">
        <v>365</v>
      </c>
      <c r="AJ6" s="86">
        <v>916</v>
      </c>
      <c r="AK6" s="87">
        <v>0.01</v>
      </c>
      <c r="AL6" s="88">
        <v>1E-3</v>
      </c>
      <c r="AM6" s="89">
        <v>0.01</v>
      </c>
      <c r="AN6" s="2313" t="s">
        <v>3072</v>
      </c>
      <c r="AO6" s="55">
        <f ca="1">SUMIF(INDIRECT("'"&amp;AN6&amp;"'"&amp;"!A:A"),"总价",INDIRECT("'"&amp;AN6&amp;"'"&amp;"!B:B"))</f>
        <v>240481</v>
      </c>
      <c r="AP6" s="2314">
        <f>IF(C6="住宅",K6*L6,0)</f>
        <v>0</v>
      </c>
      <c r="AQ6" s="55">
        <f>ROUND($L$14*$N$14*S6/10000,0)</f>
        <v>87</v>
      </c>
      <c r="AR6" s="55">
        <f>ROUND($L$14*(1-$N$14)*S6/10000,0)</f>
        <v>7</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2283"/>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7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2012</v>
      </c>
      <c r="B14" s="2311" t="s">
        <v>2013</v>
      </c>
      <c r="C14" s="2316" t="s">
        <v>2012</v>
      </c>
      <c r="D14" s="1054"/>
      <c r="E14" s="1051"/>
      <c r="F14" s="72"/>
      <c r="G14" s="73"/>
      <c r="H14" s="1253"/>
      <c r="I14" s="1253"/>
      <c r="J14" s="1253"/>
      <c r="K14" s="1254">
        <f>SUMIF('数据-汇总表'!C$19:C$33,A14,'数据-汇总表'!E$19:E$33)</f>
        <v>267.75</v>
      </c>
      <c r="L14" s="91">
        <f>L6</f>
        <v>3500</v>
      </c>
      <c r="M14" s="75">
        <f t="shared" si="0"/>
        <v>94</v>
      </c>
      <c r="N14" s="92">
        <f>N6</f>
        <v>0.93</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2014</v>
      </c>
      <c r="B15" s="2311" t="s">
        <v>2013</v>
      </c>
      <c r="C15" s="2316"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2016</v>
      </c>
      <c r="B16" s="97"/>
      <c r="C16" s="1008"/>
      <c r="D16" s="2318"/>
      <c r="E16" s="97"/>
      <c r="F16" s="97"/>
      <c r="G16" s="98">
        <f>ROUND(SUMPRODUCT(G6:G13,K6:K13)/SUMPRODUCT((G6:G13&gt;0)*(K6:K13)),3)</f>
        <v>0.95899999999999996</v>
      </c>
      <c r="H16" s="99">
        <f>ROUND(SUMPRODUCT(H6:H13,K6:K13)/SUMPRODUCT((H6:H13&gt;0)*(K6:K13)),3)</f>
        <v>4.4999999999999998E-2</v>
      </c>
      <c r="I16" s="100"/>
      <c r="J16" s="100"/>
      <c r="K16" s="101">
        <f>SUM(K6:K15)</f>
        <v>57947.420000000006</v>
      </c>
      <c r="L16" s="102">
        <f>ROUND(M16*10000/SUM(K6:K14),0)</f>
        <v>3500</v>
      </c>
      <c r="M16" s="102">
        <f>SUM(M6:M14)</f>
        <v>20282</v>
      </c>
      <c r="N16" s="103">
        <f>ROUND(SUMPRODUCT(M6:M14,N6:N14)/M16,3)</f>
        <v>0.93</v>
      </c>
      <c r="O16" s="102">
        <f>SUM(O6:O14)</f>
        <v>0</v>
      </c>
      <c r="P16" s="102">
        <f>SUM(P6:P14)</f>
        <v>0</v>
      </c>
      <c r="Q16" s="104">
        <f>ROUND(SUMPRODUCT(Q6:Q13,K6:K13)/SUMPRODUCT((Q6:Q13&gt;0)*(K6:K13)),2)</f>
        <v>0.2</v>
      </c>
      <c r="R16" s="1258">
        <f ca="1">SUM(R6:R13)</f>
        <v>13537.24</v>
      </c>
      <c r="S16" s="105">
        <f>SUM(S6:S13)</f>
        <v>267.75</v>
      </c>
      <c r="T16" s="106">
        <f>IF(SUMIF(T6:T13,"&lt;9E307")=M14,SUMIF(T6:T13,"&lt;9E307"),"有误，请检查")</f>
        <v>94</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2017</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2018</v>
      </c>
      <c r="B19" s="112">
        <v>0</v>
      </c>
      <c r="C19" s="2281" t="s">
        <v>2019</v>
      </c>
      <c r="D19" s="2282"/>
      <c r="E19" s="2281"/>
      <c r="F19" s="2281"/>
      <c r="G19" s="2281"/>
      <c r="H19" s="2281"/>
      <c r="I19" s="2281"/>
      <c r="J19" s="2281"/>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2020</v>
      </c>
      <c r="B20" s="113">
        <v>2</v>
      </c>
      <c r="C20" s="2281" t="s">
        <v>2021</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2022</v>
      </c>
      <c r="B21" s="113">
        <v>2</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2023</v>
      </c>
      <c r="B22" s="114">
        <f>B19+B20</f>
        <v>2</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2024</v>
      </c>
      <c r="B23" s="114">
        <f>B19+B21</f>
        <v>2</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2025</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2026</v>
      </c>
      <c r="B26" s="2324" t="s">
        <v>2027</v>
      </c>
      <c r="C26" s="2325" t="s">
        <v>2028</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2029</v>
      </c>
      <c r="B27" s="116"/>
      <c r="C27" s="1767" t="s">
        <v>2030</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2031</v>
      </c>
      <c r="B28" s="119">
        <v>200</v>
      </c>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2032</v>
      </c>
      <c r="B29" s="121">
        <f>ROUND(K16*B28/10000,0)</f>
        <v>1159</v>
      </c>
      <c r="C29" s="1767" t="s">
        <v>2033</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2034</v>
      </c>
      <c r="B30" s="724">
        <v>200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2035</v>
      </c>
      <c r="B31" s="120">
        <f>B30-B32</f>
        <v>200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2036</v>
      </c>
      <c r="B32" s="725">
        <v>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2037</v>
      </c>
      <c r="B33" s="726">
        <v>0.03</v>
      </c>
      <c r="C33" s="1766" t="s">
        <v>2038</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2039</v>
      </c>
      <c r="B34" s="122">
        <v>0</v>
      </c>
      <c r="C34" s="1766" t="s">
        <v>2040</v>
      </c>
      <c r="D34" s="2282" t="s">
        <v>2041</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2042</v>
      </c>
      <c r="B35" s="119">
        <v>200</v>
      </c>
      <c r="C35" s="1766" t="s">
        <v>2043</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2044</v>
      </c>
      <c r="B36" s="123">
        <v>1.4999999999999999E-2</v>
      </c>
      <c r="C36" s="1766" t="s">
        <v>2045</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2046</v>
      </c>
      <c r="B37" s="124">
        <v>0.02</v>
      </c>
      <c r="C37" s="1766" t="s">
        <v>2047</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2048</v>
      </c>
      <c r="B38" s="122">
        <v>0.02</v>
      </c>
      <c r="C38" s="1766" t="s">
        <v>2047</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2049</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2050</v>
      </c>
      <c r="B40" s="1303">
        <f ca="1">存贷款利率!G1</f>
        <v>4.7500000000000001E-2</v>
      </c>
      <c r="C40" s="1766" t="s">
        <v>2051</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2052</v>
      </c>
      <c r="B41" s="125">
        <f>B42+B43</f>
        <v>5.6000000000000001E-2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2053</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2054</v>
      </c>
      <c r="B43" s="127">
        <f>B42*(B44+B45+B46)+B47</f>
        <v>6.000000000000001E-3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2055</v>
      </c>
      <c r="B44" s="128">
        <v>7.0000000000000007E-2</v>
      </c>
      <c r="C44" s="1766" t="s">
        <v>2056</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2057</v>
      </c>
      <c r="B45" s="126">
        <v>0.03</v>
      </c>
      <c r="C45" s="1767" t="s">
        <v>2058</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2059</v>
      </c>
      <c r="B46" s="126">
        <v>0.02</v>
      </c>
      <c r="C46" s="1767" t="s">
        <v>2060</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2061</v>
      </c>
      <c r="B47" s="129">
        <v>0</v>
      </c>
      <c r="C47" s="1767" t="s">
        <v>2062</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2063</v>
      </c>
      <c r="B48" s="130">
        <v>0.03</v>
      </c>
      <c r="C48" s="1774" t="s">
        <v>2064</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2065</v>
      </c>
      <c r="B49" s="126">
        <v>5.0000000000000001E-4</v>
      </c>
      <c r="C49" s="1774" t="s">
        <v>2066</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2067</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2068</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2069</v>
      </c>
      <c r="B52" s="133">
        <f>SUMIF(A54:A63,B53,B54:B63)</f>
        <v>3</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2070</v>
      </c>
      <c r="B53" s="2340" t="s">
        <v>523</v>
      </c>
      <c r="C53" s="1430" t="s">
        <v>2071</v>
      </c>
      <c r="D53" s="2341" t="s">
        <v>2072</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2073</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2074</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2075</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2076</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2077</v>
      </c>
      <c r="B58" s="84">
        <v>3</v>
      </c>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2078</v>
      </c>
      <c r="B59" s="84"/>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2079</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2080</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2081</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2082</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42" t="s">
        <v>2083</v>
      </c>
      <c r="B1" s="3043"/>
      <c r="C1" s="3043"/>
      <c r="D1" s="3043"/>
      <c r="E1" s="3043"/>
      <c r="F1" s="3043"/>
      <c r="G1" s="3043"/>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2084</v>
      </c>
      <c r="D2" s="2370"/>
      <c r="E2" s="2371"/>
      <c r="F2" s="2290"/>
      <c r="G2" s="2369" t="s">
        <v>2085</v>
      </c>
      <c r="H2" s="2372"/>
      <c r="I2" s="2372"/>
      <c r="J2" s="2372"/>
      <c r="K2" s="2372"/>
      <c r="L2" s="2372"/>
      <c r="M2" s="2372"/>
      <c r="N2" s="2372"/>
      <c r="O2" s="2372"/>
      <c r="P2" s="2372"/>
      <c r="Q2" s="2372"/>
      <c r="R2" s="2372"/>
    </row>
    <row r="3" spans="1:29" ht="54">
      <c r="A3" s="415" t="s">
        <v>2086</v>
      </c>
      <c r="B3" s="1271" t="s">
        <v>2087</v>
      </c>
      <c r="C3" s="2374" t="s">
        <v>2088</v>
      </c>
      <c r="D3" s="2375"/>
      <c r="E3" s="431" t="s">
        <v>2086</v>
      </c>
      <c r="F3" s="2376" t="s">
        <v>2089</v>
      </c>
      <c r="G3" s="2377" t="s">
        <v>2090</v>
      </c>
      <c r="H3" s="2372"/>
      <c r="I3" s="2372"/>
      <c r="J3" s="2372"/>
      <c r="K3" s="2372"/>
      <c r="L3" s="2372"/>
      <c r="M3" s="2372"/>
      <c r="N3" s="2372"/>
      <c r="O3" s="2372"/>
      <c r="P3" s="2372"/>
      <c r="Q3" s="2372"/>
      <c r="R3" s="2372"/>
    </row>
    <row r="4" spans="1:29" ht="41.25">
      <c r="A4" s="431"/>
      <c r="B4" s="1798" t="s">
        <v>2091</v>
      </c>
      <c r="C4" s="2378" t="s">
        <v>2092</v>
      </c>
      <c r="D4" s="2375"/>
      <c r="E4" s="2379"/>
      <c r="F4" s="42" t="s">
        <v>2093</v>
      </c>
      <c r="G4" s="2380" t="s">
        <v>2094</v>
      </c>
      <c r="H4" s="2372"/>
      <c r="I4" s="2372"/>
      <c r="J4" s="2372"/>
      <c r="K4" s="2372"/>
      <c r="L4" s="2372"/>
      <c r="M4" s="2372"/>
      <c r="N4" s="2372"/>
      <c r="O4" s="2372"/>
      <c r="P4" s="2372"/>
      <c r="Q4" s="2372"/>
      <c r="R4" s="2372"/>
    </row>
    <row r="5" spans="1:29" ht="41.25">
      <c r="A5" s="431"/>
      <c r="B5" s="1798" t="s">
        <v>2095</v>
      </c>
      <c r="C5" s="2378" t="s">
        <v>2096</v>
      </c>
      <c r="D5" s="2375"/>
      <c r="E5" s="2379"/>
      <c r="F5" s="1798" t="s">
        <v>2097</v>
      </c>
      <c r="G5" s="2380" t="s">
        <v>2098</v>
      </c>
      <c r="H5" s="2372"/>
      <c r="I5" s="2372"/>
      <c r="J5" s="2372"/>
      <c r="K5" s="2372"/>
      <c r="L5" s="2372"/>
      <c r="M5" s="2372"/>
      <c r="N5" s="2372"/>
      <c r="O5" s="2372"/>
      <c r="P5" s="2372"/>
      <c r="Q5" s="2372"/>
      <c r="R5" s="2372"/>
    </row>
    <row r="6" spans="1:29" ht="54">
      <c r="A6" s="431"/>
      <c r="B6" s="1798" t="s">
        <v>2099</v>
      </c>
      <c r="C6" s="2380" t="s">
        <v>2094</v>
      </c>
      <c r="D6" s="2375"/>
      <c r="E6" s="2379"/>
      <c r="F6" s="1798" t="s">
        <v>2100</v>
      </c>
      <c r="G6" s="2380" t="s">
        <v>2101</v>
      </c>
      <c r="H6" s="2372"/>
      <c r="I6" s="2372"/>
      <c r="J6" s="2372"/>
      <c r="K6" s="2372"/>
      <c r="L6" s="2372"/>
      <c r="M6" s="2372"/>
      <c r="N6" s="2372"/>
      <c r="O6" s="2372"/>
      <c r="P6" s="2372"/>
      <c r="Q6" s="2372"/>
      <c r="R6" s="2372"/>
    </row>
    <row r="7" spans="1:29" ht="41.25" thickBot="1">
      <c r="A7" s="431"/>
      <c r="B7" s="1798" t="s">
        <v>2097</v>
      </c>
      <c r="C7" s="2380" t="s">
        <v>2098</v>
      </c>
      <c r="D7" s="2381"/>
      <c r="E7" s="2382"/>
      <c r="F7" s="2383" t="s">
        <v>2102</v>
      </c>
      <c r="G7" s="2384" t="s">
        <v>2103</v>
      </c>
      <c r="H7" s="2372"/>
      <c r="I7" s="2372"/>
      <c r="J7" s="2372"/>
      <c r="K7" s="2372"/>
      <c r="L7" s="2372"/>
      <c r="M7" s="2372"/>
      <c r="N7" s="2372"/>
      <c r="O7" s="2372"/>
      <c r="P7" s="2372"/>
      <c r="Q7" s="2372"/>
      <c r="R7" s="2372"/>
    </row>
    <row r="8" spans="1:29" ht="27">
      <c r="A8" s="431"/>
      <c r="B8" s="1798" t="s">
        <v>2100</v>
      </c>
      <c r="C8" s="2380" t="s">
        <v>2101</v>
      </c>
      <c r="D8" s="2381"/>
      <c r="E8" s="2381"/>
      <c r="F8" s="1136"/>
      <c r="G8" s="1136"/>
      <c r="H8" s="2372"/>
      <c r="I8" s="2372"/>
      <c r="J8" s="2372"/>
      <c r="K8" s="2372"/>
      <c r="L8" s="2372"/>
      <c r="M8" s="2372"/>
      <c r="N8" s="2372"/>
      <c r="O8" s="2372"/>
      <c r="P8" s="2372"/>
      <c r="Q8" s="2372"/>
      <c r="R8" s="2372"/>
    </row>
    <row r="9" spans="1:29" ht="27">
      <c r="A9" s="431"/>
      <c r="B9" s="1798" t="s">
        <v>2104</v>
      </c>
      <c r="C9" s="2378" t="s">
        <v>2105</v>
      </c>
      <c r="D9" s="2375"/>
      <c r="E9" s="2381"/>
      <c r="F9" s="1136"/>
      <c r="G9" s="1136"/>
      <c r="H9" s="2372"/>
      <c r="I9" s="2372"/>
      <c r="J9" s="2372"/>
      <c r="K9" s="2372"/>
      <c r="L9" s="2372"/>
      <c r="M9" s="2372"/>
      <c r="N9" s="2372"/>
      <c r="O9" s="2372"/>
      <c r="P9" s="2372"/>
      <c r="Q9" s="2372"/>
      <c r="R9" s="2372"/>
    </row>
    <row r="10" spans="1:29" s="117" customFormat="1" ht="15.75" thickBot="1">
      <c r="A10" s="2385"/>
      <c r="B10" s="2386" t="s">
        <v>2106</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2107</v>
      </c>
      <c r="B13" s="2392"/>
      <c r="C13" s="2392"/>
      <c r="D13" s="2399"/>
      <c r="E13" s="2392"/>
      <c r="F13" s="2392"/>
      <c r="G13" s="2392"/>
    </row>
    <row r="14" spans="1:29" ht="15.75" thickBot="1">
      <c r="A14" s="2403"/>
      <c r="B14" s="2404"/>
      <c r="C14" s="2405" t="s">
        <v>2108</v>
      </c>
      <c r="D14" s="2375"/>
      <c r="E14" s="2406"/>
      <c r="F14" s="2406"/>
      <c r="G14" s="2369" t="s">
        <v>2109</v>
      </c>
    </row>
    <row r="15" spans="1:29" ht="57">
      <c r="A15" s="68" t="s">
        <v>2110</v>
      </c>
      <c r="B15" s="1270" t="s">
        <v>2087</v>
      </c>
      <c r="C15" s="2407" t="str">
        <f>C3</f>
        <v>估价对象周边居住用地比例、居住小区规模和社区发展完善程度，综合评价居住社区成熟度一般</v>
      </c>
      <c r="D15" s="2375"/>
      <c r="E15" s="2408" t="s">
        <v>2111</v>
      </c>
      <c r="F15" s="1270" t="s">
        <v>2112</v>
      </c>
      <c r="G15" s="135" t="str">
        <f>G3</f>
        <v>估价对象位于XX开发区，园区建设成熟度XX，产业集聚程度XX</v>
      </c>
    </row>
    <row r="16" spans="1:29" ht="42.75">
      <c r="A16" s="645"/>
      <c r="B16" s="2409" t="s">
        <v>2091</v>
      </c>
      <c r="C16" s="2410" t="str">
        <f>C4</f>
        <v>估价对象位于XX商圈，周边商业氛围成熟，人流量大，商业繁华度好</v>
      </c>
      <c r="D16" s="2375"/>
      <c r="E16" s="2411"/>
      <c r="F16" s="2412" t="s">
        <v>2093</v>
      </c>
      <c r="G16" s="136" t="str">
        <f>G4</f>
        <v>估价对象周边道路状况、公共交通通达情况、停车便捷程度，综合评价交通便捷度较好</v>
      </c>
    </row>
    <row r="17" spans="1:18" ht="42.75">
      <c r="A17" s="645"/>
      <c r="B17" s="2409" t="s">
        <v>2095</v>
      </c>
      <c r="C17" s="2410" t="str">
        <f>C5</f>
        <v>估价对象位于XX商圈，周边办公楼项目较多，入驻率高，办公集聚程度较好</v>
      </c>
      <c r="D17" s="2381"/>
      <c r="E17" s="2411"/>
      <c r="F17" s="2412" t="s">
        <v>2113</v>
      </c>
      <c r="G17" s="1572"/>
    </row>
    <row r="18" spans="1:18" ht="57">
      <c r="A18" s="645"/>
      <c r="B18" s="2412" t="s">
        <v>2099</v>
      </c>
      <c r="C18" s="136" t="str">
        <f>C6</f>
        <v>估价对象周边道路状况、公共交通通达情况、停车便捷程度，综合评价交通便捷度较好</v>
      </c>
      <c r="D18" s="2381"/>
      <c r="E18" s="2411"/>
      <c r="F18" s="2412" t="s">
        <v>2102</v>
      </c>
      <c r="G18" s="136" t="str">
        <f>G7</f>
        <v>该园区内是否有污染型企业，绿化情况，卫生条件，整体环境状况判断</v>
      </c>
    </row>
    <row r="19" spans="1:18" ht="28.5">
      <c r="A19" s="645"/>
      <c r="B19" s="2412" t="s">
        <v>2114</v>
      </c>
      <c r="C19" s="1572"/>
      <c r="D19" s="2375"/>
      <c r="E19" s="2411"/>
      <c r="F19" s="1798" t="s">
        <v>2097</v>
      </c>
      <c r="G19" s="136" t="str">
        <f>G5</f>
        <v>估价对象所在区域公共配套设施齐备情况</v>
      </c>
    </row>
    <row r="20" spans="1:18" ht="28.5">
      <c r="A20" s="645"/>
      <c r="B20" s="2412" t="s">
        <v>2115</v>
      </c>
      <c r="C20" s="2410" t="str">
        <f>C9</f>
        <v>区域自然环境：；人文环境；综合评价环境状况一般</v>
      </c>
      <c r="D20" s="2381"/>
      <c r="E20" s="2411"/>
      <c r="F20" s="1798" t="s">
        <v>2116</v>
      </c>
      <c r="G20" s="136" t="str">
        <f>G6</f>
        <v>估价对象所在区域基础设施水平</v>
      </c>
    </row>
    <row r="21" spans="1:18" ht="28.5">
      <c r="A21" s="645"/>
      <c r="B21" s="1798" t="s">
        <v>2097</v>
      </c>
      <c r="C21" s="136" t="str">
        <f>C7</f>
        <v>估价对象所在区域公共配套设施齐备情况</v>
      </c>
      <c r="D21" s="2375"/>
      <c r="E21" s="2411"/>
      <c r="F21" s="2412" t="s">
        <v>2117</v>
      </c>
      <c r="G21" s="2413"/>
    </row>
    <row r="22" spans="1:18" ht="13.5" customHeight="1">
      <c r="A22" s="645"/>
      <c r="B22" s="1798" t="s">
        <v>2100</v>
      </c>
      <c r="C22" s="136" t="str">
        <f>C8</f>
        <v>估价对象所在区域基础设施水平</v>
      </c>
      <c r="D22" s="2375"/>
      <c r="E22" s="2411"/>
      <c r="F22" s="2412" t="s">
        <v>2106</v>
      </c>
      <c r="G22" s="1572"/>
    </row>
    <row r="23" spans="1:18" s="2372" customFormat="1" ht="15.75" thickBot="1">
      <c r="A23" s="645"/>
      <c r="B23" s="2412" t="s">
        <v>2117</v>
      </c>
      <c r="C23" s="2413"/>
      <c r="D23" s="2400"/>
      <c r="E23" s="2414"/>
      <c r="F23" s="2415" t="s">
        <v>2118</v>
      </c>
      <c r="G23" s="2416"/>
      <c r="H23" s="2400"/>
      <c r="I23" s="2401"/>
      <c r="J23" s="2400"/>
      <c r="K23" s="2400"/>
      <c r="L23" s="2401"/>
      <c r="M23" s="2400"/>
      <c r="N23" s="2400"/>
      <c r="O23" s="2401"/>
      <c r="P23" s="2400"/>
      <c r="Q23" s="2400"/>
      <c r="R23" s="2402"/>
    </row>
    <row r="24" spans="1:18" s="2372" customFormat="1" ht="15.75" thickBot="1">
      <c r="A24" s="2417"/>
      <c r="B24" s="2415" t="s">
        <v>2119</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57947.42</v>
      </c>
      <c r="C1" s="1745"/>
      <c r="D1" s="1745"/>
      <c r="E1" s="1745"/>
      <c r="F1" s="1745"/>
      <c r="G1" s="1743"/>
    </row>
    <row r="2" spans="1:10" ht="16.5">
      <c r="A2" s="1746" t="s">
        <v>1353</v>
      </c>
      <c r="B2" s="1746">
        <f>SUM(C14:C23)</f>
        <v>13537.24</v>
      </c>
      <c r="C2" s="1745"/>
      <c r="D2" s="1745"/>
      <c r="E2" s="1745"/>
      <c r="F2" s="1745"/>
      <c r="G2" s="1743"/>
    </row>
    <row r="3" spans="1:10" ht="16.5">
      <c r="A3" s="1746" t="s">
        <v>1362</v>
      </c>
      <c r="B3" s="1747">
        <f>项目基本情况!D3</f>
        <v>43423</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240481</v>
      </c>
      <c r="C5" s="1746">
        <f ca="1">ROUND(B5*10000/$B$1,0)</f>
        <v>41500</v>
      </c>
      <c r="D5" s="1746">
        <f ca="1">ROUND(B5*10000/$B$2,0)</f>
        <v>177644</v>
      </c>
      <c r="E5" s="1745"/>
      <c r="F5" s="1743"/>
      <c r="G5" s="1743"/>
    </row>
    <row r="6" spans="1:10" ht="16.5">
      <c r="A6" s="1746" t="s">
        <v>1356</v>
      </c>
      <c r="B6" s="1746">
        <f ca="1">SUM(G14:G23)</f>
        <v>240481</v>
      </c>
      <c r="C6" s="1746">
        <f ca="1">ROUND(B6*10000/$B$1,0)</f>
        <v>41500</v>
      </c>
      <c r="D6" s="1746">
        <f ca="1">ROUND(B6*10000/$B$2,0)</f>
        <v>177644</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57947.42</v>
      </c>
      <c r="C14" s="1744">
        <f>结果表!C118</f>
        <v>13537.24</v>
      </c>
      <c r="D14" s="1744">
        <f ca="1">结果表!H118</f>
        <v>240481</v>
      </c>
      <c r="E14" s="1744">
        <f ca="1">ROUND(D14*10000/B14,0)</f>
        <v>41500</v>
      </c>
      <c r="F14" s="1744">
        <f ca="1">ROUND(D14*10000/C14,0)</f>
        <v>177644</v>
      </c>
      <c r="G14" s="1744">
        <f ca="1">结果表!D122</f>
        <v>240481</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G22" sqref="G22"/>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2120</v>
      </c>
      <c r="B1" s="2423"/>
      <c r="C1" s="2424"/>
      <c r="D1" s="2423"/>
      <c r="E1" s="2423"/>
      <c r="F1" s="2425" t="s">
        <v>2121</v>
      </c>
      <c r="G1" s="2074" t="s">
        <v>3064</v>
      </c>
      <c r="H1" s="2426" t="str">
        <f>IF(G1="现房","——","估价对象范围")</f>
        <v>——</v>
      </c>
      <c r="I1" s="2427"/>
    </row>
    <row r="2" spans="1:12" ht="21.75" customHeight="1" thickBot="1">
      <c r="A2" s="3116" t="str">
        <f>项目基本情况!S2</f>
        <v>北京市房地产</v>
      </c>
      <c r="B2" s="3117"/>
      <c r="C2" s="3117"/>
      <c r="D2" s="3117"/>
      <c r="E2" s="3117"/>
      <c r="F2" s="3117"/>
      <c r="G2" s="3117"/>
      <c r="H2" s="3117"/>
      <c r="I2" s="3118"/>
    </row>
    <row r="3" spans="1:12" ht="12.75">
      <c r="A3" s="3119" t="s">
        <v>2122</v>
      </c>
      <c r="B3" s="3120"/>
      <c r="C3" s="3120"/>
      <c r="D3" s="3120"/>
      <c r="E3" s="3120"/>
      <c r="F3" s="3120"/>
      <c r="G3" s="3120"/>
      <c r="H3" s="3120"/>
      <c r="I3" s="3120"/>
    </row>
    <row r="4" spans="1:12" ht="14.25">
      <c r="A4" s="2430" t="s">
        <v>2123</v>
      </c>
      <c r="B4" s="2431" t="s">
        <v>2124</v>
      </c>
      <c r="C4" s="2432" t="s">
        <v>3072</v>
      </c>
      <c r="D4" s="2432" t="s">
        <v>3079</v>
      </c>
      <c r="E4" s="3100" t="s">
        <v>2125</v>
      </c>
      <c r="F4" s="3113"/>
      <c r="G4" s="3113"/>
      <c r="H4" s="3113"/>
      <c r="I4" s="3101"/>
      <c r="K4" s="2433" t="str">
        <f>IF(ISNUMBER(FIND("比较法",结果表!C4)),"比较法",IF(ISNUMBER(FIND("成本法",结果表!C4)),"成本法",IF(ISNUMBER(FIND("假设开发法",结果表!C4)),"假设开发法",IF(ISNUMBER(FIND("收益法",结果表!C4)),"收益法","基准地价系数修正法"))))</f>
        <v>收益法</v>
      </c>
      <c r="L4" s="2433" t="str">
        <f>IF(ISNUMBER(FIND("比较法",结果表!D4)),"比较法",IF(ISNUMBER(FIND("成本法",结果表!D4)),"成本法",IF(ISNUMBER(FIND("假设开发法",结果表!D4)),"假设开发法",IF(ISNUMBER(FIND("收益法",结果表!D4)),"收益法","基准地价系数修正法"))))</f>
        <v>比较法</v>
      </c>
    </row>
    <row r="5" spans="1:12" ht="12.75">
      <c r="A5" s="3091" t="s">
        <v>2126</v>
      </c>
      <c r="B5" s="3017">
        <v>25</v>
      </c>
      <c r="C5" s="3121"/>
      <c r="D5" s="3109"/>
      <c r="E5" s="140" t="s">
        <v>2127</v>
      </c>
      <c r="F5" s="2434"/>
      <c r="G5" s="2434"/>
      <c r="H5" s="2434"/>
      <c r="I5" s="1834"/>
    </row>
    <row r="6" spans="1:12" ht="12.75">
      <c r="A6" s="3091"/>
      <c r="B6" s="3017"/>
      <c r="C6" s="3123"/>
      <c r="D6" s="3109"/>
      <c r="E6" s="140" t="s">
        <v>2128</v>
      </c>
      <c r="F6" s="2434"/>
      <c r="G6" s="2434"/>
      <c r="H6" s="2434"/>
      <c r="I6" s="1834"/>
    </row>
    <row r="7" spans="1:12" ht="12.75">
      <c r="A7" s="3091"/>
      <c r="B7" s="3017"/>
      <c r="C7" s="3122"/>
      <c r="D7" s="3109"/>
      <c r="E7" s="140" t="s">
        <v>2129</v>
      </c>
      <c r="F7" s="2434"/>
      <c r="G7" s="2434"/>
      <c r="H7" s="2434"/>
      <c r="I7" s="1834"/>
    </row>
    <row r="8" spans="1:12" ht="12.75">
      <c r="A8" s="3091" t="s">
        <v>2130</v>
      </c>
      <c r="B8" s="3017">
        <v>15</v>
      </c>
      <c r="C8" s="3121"/>
      <c r="D8" s="3109"/>
      <c r="E8" s="140" t="s">
        <v>2131</v>
      </c>
      <c r="F8" s="2434"/>
      <c r="G8" s="2434"/>
      <c r="H8" s="2434"/>
      <c r="I8" s="1834"/>
    </row>
    <row r="9" spans="1:12" ht="12.75">
      <c r="A9" s="3091"/>
      <c r="B9" s="3017"/>
      <c r="C9" s="3122"/>
      <c r="D9" s="3109"/>
      <c r="E9" s="140" t="s">
        <v>2132</v>
      </c>
      <c r="F9" s="2434"/>
      <c r="G9" s="2434"/>
      <c r="H9" s="2434"/>
      <c r="I9" s="1834"/>
    </row>
    <row r="10" spans="1:12" ht="12.75">
      <c r="A10" s="3091" t="s">
        <v>2133</v>
      </c>
      <c r="B10" s="3017">
        <v>15</v>
      </c>
      <c r="C10" s="3121"/>
      <c r="D10" s="3109"/>
      <c r="E10" s="140" t="s">
        <v>2134</v>
      </c>
      <c r="F10" s="2434"/>
      <c r="G10" s="2434"/>
      <c r="H10" s="2434"/>
      <c r="I10" s="1834"/>
    </row>
    <row r="11" spans="1:12" ht="12.75">
      <c r="A11" s="3091"/>
      <c r="B11" s="3017"/>
      <c r="C11" s="3122"/>
      <c r="D11" s="3109"/>
      <c r="E11" s="140" t="s">
        <v>2135</v>
      </c>
      <c r="F11" s="2434"/>
      <c r="G11" s="2434"/>
      <c r="H11" s="2434"/>
      <c r="I11" s="1834"/>
    </row>
    <row r="12" spans="1:12" ht="12.75">
      <c r="A12" s="3091" t="s">
        <v>2136</v>
      </c>
      <c r="B12" s="3017">
        <v>15</v>
      </c>
      <c r="C12" s="3121"/>
      <c r="D12" s="3109"/>
      <c r="E12" s="140" t="s">
        <v>2137</v>
      </c>
      <c r="F12" s="2434"/>
      <c r="G12" s="2434"/>
      <c r="H12" s="2434"/>
      <c r="I12" s="1834"/>
    </row>
    <row r="13" spans="1:12" ht="12.75">
      <c r="A13" s="3091"/>
      <c r="B13" s="3017"/>
      <c r="C13" s="3122"/>
      <c r="D13" s="3109"/>
      <c r="E13" s="140" t="s">
        <v>2138</v>
      </c>
      <c r="F13" s="2434"/>
      <c r="G13" s="2434"/>
      <c r="H13" s="2434"/>
      <c r="I13" s="1834"/>
    </row>
    <row r="14" spans="1:12" ht="12.75">
      <c r="A14" s="3091" t="s">
        <v>2139</v>
      </c>
      <c r="B14" s="3017">
        <v>30</v>
      </c>
      <c r="C14" s="3121">
        <v>10</v>
      </c>
      <c r="D14" s="3109">
        <v>0</v>
      </c>
      <c r="E14" s="140" t="s">
        <v>2140</v>
      </c>
      <c r="F14" s="2434"/>
      <c r="G14" s="2434"/>
      <c r="H14" s="2434"/>
      <c r="I14" s="1834"/>
    </row>
    <row r="15" spans="1:12" ht="12.75">
      <c r="A15" s="3091"/>
      <c r="B15" s="3017"/>
      <c r="C15" s="3123"/>
      <c r="D15" s="3109"/>
      <c r="E15" s="140" t="s">
        <v>2141</v>
      </c>
      <c r="F15" s="2434"/>
      <c r="G15" s="2434"/>
      <c r="H15" s="2434"/>
      <c r="I15" s="1834"/>
    </row>
    <row r="16" spans="1:12" ht="12.75">
      <c r="A16" s="3091"/>
      <c r="B16" s="3017"/>
      <c r="C16" s="3122"/>
      <c r="D16" s="3109"/>
      <c r="E16" s="140" t="s">
        <v>2142</v>
      </c>
      <c r="F16" s="2434"/>
      <c r="G16" s="2434"/>
      <c r="H16" s="2434"/>
      <c r="I16" s="1834"/>
    </row>
    <row r="17" spans="1:35" ht="15">
      <c r="A17" s="2435" t="s">
        <v>2143</v>
      </c>
      <c r="B17" s="64"/>
      <c r="C17" s="141">
        <f>SUM(C5:C16)</f>
        <v>10</v>
      </c>
      <c r="D17" s="141">
        <f>SUM(D5:D16)</f>
        <v>0</v>
      </c>
      <c r="E17" s="138"/>
      <c r="F17" s="138"/>
      <c r="G17" s="138"/>
      <c r="H17" s="138"/>
      <c r="I17" s="138"/>
      <c r="K17" s="2433"/>
      <c r="L17" s="2436" t="s">
        <v>2144</v>
      </c>
      <c r="M17" s="2436" t="s">
        <v>2145</v>
      </c>
    </row>
    <row r="18" spans="1:35" ht="15.75" thickBot="1">
      <c r="A18" s="2437" t="s">
        <v>2146</v>
      </c>
      <c r="B18" s="2438"/>
      <c r="C18" s="142">
        <f>ROUND(C17/SUM(C17:D17),2)</f>
        <v>1</v>
      </c>
      <c r="D18" s="142">
        <f>1-C18</f>
        <v>0</v>
      </c>
      <c r="E18" s="138"/>
      <c r="F18" s="138"/>
      <c r="G18" s="138"/>
      <c r="H18" s="138"/>
      <c r="I18" s="138"/>
      <c r="K18" s="2433" t="s">
        <v>2147</v>
      </c>
      <c r="L18" s="2433">
        <f>IF(C1="",'数据-汇总表'!E3,SUMIF(项目类型,C1,'数据-汇总表'!E17:E26)+SUMIF(项目类型,C1,'数据-汇总表'!I17:I26))</f>
        <v>57947.42</v>
      </c>
      <c r="M18" s="2433">
        <f>IF(C1="",'数据-汇总表'!E3,SUMIF(项目类型,C1,'数据-汇总表'!E17:E26))</f>
        <v>57947.42</v>
      </c>
    </row>
    <row r="19" spans="1:35" ht="15">
      <c r="A19" s="2439" t="s">
        <v>2148</v>
      </c>
      <c r="B19" s="2440" t="s">
        <v>2149</v>
      </c>
      <c r="C19" s="143">
        <f ca="1">SUMIF(INDIRECT("'"&amp;C4&amp;"'"&amp;"!A:A"),结果表!B19,INDIRECT("'"&amp;C4&amp;"'"&amp;"!B:B"))</f>
        <v>240481</v>
      </c>
      <c r="D19" s="144">
        <f ca="1">SUMIF(INDIRECT("'"&amp;D4&amp;"'"&amp;"!A:A"),结果表!B19,INDIRECT("'"&amp;D4&amp;"'"&amp;"!B:B"))</f>
        <v>225010</v>
      </c>
      <c r="E19" s="2439" t="s">
        <v>2150</v>
      </c>
      <c r="F19" s="2440" t="s">
        <v>2149</v>
      </c>
      <c r="G19" s="145">
        <f ca="1">ROUND(C19*$C$18+D19*$D$18,0)</f>
        <v>240481</v>
      </c>
      <c r="H19" s="2441" t="s">
        <v>2151</v>
      </c>
      <c r="I19" s="138"/>
      <c r="K19" s="2433" t="s">
        <v>2152</v>
      </c>
      <c r="L19" s="2433">
        <f>IF(C1="",'数据-汇总表'!D3,SUMIF(项目类型,C1,'数据-汇总表'!D17:D26)+SUMIF(项目类型,C1,'数据-汇总表'!H17:H27))</f>
        <v>13537.24</v>
      </c>
      <c r="M19" s="2433">
        <f>IF(C1="",'数据-汇总表'!D3,SUMIF(项目类型,C1,'数据-汇总表'!D17:D26))</f>
        <v>13537.24</v>
      </c>
    </row>
    <row r="20" spans="1:35" ht="15">
      <c r="A20" s="2442"/>
      <c r="B20" s="1250" t="s">
        <v>2153</v>
      </c>
      <c r="C20" s="146">
        <f ca="1">SUMIF(INDIRECT("'"&amp;C4&amp;"'"&amp;"!A:A"),结果表!B20,INDIRECT("'"&amp;C4&amp;"'"&amp;"!B:B"))</f>
        <v>41693</v>
      </c>
      <c r="D20" s="147">
        <f ca="1">SUMIF(INDIRECT("'"&amp;D4&amp;"'"&amp;"!A:A"),结果表!B20,INDIRECT("'"&amp;D4&amp;"'"&amp;"!B:B"))</f>
        <v>38830</v>
      </c>
      <c r="E20" s="2442"/>
      <c r="F20" s="1250" t="s">
        <v>2153</v>
      </c>
      <c r="G20" s="148">
        <f ca="1">ROUND(C20*$C$18+D20*$D$18,0)</f>
        <v>41693</v>
      </c>
      <c r="H20" s="983" t="s">
        <v>2154</v>
      </c>
      <c r="I20" s="138"/>
    </row>
    <row r="21" spans="1:35" ht="15" customHeight="1" thickBot="1">
      <c r="A21" s="1003"/>
      <c r="B21" s="2443" t="s">
        <v>2155</v>
      </c>
      <c r="C21" s="789">
        <f ca="1">ROUND(C19*10000/L19,0)</f>
        <v>177644</v>
      </c>
      <c r="D21" s="790">
        <f ca="1">ROUND(D19*10000/L19,0)</f>
        <v>166216</v>
      </c>
      <c r="E21" s="1003"/>
      <c r="F21" s="2443" t="s">
        <v>2155</v>
      </c>
      <c r="G21" s="149">
        <f ca="1">ROUND(G19*10000/L19,0)</f>
        <v>177644</v>
      </c>
      <c r="H21" s="2444" t="s">
        <v>2154</v>
      </c>
      <c r="I21" s="138"/>
    </row>
    <row r="22" spans="1:35" ht="15" thickBot="1">
      <c r="A22" s="2285" t="s">
        <v>2156</v>
      </c>
      <c r="B22" s="2445"/>
      <c r="C22" s="2446"/>
      <c r="D22" s="791">
        <f ca="1">IF(C19&lt;D19,D19/C19-1,C19/D19-1)</f>
        <v>6.8756944135816234E-2</v>
      </c>
      <c r="E22" s="138"/>
      <c r="F22" s="138"/>
      <c r="G22" s="138"/>
      <c r="H22" s="138"/>
      <c r="I22" s="138"/>
    </row>
    <row r="23" spans="1:35" ht="13.5" thickBot="1">
      <c r="A23" s="2423"/>
      <c r="B23" s="2423"/>
      <c r="C23" s="2423"/>
      <c r="D23" s="2423"/>
      <c r="E23" s="138"/>
      <c r="F23" s="138"/>
      <c r="G23" s="138">
        <f>240000/'数据-汇总表'!F19*10000</f>
        <v>54751.057208695289</v>
      </c>
      <c r="H23" s="138"/>
      <c r="I23" s="138"/>
    </row>
    <row r="24" spans="1:35" ht="14.25">
      <c r="A24" s="3130" t="s">
        <v>2157</v>
      </c>
      <c r="B24" s="2440" t="s">
        <v>2149</v>
      </c>
      <c r="C24" s="145">
        <f>IF(B30=0,0,D30)</f>
        <v>0</v>
      </c>
      <c r="D24" s="2447"/>
      <c r="E24" s="138"/>
      <c r="F24" s="138"/>
      <c r="G24" s="138"/>
      <c r="H24" s="138"/>
      <c r="I24" s="138"/>
    </row>
    <row r="25" spans="1:35" ht="14.25">
      <c r="A25" s="3131"/>
      <c r="B25" s="1250" t="s">
        <v>2153</v>
      </c>
      <c r="C25" s="150">
        <f>IF(B30=0,0,C30)</f>
        <v>0</v>
      </c>
      <c r="D25" s="2448"/>
      <c r="E25" s="138"/>
      <c r="F25" s="138"/>
      <c r="G25" s="138"/>
      <c r="H25" s="138"/>
      <c r="I25" s="138"/>
    </row>
    <row r="26" spans="1:35" ht="13.5" customHeight="1">
      <c r="A26" s="2449" t="s">
        <v>2158</v>
      </c>
      <c r="B26" s="151" t="s">
        <v>2159</v>
      </c>
      <c r="C26" s="151" t="s">
        <v>2160</v>
      </c>
      <c r="D26" s="152" t="s">
        <v>2161</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2162</v>
      </c>
      <c r="B30" s="151"/>
      <c r="C30" s="151"/>
      <c r="D30" s="151"/>
      <c r="E30" s="2932" t="s">
        <v>3041</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2163</v>
      </c>
      <c r="B32" s="2453"/>
      <c r="C32" s="153">
        <f ca="1">IF(D32="总价",G19-C24,G20-C25)</f>
        <v>240481</v>
      </c>
      <c r="D32" s="2454" t="s">
        <v>2164</v>
      </c>
      <c r="E32" s="138"/>
      <c r="F32" s="138"/>
      <c r="G32" s="138"/>
      <c r="H32" s="138"/>
      <c r="I32" s="138"/>
    </row>
    <row r="33" spans="1:15" ht="15">
      <c r="A33" s="960" t="s">
        <v>2165</v>
      </c>
      <c r="B33" s="2455"/>
      <c r="C33" s="2456"/>
      <c r="D33" s="2457"/>
      <c r="E33" s="2458" t="s">
        <v>2166</v>
      </c>
      <c r="F33" s="2459" t="str">
        <f>IF(D32="楼面单价","取值（单价）","取值（总价）")</f>
        <v>取值（总价）</v>
      </c>
      <c r="G33" s="138"/>
      <c r="H33" s="138"/>
      <c r="I33" s="138"/>
    </row>
    <row r="34" spans="1:15" ht="15">
      <c r="A34" s="2460"/>
      <c r="B34" s="2461" t="s">
        <v>2167</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2168</v>
      </c>
      <c r="F34" s="1739"/>
      <c r="G34" s="138"/>
      <c r="H34" s="138"/>
      <c r="I34" s="138"/>
    </row>
    <row r="35" spans="1:15" ht="15.75" thickBot="1">
      <c r="A35" s="2463"/>
      <c r="B35" s="2464" t="s">
        <v>2169</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2170</v>
      </c>
      <c r="F35" s="163"/>
      <c r="G35" s="138"/>
      <c r="H35" s="138"/>
      <c r="I35" s="138"/>
    </row>
    <row r="36" spans="1:15" ht="15.75" thickBot="1">
      <c r="A36" s="3110" t="s">
        <v>2171</v>
      </c>
      <c r="B36" s="2466" t="s">
        <v>2172</v>
      </c>
      <c r="C36" s="154"/>
      <c r="D36" s="2467"/>
      <c r="E36" s="2468"/>
      <c r="F36" s="2469"/>
      <c r="G36" s="138"/>
      <c r="H36" s="138"/>
      <c r="I36" s="138"/>
    </row>
    <row r="37" spans="1:15" ht="15.75" thickBot="1">
      <c r="A37" s="3111"/>
      <c r="B37" s="2271" t="s">
        <v>2173</v>
      </c>
      <c r="C37" s="156"/>
      <c r="D37" s="1395"/>
      <c r="E37" s="1395"/>
      <c r="F37" s="2469"/>
      <c r="G37" s="138"/>
      <c r="H37" s="138"/>
      <c r="I37" s="138"/>
    </row>
    <row r="38" spans="1:15" ht="15.75" thickBot="1">
      <c r="A38" s="3112"/>
      <c r="B38" s="2470" t="s">
        <v>2174</v>
      </c>
      <c r="C38" s="727"/>
      <c r="D38" s="2471" t="s">
        <v>2175</v>
      </c>
      <c r="E38" s="1395"/>
      <c r="F38" s="2469"/>
      <c r="G38" s="138"/>
      <c r="H38" s="138"/>
      <c r="I38" s="138"/>
    </row>
    <row r="39" spans="1:15" ht="15">
      <c r="A39" s="2442" t="s">
        <v>2176</v>
      </c>
      <c r="B39" s="2472" t="s">
        <v>2177</v>
      </c>
      <c r="C39" s="2473" t="s">
        <v>2178</v>
      </c>
      <c r="D39" s="2473" t="s">
        <v>2179</v>
      </c>
      <c r="E39" s="2474" t="s">
        <v>2180</v>
      </c>
      <c r="F39" s="2469"/>
      <c r="G39" s="138"/>
      <c r="H39" s="138"/>
      <c r="I39" s="138"/>
    </row>
    <row r="40" spans="1:15" ht="14.25">
      <c r="A40" s="2475" t="s">
        <v>2181</v>
      </c>
      <c r="B40" s="158"/>
      <c r="C40" s="159"/>
      <c r="D40" s="159"/>
      <c r="E40" s="160"/>
      <c r="F40" s="2469"/>
      <c r="G40" s="138"/>
      <c r="H40" s="138"/>
      <c r="I40" s="138"/>
    </row>
    <row r="41" spans="1:15" ht="14.25">
      <c r="A41" s="2475" t="s">
        <v>2182</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2183</v>
      </c>
      <c r="B44" s="2480"/>
      <c r="C44" s="2480"/>
      <c r="D44" s="2481"/>
      <c r="E44" s="2481"/>
      <c r="F44" s="2482"/>
      <c r="G44" s="2482"/>
      <c r="H44" s="2482"/>
      <c r="I44" s="2482"/>
      <c r="J44" s="2483" t="s">
        <v>2184</v>
      </c>
      <c r="K44" s="2484"/>
      <c r="L44" s="2484"/>
      <c r="M44" s="2484"/>
      <c r="N44" s="2484"/>
      <c r="O44" s="2484"/>
    </row>
    <row r="45" spans="1:15" ht="14.25" customHeight="1" thickBot="1">
      <c r="A45" s="3127" t="s">
        <v>2185</v>
      </c>
      <c r="B45" s="3128"/>
      <c r="C45" s="3129"/>
      <c r="D45" s="164">
        <f ca="1">ROUND(H101*F45,0)</f>
        <v>240481</v>
      </c>
      <c r="E45" s="165" t="s">
        <v>2186</v>
      </c>
      <c r="F45" s="166">
        <v>1</v>
      </c>
      <c r="G45" s="167" t="s">
        <v>2187</v>
      </c>
      <c r="H45" s="138"/>
      <c r="I45" s="138"/>
      <c r="J45" s="3046" t="s">
        <v>2188</v>
      </c>
      <c r="K45" s="3046"/>
      <c r="L45" s="3046"/>
      <c r="M45" s="3046"/>
      <c r="N45" s="3046"/>
      <c r="O45" s="3046"/>
    </row>
    <row r="46" spans="1:15" ht="14.25" customHeight="1">
      <c r="A46" s="3124" t="s">
        <v>2189</v>
      </c>
      <c r="B46" s="3125"/>
      <c r="C46" s="3125"/>
      <c r="D46" s="3125"/>
      <c r="E46" s="3125"/>
      <c r="F46" s="3125"/>
      <c r="G46" s="3126"/>
      <c r="H46" s="2485"/>
      <c r="I46" s="168"/>
      <c r="J46" s="1812">
        <v>1</v>
      </c>
      <c r="K46" s="3046" t="s">
        <v>2190</v>
      </c>
      <c r="L46" s="3046"/>
      <c r="M46" s="3047"/>
      <c r="N46" s="3047"/>
      <c r="O46" s="3047"/>
    </row>
    <row r="47" spans="1:15" ht="12" customHeight="1">
      <c r="A47" s="169" t="s">
        <v>2191</v>
      </c>
      <c r="B47" s="170"/>
      <c r="C47" s="171"/>
      <c r="D47" s="172" t="s">
        <v>2192</v>
      </c>
      <c r="E47" s="24" t="s">
        <v>2193</v>
      </c>
      <c r="F47" s="173" t="s">
        <v>2194</v>
      </c>
      <c r="G47" s="174" t="s">
        <v>2195</v>
      </c>
      <c r="H47" s="2485"/>
      <c r="I47" s="168"/>
      <c r="J47" s="1812">
        <v>2</v>
      </c>
      <c r="K47" s="3046" t="s">
        <v>2196</v>
      </c>
      <c r="L47" s="3046"/>
      <c r="M47" s="3048">
        <f>'数据-取费表'!B2</f>
        <v>43423</v>
      </c>
      <c r="N47" s="3048"/>
      <c r="O47" s="3048"/>
    </row>
    <row r="48" spans="1:15" ht="25.5">
      <c r="A48" s="3114" t="s">
        <v>2197</v>
      </c>
      <c r="B48" s="3115"/>
      <c r="C48" s="3115"/>
      <c r="D48" s="140">
        <f>IF(H48="情况1",0,IF(H48="情况2",D52,IF(H48="情况3",D53,IF(H48="情况4",D54))))</f>
        <v>0</v>
      </c>
      <c r="E48" s="1801" t="str">
        <f>IF(H48="情况4","(销售额-原购置价)×税（费）率","销售额×税（费）率")</f>
        <v>销售额×税（费）率</v>
      </c>
      <c r="F48" s="175" t="str">
        <f>IF(H48="情况1","免征",'数据-取费表'!B41)</f>
        <v>免征</v>
      </c>
      <c r="G48" s="2486" t="s">
        <v>2198</v>
      </c>
      <c r="H48" s="2487" t="s">
        <v>2199</v>
      </c>
      <c r="I48" s="2485"/>
      <c r="J48" s="1812">
        <v>3</v>
      </c>
      <c r="K48" s="3046" t="s">
        <v>2200</v>
      </c>
      <c r="L48" s="3046"/>
      <c r="M48" s="3049">
        <f ca="1">H101</f>
        <v>240481</v>
      </c>
      <c r="N48" s="3049"/>
      <c r="O48" s="3049"/>
    </row>
    <row r="49" spans="1:35" ht="25.5" customHeight="1">
      <c r="A49" s="176" t="s">
        <v>2201</v>
      </c>
      <c r="B49" s="3094" t="s">
        <v>2202</v>
      </c>
      <c r="C49" s="3094"/>
      <c r="D49" s="177">
        <v>0</v>
      </c>
      <c r="E49" s="23" t="s">
        <v>2203</v>
      </c>
      <c r="F49" s="28" t="s">
        <v>34</v>
      </c>
      <c r="G49" s="3075"/>
      <c r="H49" s="138"/>
      <c r="I49" s="2488"/>
      <c r="J49" s="1812">
        <v>4</v>
      </c>
      <c r="K49" s="3046" t="str">
        <f>IF(项目基本情况!E8="房地产抵押价值","房地产抵押价值","抵押担保权已注销时的房地产抵押价值")</f>
        <v>房地产抵押价值</v>
      </c>
      <c r="L49" s="3046"/>
      <c r="M49" s="3049">
        <f ca="1">IF(项目基本情况!E8="房地产抵押价值",H107,H109)</f>
        <v>240481</v>
      </c>
      <c r="N49" s="3049"/>
      <c r="O49" s="3049"/>
    </row>
    <row r="50" spans="1:35" ht="25.5" customHeight="1">
      <c r="A50" s="178"/>
      <c r="B50" s="3094" t="s">
        <v>2204</v>
      </c>
      <c r="C50" s="3094"/>
      <c r="D50" s="179"/>
      <c r="E50" s="31"/>
      <c r="F50" s="180"/>
      <c r="G50" s="3076"/>
      <c r="H50" s="138"/>
      <c r="I50" s="2488"/>
      <c r="J50" s="3046" t="s">
        <v>2205</v>
      </c>
      <c r="K50" s="3046"/>
      <c r="L50" s="3046"/>
      <c r="M50" s="3046"/>
      <c r="N50" s="3046"/>
      <c r="O50" s="3046"/>
    </row>
    <row r="51" spans="1:35" ht="12" customHeight="1">
      <c r="A51" s="181"/>
      <c r="B51" s="3094" t="s">
        <v>2206</v>
      </c>
      <c r="C51" s="3094"/>
      <c r="D51" s="182"/>
      <c r="E51" s="30"/>
      <c r="F51" s="180"/>
      <c r="G51" s="3077"/>
      <c r="H51" s="138"/>
      <c r="I51" s="2488"/>
      <c r="J51" s="2489" t="s">
        <v>2207</v>
      </c>
      <c r="K51" s="3046" t="s">
        <v>2208</v>
      </c>
      <c r="L51" s="3046"/>
      <c r="M51" s="2489" t="s">
        <v>2209</v>
      </c>
      <c r="N51" s="2489" t="s">
        <v>2210</v>
      </c>
      <c r="O51" s="2489" t="s">
        <v>2211</v>
      </c>
    </row>
    <row r="52" spans="1:35" ht="24" customHeight="1">
      <c r="A52" s="183" t="s">
        <v>2212</v>
      </c>
      <c r="B52" s="3094" t="s">
        <v>2213</v>
      </c>
      <c r="C52" s="3094"/>
      <c r="D52" s="182">
        <f ca="1">ROUND(D45*'数据-取费表'!B41/(1+'数据-取费表'!C42),0)</f>
        <v>12826</v>
      </c>
      <c r="E52" s="11" t="s">
        <v>2214</v>
      </c>
      <c r="F52" s="184">
        <f>'数据-取费表'!B41</f>
        <v>5.6000000000000001E-2</v>
      </c>
      <c r="G52" s="2490"/>
      <c r="H52" s="138"/>
      <c r="I52" s="2488"/>
      <c r="J52" s="1812">
        <v>1</v>
      </c>
      <c r="K52" s="3069" t="s">
        <v>2215</v>
      </c>
      <c r="L52" s="3069"/>
      <c r="M52" s="1754">
        <f>D48</f>
        <v>0</v>
      </c>
      <c r="N52" s="1812" t="str">
        <f>E48</f>
        <v>销售额×税（费）率</v>
      </c>
      <c r="O52" s="1755" t="str">
        <f>F48</f>
        <v>免征</v>
      </c>
    </row>
    <row r="53" spans="1:35" ht="12" customHeight="1">
      <c r="A53" s="183" t="s">
        <v>2216</v>
      </c>
      <c r="B53" s="3095" t="s">
        <v>2217</v>
      </c>
      <c r="C53" s="3096"/>
      <c r="D53" s="182">
        <f ca="1">ROUND(D45*'数据-取费表'!B41/(1+'数据-取费表'!C42),0)</f>
        <v>12826</v>
      </c>
      <c r="E53" s="11" t="s">
        <v>2214</v>
      </c>
      <c r="F53" s="184">
        <f>'数据-取费表'!B41</f>
        <v>5.6000000000000001E-2</v>
      </c>
      <c r="G53" s="2490"/>
      <c r="H53" s="138"/>
      <c r="I53" s="2488"/>
      <c r="J53" s="1812">
        <v>2</v>
      </c>
      <c r="K53" s="3069" t="s">
        <v>2218</v>
      </c>
      <c r="L53" s="3069"/>
      <c r="M53" s="1754">
        <f t="shared" ref="M53:O54" ca="1" si="0">D55</f>
        <v>120</v>
      </c>
      <c r="N53" s="1812" t="str">
        <f t="shared" si="0"/>
        <v>销售额×税（费）率</v>
      </c>
      <c r="O53" s="1755">
        <f t="shared" si="0"/>
        <v>5.0000000000000001E-4</v>
      </c>
    </row>
    <row r="54" spans="1:35" ht="12" customHeight="1">
      <c r="A54" s="183" t="s">
        <v>2219</v>
      </c>
      <c r="B54" s="3095" t="s">
        <v>2220</v>
      </c>
      <c r="C54" s="3096"/>
      <c r="D54" s="182">
        <f ca="1">C68</f>
        <v>12826</v>
      </c>
      <c r="E54" s="30" t="s">
        <v>2221</v>
      </c>
      <c r="F54" s="184">
        <f>'数据-取费表'!B41</f>
        <v>5.6000000000000001E-2</v>
      </c>
      <c r="G54" s="2490"/>
      <c r="H54" s="2491"/>
      <c r="I54" s="2488"/>
      <c r="J54" s="1812">
        <v>3</v>
      </c>
      <c r="K54" s="3069" t="s">
        <v>2222</v>
      </c>
      <c r="L54" s="3069"/>
      <c r="M54" s="1754">
        <f t="shared" ca="1" si="0"/>
        <v>136113</v>
      </c>
      <c r="N54" s="1812" t="str">
        <f t="shared" si="0"/>
        <v>增值额×税（费）率</v>
      </c>
      <c r="O54" s="1756" t="str">
        <f t="shared" si="0"/>
        <v>——</v>
      </c>
    </row>
    <row r="55" spans="1:35" ht="24" customHeight="1">
      <c r="A55" s="3133" t="s">
        <v>2223</v>
      </c>
      <c r="B55" s="3115"/>
      <c r="C55" s="3115"/>
      <c r="D55" s="185">
        <f ca="1">IF(H55="个人住宅",0,ROUND(D45*I55,0))</f>
        <v>120</v>
      </c>
      <c r="E55" s="11" t="s">
        <v>2224</v>
      </c>
      <c r="F55" s="184">
        <f>IF(H55="正常",I55,"免征")</f>
        <v>5.0000000000000001E-4</v>
      </c>
      <c r="G55" s="2490"/>
      <c r="H55" s="2487" t="s">
        <v>2225</v>
      </c>
      <c r="I55" s="186">
        <f>'数据-取费表'!B49</f>
        <v>5.0000000000000001E-4</v>
      </c>
      <c r="J55" s="1812" t="str">
        <f>IF(H59="非个人房产","",4)</f>
        <v/>
      </c>
      <c r="K55" s="3069" t="str">
        <f>IF(H59="非个人房产","——","个人所得税")</f>
        <v>——</v>
      </c>
      <c r="L55" s="3069"/>
      <c r="M55" s="1757" t="str">
        <f>D59</f>
        <v>——</v>
      </c>
      <c r="N55" s="1810" t="str">
        <f>E59</f>
        <v>——</v>
      </c>
      <c r="O55" s="1758" t="str">
        <f>F59</f>
        <v>——</v>
      </c>
    </row>
    <row r="56" spans="1:35" ht="24.75">
      <c r="A56" s="3133" t="s">
        <v>2226</v>
      </c>
      <c r="B56" s="3115"/>
      <c r="C56" s="3115"/>
      <c r="D56" s="185">
        <f ca="1">IF(H56="个人住宅",D57,D58)</f>
        <v>136113</v>
      </c>
      <c r="E56" s="11" t="s">
        <v>2227</v>
      </c>
      <c r="F56" s="184" t="str">
        <f>IF(H56="正常",F58,"免征")</f>
        <v>——</v>
      </c>
      <c r="G56" s="2492" t="s">
        <v>2228</v>
      </c>
      <c r="H56" s="2493" t="s">
        <v>2225</v>
      </c>
      <c r="I56" s="2494"/>
      <c r="J56" s="1812" t="str">
        <f>IF(项目基本情况!K6="上海银行",IF(J55="",4,J55+1),"")</f>
        <v/>
      </c>
      <c r="K56" s="3052" t="str">
        <f>IF(项目基本情况!K6="上海银行","其他处置费用","")</f>
        <v/>
      </c>
      <c r="L56" s="3053"/>
      <c r="M56" s="1754" t="str">
        <f>IF(项目基本情况!K6="上海银行",M69,"")</f>
        <v/>
      </c>
      <c r="N56" s="3055" t="str">
        <f>IF(项目基本情况!K6="上海银行","包含处置中涉及的律师、诉讼、拍卖、评估等费用","")</f>
        <v/>
      </c>
      <c r="O56" s="3056"/>
    </row>
    <row r="57" spans="1:35" ht="12.75">
      <c r="A57" s="183" t="s">
        <v>2201</v>
      </c>
      <c r="B57" s="3100" t="s">
        <v>2229</v>
      </c>
      <c r="C57" s="3101"/>
      <c r="D57" s="187">
        <v>0</v>
      </c>
      <c r="E57" s="23" t="s">
        <v>2203</v>
      </c>
      <c r="F57" s="155"/>
      <c r="G57" s="2490"/>
      <c r="H57" s="2494"/>
      <c r="I57" s="2494"/>
      <c r="J57" s="3069">
        <f>IF(AND(J55="",J56=""),4,IF(项目基本情况!K6="上海银行",结果表!J56+1,结果表!J55+1))</f>
        <v>4</v>
      </c>
      <c r="K57" s="3069" t="s">
        <v>2230</v>
      </c>
      <c r="L57" s="2495" t="s">
        <v>2231</v>
      </c>
      <c r="M57" s="1759"/>
      <c r="N57" s="1760">
        <f ca="1">SUMIF(M52:M56,"&lt;9e307")</f>
        <v>136233</v>
      </c>
      <c r="O57" s="2496"/>
      <c r="P57" s="1753">
        <f ca="1">N57/M49</f>
        <v>0.56650213530382854</v>
      </c>
    </row>
    <row r="58" spans="1:35" ht="24.75">
      <c r="A58" s="183" t="s">
        <v>2212</v>
      </c>
      <c r="B58" s="3100" t="s">
        <v>2232</v>
      </c>
      <c r="C58" s="3113"/>
      <c r="D58" s="185">
        <f ca="1">IF(H58="转让取得",C81,C97)</f>
        <v>136113</v>
      </c>
      <c r="E58" s="11" t="s">
        <v>2227</v>
      </c>
      <c r="F58" s="24" t="s">
        <v>34</v>
      </c>
      <c r="G58" s="2490"/>
      <c r="H58" s="2493" t="s">
        <v>2233</v>
      </c>
      <c r="I58" s="2494"/>
      <c r="J58" s="3069"/>
      <c r="K58" s="3069"/>
      <c r="L58" s="2495" t="s">
        <v>2234</v>
      </c>
      <c r="M58" s="1761"/>
      <c r="N58" s="2497" t="str">
        <f ca="1">NUMBERSTRING(INT(N57*10000),2)&amp;"元整"</f>
        <v>壹拾叁亿陆仟贰佰叁拾叁万元整</v>
      </c>
      <c r="O58" s="2498"/>
    </row>
    <row r="59" spans="1:35" ht="24.75" thickBot="1">
      <c r="A59" s="3073" t="s">
        <v>2235</v>
      </c>
      <c r="B59" s="3074"/>
      <c r="C59" s="3074"/>
      <c r="D59" s="188" t="str">
        <f>IF(H59="非个人房产","——",IF(H59="个人住宅",0,ROUND(D45*I59,0)))</f>
        <v>——</v>
      </c>
      <c r="E59" s="189" t="str">
        <f>IF(H59="非个人房产","——","销售额×税（费）率")</f>
        <v>——</v>
      </c>
      <c r="F59" s="190" t="str">
        <f>IF(H59="非个人房产","——",IF(H59="个人住宅","免征",I59))</f>
        <v>——</v>
      </c>
      <c r="G59" s="2499" t="s">
        <v>2228</v>
      </c>
      <c r="H59" s="2493" t="s">
        <v>2236</v>
      </c>
      <c r="I59" s="191">
        <v>0.01</v>
      </c>
      <c r="J59" s="3071">
        <f>J57+1</f>
        <v>5</v>
      </c>
      <c r="K59" s="3069" t="s">
        <v>2237</v>
      </c>
      <c r="L59" s="1812" t="s">
        <v>2231</v>
      </c>
      <c r="M59" s="1762"/>
      <c r="N59" s="1763">
        <f ca="1">M49-N57</f>
        <v>104248</v>
      </c>
      <c r="O59" s="2500"/>
    </row>
    <row r="60" spans="1:35" ht="12" customHeight="1">
      <c r="A60" s="2501"/>
      <c r="B60" s="2423"/>
      <c r="C60" s="2423"/>
      <c r="D60" s="2423"/>
      <c r="E60" s="2170"/>
      <c r="F60" s="2494"/>
      <c r="G60" s="2494"/>
      <c r="H60" s="2502"/>
      <c r="I60" s="138"/>
      <c r="J60" s="3072"/>
      <c r="K60" s="3069"/>
      <c r="L60" s="2495" t="s">
        <v>2234</v>
      </c>
      <c r="M60" s="1761"/>
      <c r="N60" s="2497" t="str">
        <f ca="1">NUMBERSTRING(INT(N59*10000),2)&amp;"元整"</f>
        <v>壹拾亿肆仟贰佰肆拾捌万元整</v>
      </c>
      <c r="O60" s="2498"/>
    </row>
    <row r="61" spans="1:35" ht="13.5" thickBot="1">
      <c r="A61" s="3132" t="s">
        <v>2238</v>
      </c>
      <c r="B61" s="3132"/>
      <c r="C61" s="3132"/>
      <c r="D61" s="3132"/>
      <c r="E61" s="3132"/>
      <c r="F61" s="2494"/>
      <c r="G61" s="2494"/>
      <c r="H61" s="2502"/>
      <c r="I61" s="138"/>
      <c r="J61" s="1812">
        <f>J59+1</f>
        <v>6</v>
      </c>
      <c r="K61" s="3069" t="s">
        <v>2239</v>
      </c>
      <c r="L61" s="3069"/>
      <c r="M61" s="1764"/>
      <c r="N61" s="1765">
        <f ca="1">ROUND(N59*10000/'数据-汇总表'!E3,0)</f>
        <v>17990</v>
      </c>
      <c r="O61" s="2503"/>
    </row>
    <row r="62" spans="1:35" ht="12.75">
      <c r="A62" s="3089" t="s">
        <v>2240</v>
      </c>
      <c r="B62" s="3090"/>
      <c r="C62" s="1804"/>
      <c r="D62" s="1804" t="s">
        <v>2241</v>
      </c>
      <c r="E62" s="192" t="s">
        <v>2242</v>
      </c>
      <c r="F62" s="2494"/>
      <c r="G62" s="2494"/>
      <c r="H62" s="2502"/>
      <c r="I62" s="138"/>
    </row>
    <row r="63" spans="1:35" ht="12.75">
      <c r="A63" s="203" t="s">
        <v>775</v>
      </c>
      <c r="B63" s="193" t="s">
        <v>2243</v>
      </c>
      <c r="C63" s="194">
        <f ca="1">ROUND((C64+C65)/(1+'数据-取费表'!C42),0)</f>
        <v>229030</v>
      </c>
      <c r="D63" s="195"/>
      <c r="E63" s="196"/>
      <c r="F63" s="2494"/>
      <c r="G63" s="2494"/>
      <c r="H63" s="2502"/>
      <c r="I63" s="138"/>
      <c r="J63" s="3054" t="s">
        <v>2244</v>
      </c>
      <c r="K63" s="2504" t="s">
        <v>2245</v>
      </c>
      <c r="L63" s="1752">
        <f ca="1">IF(M49&gt;10000,M49*0.5%,IF(AND(M49&gt;1000,M49&lt;=10000),M49*1%,IF(AND(M49&gt;100,M49&lt;=1000),M49*3%,IF(AND(M49&gt;10,M49&lt;=100),M49*5%,M49*8%))))</f>
        <v>1202.405</v>
      </c>
      <c r="M63" s="24">
        <f ca="1">ROUND(L63,1)</f>
        <v>1202.4000000000001</v>
      </c>
      <c r="Z63" s="2428"/>
      <c r="AI63" s="2429"/>
    </row>
    <row r="64" spans="1:35" ht="14.25" customHeight="1">
      <c r="A64" s="197" t="s">
        <v>770</v>
      </c>
      <c r="B64" s="198" t="s">
        <v>2246</v>
      </c>
      <c r="C64" s="199">
        <f ca="1">D45</f>
        <v>240481</v>
      </c>
      <c r="D64" s="200" t="s">
        <v>32</v>
      </c>
      <c r="E64" s="201"/>
      <c r="F64" s="2494"/>
      <c r="G64" s="2494"/>
      <c r="H64" s="2502"/>
      <c r="I64" s="138"/>
      <c r="J64" s="3054"/>
      <c r="K64" s="2504" t="s">
        <v>2247</v>
      </c>
      <c r="L64" s="1752">
        <f ca="1">IF(M49&gt;2000,M49*0.5%,IF(AND(M49&gt;1000,M49&lt;=2000),M49*0.6%,IF(AND(M49&gt;500,M49&lt;=1000),M49*0.7%,IF(AND(M49&gt;200,M49&lt;=500),M49*0.8%,IF(AND(M49&gt;100,M49&lt;=200),M49*0.9%,IF(AND(M49&gt;50,M49&lt;=100),M49*1%,IF(AND(M49&gt;20,M49&lt;=50),M49*1.5%,IF(AND(M49&gt;10,M49&lt;=20),M49*2%,IF(AND(M49&gt;1,M49&lt;=10),M49*2.5%)))))))))</f>
        <v>1202.405</v>
      </c>
      <c r="M64" s="24">
        <f t="shared" ref="M64:M65" ca="1" si="1">ROUND(L64,1)</f>
        <v>1202.4000000000001</v>
      </c>
      <c r="N64" s="138" t="s">
        <v>2248</v>
      </c>
      <c r="Z64" s="2428"/>
      <c r="AI64" s="2429"/>
    </row>
    <row r="65" spans="1:35" ht="14.25" customHeight="1">
      <c r="A65" s="197" t="s">
        <v>771</v>
      </c>
      <c r="B65" s="198" t="s">
        <v>2249</v>
      </c>
      <c r="C65" s="202"/>
      <c r="D65" s="200"/>
      <c r="E65" s="201"/>
      <c r="F65" s="2494"/>
      <c r="G65" s="2494"/>
      <c r="H65" s="2502"/>
      <c r="I65" s="138"/>
      <c r="J65" s="3054"/>
      <c r="K65" s="2504" t="s">
        <v>2250</v>
      </c>
      <c r="L65" s="1752">
        <f ca="1">IF(M49&gt;1000,M49*0.1%,IF(AND(M49&gt;500,M49&lt;=1000),M49*0.5%,IF(AND(M49&gt;50,M49&lt;=500),M49*1%,IF(AND(M49&gt;1,M49&lt;=50),M49*1.5%))))</f>
        <v>240.48099999999999</v>
      </c>
      <c r="M65" s="24">
        <f t="shared" ca="1" si="1"/>
        <v>240.5</v>
      </c>
      <c r="N65" s="138" t="s">
        <v>2248</v>
      </c>
      <c r="Z65" s="2428"/>
      <c r="AI65" s="2429"/>
    </row>
    <row r="66" spans="1:35" ht="14.25" customHeight="1">
      <c r="A66" s="203" t="s">
        <v>772</v>
      </c>
      <c r="B66" s="204" t="s">
        <v>2251</v>
      </c>
      <c r="C66" s="205"/>
      <c r="D66" s="206" t="s">
        <v>32</v>
      </c>
      <c r="E66" s="1776" t="s">
        <v>1371</v>
      </c>
      <c r="F66" s="2494"/>
      <c r="G66" s="2494"/>
      <c r="H66" s="2502"/>
      <c r="I66" s="138"/>
      <c r="J66" s="3054"/>
      <c r="K66" s="2504" t="s">
        <v>2252</v>
      </c>
      <c r="L66" s="1752">
        <f ca="1">M49*0.5%</f>
        <v>1202.405</v>
      </c>
      <c r="M66" s="24">
        <f ca="1">IF(L66&gt;0.5,0.5,ROUND(L66,0))</f>
        <v>0.5</v>
      </c>
      <c r="N66" s="138" t="s">
        <v>2253</v>
      </c>
      <c r="Z66" s="2428"/>
      <c r="AI66" s="2429"/>
    </row>
    <row r="67" spans="1:35" ht="14.25" customHeight="1">
      <c r="A67" s="203" t="s">
        <v>773</v>
      </c>
      <c r="B67" s="204" t="s">
        <v>2254</v>
      </c>
      <c r="C67" s="207">
        <f ca="1">C63-C66</f>
        <v>229030</v>
      </c>
      <c r="D67" s="200" t="s">
        <v>32</v>
      </c>
      <c r="E67" s="201"/>
      <c r="F67" s="2494"/>
      <c r="G67" s="2494"/>
      <c r="H67" s="2502"/>
      <c r="I67" s="138"/>
      <c r="J67" s="3054"/>
      <c r="K67" s="2504" t="s">
        <v>2255</v>
      </c>
      <c r="L67" s="1752">
        <f ca="1">IF(M49&gt;=10000,(8.25+(M49-10000)*0.01%),IF(AND(M49&gt;=8000,M49&lt;10000),(7.85+(M49-8000)*0.02%),IF(AND(M49&gt;=5000,M49&lt;8000),(6.65+(M49-5000)*0.04%),IF(AND(M49&gt;=2000,M49&lt;5000),(4.25+(PM49-2000)*0.08%),IF(AND(M49&gt;=1000,M49&lt;2000),(2.75+(M49-1000)*0.15%),IF(AND(M49&gt;=100,M49&lt;1000),(0.5+(M49-100)*0.25%),IF(AND(M49&gt;0,M49&lt;100),M49*0.5%)))))))</f>
        <v>31.298100000000002</v>
      </c>
      <c r="M67" s="24">
        <f ca="1">ROUND(L67*0.9,1)</f>
        <v>28.2</v>
      </c>
      <c r="Z67" s="2428"/>
      <c r="AI67" s="2429"/>
    </row>
    <row r="68" spans="1:35" ht="14.25" customHeight="1" thickBot="1">
      <c r="A68" s="208" t="s">
        <v>774</v>
      </c>
      <c r="B68" s="209" t="s">
        <v>2256</v>
      </c>
      <c r="C68" s="210">
        <f ca="1">IF(C67&lt;=0,0,ROUND(C67*D68,0))</f>
        <v>12826</v>
      </c>
      <c r="D68" s="211">
        <f>'数据-取费表'!B41</f>
        <v>5.6000000000000001E-2</v>
      </c>
      <c r="E68" s="212"/>
      <c r="F68" s="2494"/>
      <c r="G68" s="2494"/>
      <c r="H68" s="2502"/>
      <c r="I68" s="138"/>
      <c r="J68" s="3054"/>
      <c r="K68" s="2504" t="s">
        <v>2257</v>
      </c>
      <c r="L68" s="1752">
        <f ca="1">IF(M49&gt;10000,M49*0.5%,IF(AND(M49&gt;5000,M49&lt;=10000),M49*1%,IF(AND(M49&gt;1000,M49&lt;=5000),M49*2%,IF(AND(M49&gt;200,M49&lt;=1000),M49*3%,M49*5%))))</f>
        <v>1202.405</v>
      </c>
      <c r="M68" s="24">
        <f ca="1">ROUND(L68,1)</f>
        <v>1202.4000000000001</v>
      </c>
      <c r="Z68" s="2428"/>
      <c r="AI68" s="2429"/>
    </row>
    <row r="69" spans="1:35" s="2451" customFormat="1" ht="16.5" customHeight="1">
      <c r="A69" s="2505"/>
      <c r="B69" s="2506"/>
      <c r="C69" s="2507"/>
      <c r="D69" s="2508"/>
      <c r="E69" s="2509"/>
      <c r="F69" s="2170"/>
      <c r="G69" s="2170"/>
      <c r="H69" s="2169"/>
      <c r="I69" s="2423"/>
      <c r="J69" s="3054"/>
      <c r="K69" s="2504" t="s">
        <v>2258</v>
      </c>
      <c r="L69" s="2510"/>
      <c r="M69" s="24">
        <f ca="1">ROUND(SUM(M63:M68),0)</f>
        <v>3876</v>
      </c>
      <c r="N69" s="1753">
        <f ca="1">M69/M49</f>
        <v>1.6117697448031237E-2</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098" t="s">
        <v>2259</v>
      </c>
      <c r="B70" s="3099"/>
      <c r="C70" s="3099"/>
      <c r="D70" s="3099"/>
      <c r="E70" s="3099"/>
      <c r="F70" s="3099"/>
      <c r="G70" s="3099"/>
      <c r="H70" s="3099"/>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089" t="s">
        <v>2240</v>
      </c>
      <c r="B71" s="3090"/>
      <c r="C71" s="1804"/>
      <c r="D71" s="1804" t="s">
        <v>2241</v>
      </c>
      <c r="E71" s="213" t="s">
        <v>2242</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2260</v>
      </c>
      <c r="C72" s="207">
        <f ca="1">ROUND(D45/(1+'数据-取费表'!C42),0)</f>
        <v>229030</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2261</v>
      </c>
      <c r="C73" s="207">
        <f ca="1">C74+C78</f>
        <v>1374</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2262</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2263</v>
      </c>
      <c r="C75" s="218"/>
      <c r="D75" s="200" t="s">
        <v>32</v>
      </c>
      <c r="E75" s="219" t="s">
        <v>2264</v>
      </c>
      <c r="F75" s="2516" t="s">
        <v>2265</v>
      </c>
      <c r="G75" s="219" t="s">
        <v>2266</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2267</v>
      </c>
      <c r="C76" s="200">
        <f>IF(F75="购房发票",ROUND(C75*H75*D76,0),0)</f>
        <v>0</v>
      </c>
      <c r="D76" s="222">
        <v>0.05</v>
      </c>
      <c r="E76" s="3095" t="s">
        <v>2268</v>
      </c>
      <c r="F76" s="3094"/>
      <c r="G76" s="3094"/>
      <c r="H76" s="3097"/>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2269</v>
      </c>
      <c r="C77" s="200">
        <f>ROUND(IF(G77="个人住宅",0,IF(G77="2016年5月1日前购买",C75*D77,C75*D77/(1+'数据-取费表'!C42))),0)</f>
        <v>0</v>
      </c>
      <c r="D77" s="223">
        <f>'数据-取费表'!B48+'数据-取费表'!B49</f>
        <v>3.0499999999999999E-2</v>
      </c>
      <c r="E77" s="15" t="s">
        <v>2270</v>
      </c>
      <c r="F77" s="224"/>
      <c r="G77" s="2518" t="s">
        <v>2271</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2272</v>
      </c>
      <c r="C78" s="225">
        <f ca="1">ROUND(D45*D78/(1+'数据-取费表'!C42),0)</f>
        <v>1374</v>
      </c>
      <c r="D78" s="226">
        <f>'数据-取费表'!B43</f>
        <v>6.000000000000001E-3</v>
      </c>
      <c r="E78" s="3086" t="s">
        <v>2273</v>
      </c>
      <c r="F78" s="3087"/>
      <c r="G78" s="3087"/>
      <c r="H78" s="3088"/>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2274</v>
      </c>
      <c r="C79" s="207">
        <f ca="1">C72-C73</f>
        <v>227656</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2275</v>
      </c>
      <c r="C80" s="227">
        <f ca="1">IF(C79&lt;=0,0,C79/C73)</f>
        <v>165.68850072780205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2276</v>
      </c>
      <c r="C81" s="228">
        <f ca="1">ROUND(IF(C79&lt;=0,0,IF(C80&gt;=200%,C79*60%-C73*35%,IF(C80&gt;=100%,C79*50%-C73*15%,IF(C80&gt;=50%,C79*40%-C73*5%,IF(C80&lt;50%,C79*30%,0))))),0)</f>
        <v>136113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098" t="s">
        <v>2277</v>
      </c>
      <c r="B83" s="3099"/>
      <c r="C83" s="3099"/>
      <c r="D83" s="3099"/>
      <c r="E83" s="3099"/>
      <c r="F83" s="3099"/>
      <c r="G83" s="3099"/>
      <c r="H83" s="3099"/>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089" t="s">
        <v>2240</v>
      </c>
      <c r="B84" s="3090"/>
      <c r="C84" s="1804"/>
      <c r="D84" s="1804" t="s">
        <v>2241</v>
      </c>
      <c r="E84" s="213" t="s">
        <v>2242</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2260</v>
      </c>
      <c r="C85" s="207">
        <f ca="1">ROUND(D45/(1+'数据-取费表'!C42),0)</f>
        <v>229030</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2261</v>
      </c>
      <c r="C86" s="207">
        <f ca="1">IF(H88="仅含出让金",C87+C90+C91+C92+C93+C94,C87+C91+C92+C93+C94)</f>
        <v>1374</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2278</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2279</v>
      </c>
      <c r="C88" s="236"/>
      <c r="D88" s="226"/>
      <c r="E88" s="237" t="s">
        <v>2280</v>
      </c>
      <c r="F88" s="1800"/>
      <c r="G88" s="238" t="s">
        <v>2281</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2269</v>
      </c>
      <c r="C89" s="225">
        <f>ROUND(C88*D89,0)</f>
        <v>0</v>
      </c>
      <c r="D89" s="226">
        <f>'数据-取费表'!B48+'数据-取费表'!B49</f>
        <v>3.0499999999999999E-2</v>
      </c>
      <c r="E89" s="237" t="s">
        <v>2282</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2283</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2284</v>
      </c>
      <c r="B91" s="198" t="s">
        <v>2285</v>
      </c>
      <c r="C91" s="225">
        <f>IF(H91="——",成本法!C33,I91)</f>
        <v>0</v>
      </c>
      <c r="D91" s="226"/>
      <c r="E91" s="3086" t="s">
        <v>2286</v>
      </c>
      <c r="F91" s="3087"/>
      <c r="G91" s="3087"/>
      <c r="H91" s="2523" t="s">
        <v>2287</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2288</v>
      </c>
      <c r="B92" s="198" t="s">
        <v>2289</v>
      </c>
      <c r="C92" s="225">
        <f>ROUND((C87+C90+C91)*D92,0)</f>
        <v>0</v>
      </c>
      <c r="D92" s="226">
        <v>0.1</v>
      </c>
      <c r="E92" s="3086" t="s">
        <v>2290</v>
      </c>
      <c r="F92" s="3087"/>
      <c r="G92" s="3087"/>
      <c r="H92" s="3088"/>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2291</v>
      </c>
      <c r="B93" s="198" t="s">
        <v>2272</v>
      </c>
      <c r="C93" s="225">
        <f ca="1">ROUND(D45*D93/(1+'数据-取费表'!C42),0)</f>
        <v>1374</v>
      </c>
      <c r="D93" s="226">
        <f>'数据-取费表'!B43</f>
        <v>6.000000000000001E-3</v>
      </c>
      <c r="E93" s="3086" t="s">
        <v>2273</v>
      </c>
      <c r="F93" s="3087"/>
      <c r="G93" s="3087"/>
      <c r="H93" s="3088"/>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2292</v>
      </c>
      <c r="B94" s="198" t="s">
        <v>2293</v>
      </c>
      <c r="C94" s="236">
        <f>ROUND((C87+C90+C91)*D94,0)</f>
        <v>0</v>
      </c>
      <c r="D94" s="226">
        <v>0.2</v>
      </c>
      <c r="E94" s="3134" t="s">
        <v>2294</v>
      </c>
      <c r="F94" s="3135"/>
      <c r="G94" s="3135"/>
      <c r="H94" s="3136"/>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2274</v>
      </c>
      <c r="C95" s="207">
        <f ca="1">ROUND(C85-C86,0)</f>
        <v>227656</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2275</v>
      </c>
      <c r="C96" s="227">
        <f ca="1">IF(C95&lt;=0,0,C95/C86)</f>
        <v>165.68850072780205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2276</v>
      </c>
      <c r="C97" s="228">
        <f ca="1">ROUND(IF(C95&lt;=0,0,IF(C96&gt;=200%,C95*60%-C86*35%,IF(C96&gt;=100%,C95*50%-C86*15%,IF(C96&gt;=50%,C95*40%-C86*5%,IF(C96&lt;50%,C95*30%,0))))),0)</f>
        <v>136113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2295</v>
      </c>
      <c r="B99" s="2423"/>
      <c r="C99" s="2423"/>
      <c r="D99" s="2423"/>
      <c r="E99" s="2170"/>
      <c r="F99" s="2170"/>
      <c r="G99" s="2170"/>
      <c r="H99" s="2169"/>
      <c r="I99" s="138"/>
    </row>
    <row r="100" spans="1:35" ht="18.75" customHeight="1">
      <c r="A100" s="3038" t="s">
        <v>2296</v>
      </c>
      <c r="B100" s="3039"/>
      <c r="C100" s="3039"/>
      <c r="D100" s="3070"/>
      <c r="E100" s="3039" t="s">
        <v>2297</v>
      </c>
      <c r="F100" s="3039"/>
      <c r="G100" s="3039"/>
      <c r="H100" s="3070"/>
      <c r="I100" s="138"/>
    </row>
    <row r="101" spans="1:35" ht="18.75" customHeight="1">
      <c r="A101" s="3078" t="s">
        <v>2298</v>
      </c>
      <c r="B101" s="3079"/>
      <c r="C101" s="736" t="str">
        <f>C4</f>
        <v>收益法</v>
      </c>
      <c r="D101" s="737" t="str">
        <f>D4</f>
        <v>比较法-工业</v>
      </c>
      <c r="E101" s="3050" t="s">
        <v>2299</v>
      </c>
      <c r="F101" s="3051"/>
      <c r="G101" s="2525" t="s">
        <v>2300</v>
      </c>
      <c r="H101" s="1048">
        <f ca="1">H118</f>
        <v>240481</v>
      </c>
      <c r="I101" s="138"/>
    </row>
    <row r="102" spans="1:35" ht="18.75" customHeight="1">
      <c r="A102" s="3080" t="s">
        <v>2301</v>
      </c>
      <c r="B102" s="2525" t="s">
        <v>2300</v>
      </c>
      <c r="C102" s="736">
        <f ca="1">C19</f>
        <v>240481</v>
      </c>
      <c r="D102" s="737">
        <f ca="1">D19</f>
        <v>225010</v>
      </c>
      <c r="E102" s="3050"/>
      <c r="F102" s="3051"/>
      <c r="G102" s="2525" t="s">
        <v>2302</v>
      </c>
      <c r="H102" s="371">
        <f ca="1">I118</f>
        <v>41500</v>
      </c>
      <c r="I102" s="138"/>
    </row>
    <row r="103" spans="1:35" ht="42.75" customHeight="1">
      <c r="A103" s="3080"/>
      <c r="B103" s="2525" t="s">
        <v>2302</v>
      </c>
      <c r="C103" s="738">
        <f ca="1">C20</f>
        <v>41693</v>
      </c>
      <c r="D103" s="739">
        <f ca="1">D20</f>
        <v>38830</v>
      </c>
      <c r="E103" s="3044" t="s">
        <v>2303</v>
      </c>
      <c r="F103" s="3045"/>
      <c r="G103" s="2526" t="s">
        <v>2304</v>
      </c>
      <c r="H103" s="1048">
        <f>IF(D36="正常操作",H104+H105+H106,H105+H106)</f>
        <v>0</v>
      </c>
      <c r="I103" s="138"/>
    </row>
    <row r="104" spans="1:35" ht="18.75" customHeight="1">
      <c r="A104" s="3080" t="s">
        <v>2305</v>
      </c>
      <c r="B104" s="2527" t="s">
        <v>2300</v>
      </c>
      <c r="C104" s="740">
        <f ca="1">H118</f>
        <v>240481</v>
      </c>
      <c r="D104" s="741"/>
      <c r="E104" s="2271" t="s">
        <v>2306</v>
      </c>
      <c r="F104" s="2262"/>
      <c r="G104" s="2526" t="s">
        <v>2304</v>
      </c>
      <c r="H104" s="1049">
        <f>IF(D36="同一抵押权人同一抵押物续贷",C36&amp;"（未扣减，详见特别提示）",C36)</f>
        <v>0</v>
      </c>
      <c r="I104" s="138"/>
    </row>
    <row r="105" spans="1:35" ht="18.75" customHeight="1" thickBot="1">
      <c r="A105" s="3092"/>
      <c r="B105" s="2528" t="s">
        <v>2302</v>
      </c>
      <c r="C105" s="742">
        <f ca="1">I118</f>
        <v>41500</v>
      </c>
      <c r="D105" s="743"/>
      <c r="E105" s="2271" t="s">
        <v>2307</v>
      </c>
      <c r="F105" s="2262"/>
      <c r="G105" s="2526" t="s">
        <v>2304</v>
      </c>
      <c r="H105" s="1049">
        <f>C37</f>
        <v>0</v>
      </c>
      <c r="I105" s="138"/>
    </row>
    <row r="106" spans="1:35" ht="18.75" customHeight="1">
      <c r="A106" s="2423" t="s">
        <v>2308</v>
      </c>
      <c r="B106" s="2423"/>
      <c r="C106" s="2423"/>
      <c r="D106" s="2423"/>
      <c r="E106" s="2529" t="s">
        <v>2309</v>
      </c>
      <c r="F106" s="2262"/>
      <c r="G106" s="2526" t="s">
        <v>2304</v>
      </c>
      <c r="H106" s="1049">
        <f>C38</f>
        <v>0</v>
      </c>
      <c r="I106" s="138"/>
    </row>
    <row r="107" spans="1:35" ht="18.75" customHeight="1">
      <c r="A107" s="138"/>
      <c r="B107" s="138"/>
      <c r="C107" s="138"/>
      <c r="D107" s="138"/>
      <c r="E107" s="3081" t="str">
        <f>IF(项目基本情况!E8="已注销","——","3.房地产抵押价值")</f>
        <v>3.房地产抵押价值</v>
      </c>
      <c r="F107" s="3051"/>
      <c r="G107" s="2525" t="s">
        <v>2300</v>
      </c>
      <c r="H107" s="1048">
        <f ca="1">IF(E107="——","——",H101-H103)</f>
        <v>240481</v>
      </c>
      <c r="I107" s="138"/>
    </row>
    <row r="108" spans="1:35" ht="18.75" customHeight="1">
      <c r="A108" s="138"/>
      <c r="B108" s="138"/>
      <c r="C108" s="138"/>
      <c r="D108" s="138"/>
      <c r="E108" s="3081"/>
      <c r="F108" s="3051"/>
      <c r="G108" s="2525" t="s">
        <v>2302</v>
      </c>
      <c r="H108" s="371">
        <f ca="1">ROUND(H107*10000/'数据-汇总表'!E3,0)</f>
        <v>41500</v>
      </c>
      <c r="I108" s="138"/>
    </row>
    <row r="109" spans="1:35" ht="18.75" customHeight="1">
      <c r="A109" s="138"/>
      <c r="B109" s="138"/>
      <c r="C109" s="138"/>
      <c r="D109" s="138"/>
      <c r="E109" s="3081" t="str">
        <f>IF(项目基本情况!E8="已注销及未注销","4.抵押担保权已注销时的房地产抵押价值",IF(项目基本情况!E8="已注销","3.抵押担保权已注销时的房地产抵押价值","——"))</f>
        <v>——</v>
      </c>
      <c r="F109" s="3051"/>
      <c r="G109" s="2525" t="s">
        <v>2300</v>
      </c>
      <c r="H109" s="348" t="str">
        <f>IF(E109="——","——",H101-H105-H106)</f>
        <v>——</v>
      </c>
      <c r="I109" s="138"/>
    </row>
    <row r="110" spans="1:35" ht="18.75" customHeight="1">
      <c r="A110" s="138"/>
      <c r="B110" s="138"/>
      <c r="C110" s="138"/>
      <c r="D110" s="138"/>
      <c r="E110" s="3081"/>
      <c r="F110" s="3051"/>
      <c r="G110" s="2525" t="s">
        <v>2302</v>
      </c>
      <c r="H110" s="371" t="str">
        <f>IF(H109="——","——",ROUND(H109*10000/'数据-汇总表'!E3,0))</f>
        <v>——</v>
      </c>
      <c r="I110" s="138"/>
    </row>
    <row r="111" spans="1:35" ht="18.75" customHeight="1">
      <c r="A111" s="138"/>
      <c r="B111" s="138"/>
      <c r="C111" s="138"/>
      <c r="D111" s="138"/>
      <c r="E111" s="3082" t="str">
        <f>IF(项目基本情况!E9="抵押净值",IF(OR(项目基本情况!E8="已注销",项目基本情况!E8="房地产抵押价值"),"4.抵押净值","5.抵押净值"),"——")</f>
        <v>——</v>
      </c>
      <c r="F111" s="3083"/>
      <c r="G111" s="2525" t="s">
        <v>2300</v>
      </c>
      <c r="H111" s="1048" t="str">
        <f>IF(E111="——","——",N59)</f>
        <v>——</v>
      </c>
      <c r="I111" s="138"/>
    </row>
    <row r="112" spans="1:35" ht="18.75" customHeight="1" thickBot="1">
      <c r="A112" s="138"/>
      <c r="B112" s="138"/>
      <c r="C112" s="138"/>
      <c r="D112" s="138"/>
      <c r="E112" s="3084"/>
      <c r="F112" s="3085"/>
      <c r="G112" s="2530" t="s">
        <v>2302</v>
      </c>
      <c r="H112" s="790" t="str">
        <f>IF(E111="——","——",N61)</f>
        <v>——</v>
      </c>
      <c r="I112" s="138"/>
    </row>
    <row r="113" spans="1:11" ht="18.75" customHeight="1">
      <c r="A113" s="138"/>
      <c r="B113" s="138"/>
      <c r="C113" s="138"/>
      <c r="D113" s="138"/>
      <c r="E113" s="3093" t="s">
        <v>2308</v>
      </c>
      <c r="F113" s="3093"/>
      <c r="G113" s="3093"/>
      <c r="H113" s="3093"/>
      <c r="I113" s="138"/>
    </row>
    <row r="114" spans="1:11" ht="3.75" customHeight="1">
      <c r="A114" s="2423"/>
      <c r="B114" s="2423"/>
      <c r="C114" s="2423"/>
      <c r="D114" s="2423"/>
      <c r="E114" s="2501"/>
      <c r="F114" s="2501"/>
      <c r="G114" s="2501"/>
      <c r="H114" s="2501"/>
      <c r="I114" s="2423"/>
    </row>
    <row r="115" spans="1:11" ht="18.75" customHeight="1">
      <c r="A115" s="3106" t="s">
        <v>2310</v>
      </c>
      <c r="B115" s="3107"/>
      <c r="C115" s="3107"/>
      <c r="D115" s="3107"/>
      <c r="E115" s="3107"/>
      <c r="F115" s="3107"/>
      <c r="G115" s="3107"/>
      <c r="H115" s="3107"/>
      <c r="I115" s="3108"/>
    </row>
    <row r="116" spans="1:11" ht="27" customHeight="1">
      <c r="A116" s="3017" t="s">
        <v>2311</v>
      </c>
      <c r="B116" s="3060" t="s">
        <v>2312</v>
      </c>
      <c r="C116" s="3060" t="s">
        <v>2313</v>
      </c>
      <c r="D116" s="3066" t="s">
        <v>2314</v>
      </c>
      <c r="E116" s="3067"/>
      <c r="F116" s="3102" t="s">
        <v>2315</v>
      </c>
      <c r="G116" s="3102"/>
      <c r="H116" s="3017" t="s">
        <v>2316</v>
      </c>
      <c r="I116" s="3017"/>
    </row>
    <row r="117" spans="1:11" ht="18.75" customHeight="1">
      <c r="A117" s="3017"/>
      <c r="B117" s="3061"/>
      <c r="C117" s="3061"/>
      <c r="D117" s="1798" t="s">
        <v>2317</v>
      </c>
      <c r="E117" s="1798" t="s">
        <v>2318</v>
      </c>
      <c r="F117" s="1798" t="s">
        <v>2317</v>
      </c>
      <c r="G117" s="1798" t="s">
        <v>2319</v>
      </c>
      <c r="H117" s="1798" t="s">
        <v>2317</v>
      </c>
      <c r="I117" s="1798" t="s">
        <v>2319</v>
      </c>
    </row>
    <row r="118" spans="1:11" ht="24.75" customHeight="1">
      <c r="A118" s="2531" t="str">
        <f>项目基本情况!S2</f>
        <v>北京市房地产</v>
      </c>
      <c r="B118" s="1798">
        <f>M18</f>
        <v>57947.42</v>
      </c>
      <c r="C118" s="1798">
        <f>M19</f>
        <v>13537.24</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240481</v>
      </c>
      <c r="I118" s="1798">
        <f ca="1">ROUND(IF(D32="楼面单价",C32,H118*10000/B118),0)</f>
        <v>41500</v>
      </c>
    </row>
    <row r="119" spans="1:11" ht="18.75" customHeight="1">
      <c r="A119" s="3017" t="s">
        <v>2320</v>
      </c>
      <c r="B119" s="3017"/>
      <c r="C119" s="3017"/>
      <c r="D119" s="3062" t="e">
        <f ca="1">NUMBERSTRING(INT(D118*10000),2)&amp;"元整"</f>
        <v>#REF!</v>
      </c>
      <c r="E119" s="3063"/>
      <c r="F119" s="3062" t="e">
        <f ca="1">NUMBERSTRING(INT(F118*10000),2)&amp;"元整"</f>
        <v>#REF!</v>
      </c>
      <c r="G119" s="3063"/>
      <c r="H119" s="3062" t="str">
        <f ca="1">NUMBERSTRING(INT(H118*10000),2)&amp;"元整"</f>
        <v>贰拾肆亿零肆佰捌拾壹万元整</v>
      </c>
      <c r="I119" s="3063"/>
    </row>
    <row r="120" spans="1:11" ht="18.75" customHeight="1">
      <c r="A120" s="3057" t="str">
        <f>IF(项目基本情况!B9="房地产市场价值","",MID(E103,3,LEN(E103)-2))</f>
        <v>估价师知悉的法定优先受偿款</v>
      </c>
      <c r="B120" s="3058"/>
      <c r="C120" s="3059"/>
      <c r="D120" s="3057">
        <f>H103</f>
        <v>0</v>
      </c>
      <c r="E120" s="3058"/>
      <c r="F120" s="3058"/>
      <c r="G120" s="3058"/>
      <c r="H120" s="3058"/>
      <c r="I120" s="3059"/>
      <c r="K120" s="2428" t="str">
        <f>IF(D120=0,"故，本次评估不存在"&amp;A120,"故，本次评估"&amp;A120&amp;"为人民币"&amp;D120&amp;"万元整。")</f>
        <v>故，本次评估不存在估价师知悉的法定优先受偿款</v>
      </c>
    </row>
    <row r="121" spans="1:11" ht="18.75" customHeight="1">
      <c r="A121" s="3103" t="s">
        <v>2320</v>
      </c>
      <c r="B121" s="3104"/>
      <c r="C121" s="3105"/>
      <c r="D121" s="3062" t="str">
        <f>IF(D120=0,"零元整",NUMBERSTRING(INT(D120*10000),2)&amp;"元整")</f>
        <v>零元整</v>
      </c>
      <c r="E121" s="3064"/>
      <c r="F121" s="3064"/>
      <c r="G121" s="3064"/>
      <c r="H121" s="3064"/>
      <c r="I121" s="3063"/>
    </row>
    <row r="122" spans="1:11" ht="18.75" customHeight="1">
      <c r="A122" s="3068" t="str">
        <f>IF(项目基本情况!B9="房地产市场价值","",MID(E107,3,LEN(E107)-2))</f>
        <v>房地产抵押价值</v>
      </c>
      <c r="B122" s="3068"/>
      <c r="C122" s="3068"/>
      <c r="D122" s="3057">
        <f ca="1">H107</f>
        <v>240481</v>
      </c>
      <c r="E122" s="3058"/>
      <c r="F122" s="3058"/>
      <c r="G122" s="3058"/>
      <c r="H122" s="3058"/>
      <c r="I122" s="3059"/>
    </row>
    <row r="123" spans="1:11" ht="18.75" customHeight="1">
      <c r="A123" s="3017" t="s">
        <v>2320</v>
      </c>
      <c r="B123" s="3017"/>
      <c r="C123" s="3017"/>
      <c r="D123" s="3062" t="str">
        <f ca="1">NUMBERSTRING(INT(D122*10000),2)&amp;"元整"</f>
        <v>贰拾肆亿零肆佰捌拾壹万元整</v>
      </c>
      <c r="E123" s="3064"/>
      <c r="F123" s="3064"/>
      <c r="G123" s="3064"/>
      <c r="H123" s="3064"/>
      <c r="I123" s="3063"/>
    </row>
    <row r="124" spans="1:11" ht="18.75" customHeight="1">
      <c r="A124" s="3068" t="str">
        <f>IF(项目基本情况!B9="房地产市场价值","",MID(E109,3,LEN(E109)-2))</f>
        <v/>
      </c>
      <c r="B124" s="3068"/>
      <c r="C124" s="3068"/>
      <c r="D124" s="3057" t="str">
        <f>H109</f>
        <v>——</v>
      </c>
      <c r="E124" s="3058"/>
      <c r="F124" s="3058"/>
      <c r="G124" s="3058"/>
      <c r="H124" s="3058"/>
      <c r="I124" s="3059"/>
    </row>
    <row r="125" spans="1:11" ht="18.75" customHeight="1">
      <c r="A125" s="3017" t="s">
        <v>2320</v>
      </c>
      <c r="B125" s="3017"/>
      <c r="C125" s="3017"/>
      <c r="D125" s="3062" t="e">
        <f>NUMBERSTRING(INT(D124*10000),2)&amp;"元整"</f>
        <v>#VALUE!</v>
      </c>
      <c r="E125" s="3064"/>
      <c r="F125" s="3064"/>
      <c r="G125" s="3064"/>
      <c r="H125" s="3064"/>
      <c r="I125" s="3063"/>
    </row>
    <row r="126" spans="1:11" ht="18.75" customHeight="1">
      <c r="A126" s="3068" t="str">
        <f>IF(项目基本情况!B9="房地产市场价值","",MID(E111,3,LEN(E111)-2))</f>
        <v/>
      </c>
      <c r="B126" s="3068"/>
      <c r="C126" s="3068"/>
      <c r="D126" s="3057" t="str">
        <f>H111</f>
        <v>——</v>
      </c>
      <c r="E126" s="3058"/>
      <c r="F126" s="3058"/>
      <c r="G126" s="3058"/>
      <c r="H126" s="3058"/>
      <c r="I126" s="3059"/>
    </row>
    <row r="127" spans="1:11" ht="18.75" customHeight="1">
      <c r="A127" s="3017" t="s">
        <v>2320</v>
      </c>
      <c r="B127" s="3017"/>
      <c r="C127" s="3017"/>
      <c r="D127" s="3062" t="e">
        <f>NUMBERSTRING(INT(D126*10000),2)&amp;"元整"</f>
        <v>#VALUE!</v>
      </c>
      <c r="E127" s="3064"/>
      <c r="F127" s="3064"/>
      <c r="G127" s="3064"/>
      <c r="H127" s="3064"/>
      <c r="I127" s="3063"/>
    </row>
    <row r="128" spans="1:11" ht="21.75" customHeight="1">
      <c r="A128" s="3065" t="s">
        <v>2321</v>
      </c>
      <c r="B128" s="3065"/>
      <c r="C128" s="3065"/>
      <c r="D128" s="3065"/>
      <c r="E128" s="3065"/>
      <c r="F128" s="3065"/>
      <c r="G128" s="3065"/>
      <c r="H128" s="3065"/>
      <c r="I128" s="3065"/>
    </row>
    <row r="129" spans="1:35" ht="21.75" customHeight="1">
      <c r="A129" s="2532" t="s">
        <v>2322</v>
      </c>
      <c r="B129" s="2533"/>
      <c r="C129" s="2534" t="s">
        <v>2323</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2324</v>
      </c>
      <c r="G135" s="2549"/>
      <c r="H135" s="2549"/>
      <c r="I135" s="2550" t="s">
        <v>2325</v>
      </c>
    </row>
    <row r="136" spans="1:35" ht="21.75" customHeight="1">
      <c r="A136" s="795"/>
      <c r="B136" s="2551" t="s">
        <v>2326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2327</v>
      </c>
    </row>
    <row r="139" spans="1:35" ht="21.75" customHeight="1">
      <c r="A139" s="795"/>
      <c r="B139" s="2551" t="s">
        <v>2328</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2327</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2329</v>
      </c>
      <c r="B1" s="1940"/>
      <c r="C1" s="242"/>
      <c r="D1" s="242"/>
      <c r="E1" s="242"/>
      <c r="F1" s="242"/>
      <c r="G1" s="1382">
        <f>MATCH(B1,'数据-取费表'!A6:A16,0)+5</f>
        <v>7</v>
      </c>
    </row>
    <row r="2" spans="1:9" s="244" customFormat="1" ht="18" customHeight="1">
      <c r="A2" s="245" t="s">
        <v>2330</v>
      </c>
      <c r="B2" s="246">
        <f ca="1">IF(D2="——",C52,C52-E2)</f>
        <v>32024</v>
      </c>
      <c r="C2" s="243" t="s">
        <v>2331</v>
      </c>
      <c r="D2" s="2554" t="s">
        <v>70</v>
      </c>
      <c r="E2" s="1443" t="e">
        <f ca="1">SUMIF(INDIRECT("'"&amp;G2&amp;"'"&amp;"!A:A"),"承租人权益价值",INDIRECT("'"&amp;G2&amp;"'"&amp;"!c:c"))</f>
        <v>#REF!</v>
      </c>
      <c r="F2" s="2555" t="s">
        <v>2331</v>
      </c>
      <c r="G2" s="2556"/>
    </row>
    <row r="3" spans="1:9" s="244" customFormat="1" ht="18" customHeight="1" thickBot="1">
      <c r="A3" s="247" t="s">
        <v>2332</v>
      </c>
      <c r="B3" s="248">
        <f ca="1">ROUND(B2*10000/(IF(B1="",'数据-汇总表'!E3,INDIRECT("'数据-取费表'!k"&amp;$G$1))),0)</f>
        <v>5526</v>
      </c>
      <c r="C3" s="243" t="s">
        <v>2333</v>
      </c>
      <c r="D3" s="243"/>
      <c r="E3" s="243"/>
      <c r="F3" s="243"/>
      <c r="G3" s="243"/>
    </row>
    <row r="4" spans="1:9" s="252" customFormat="1" ht="15.75">
      <c r="A4" s="249" t="s">
        <v>2334</v>
      </c>
      <c r="B4" s="250"/>
      <c r="C4" s="250"/>
      <c r="D4" s="250"/>
      <c r="E4" s="250"/>
      <c r="F4" s="250"/>
      <c r="G4" s="251"/>
    </row>
    <row r="5" spans="1:9" s="258" customFormat="1" ht="13.5" customHeight="1">
      <c r="A5" s="299" t="s">
        <v>2335</v>
      </c>
      <c r="B5" s="254" t="s">
        <v>2336</v>
      </c>
      <c r="C5" s="255">
        <f>C6+C7+C8</f>
        <v>1159</v>
      </c>
      <c r="D5" s="255" t="s">
        <v>2337</v>
      </c>
      <c r="E5" s="256" t="s">
        <v>2338</v>
      </c>
      <c r="F5" s="256" t="s">
        <v>2339</v>
      </c>
      <c r="G5" s="257"/>
    </row>
    <row r="6" spans="1:9" s="258" customFormat="1" ht="13.5" customHeight="1">
      <c r="A6" s="952" t="s">
        <v>2340</v>
      </c>
      <c r="B6" s="259" t="s">
        <v>2341</v>
      </c>
      <c r="C6" s="260"/>
      <c r="D6" s="261"/>
      <c r="E6" s="262"/>
      <c r="F6" s="262"/>
      <c r="G6" s="263"/>
    </row>
    <row r="7" spans="1:9" s="258" customFormat="1" ht="13.5" customHeight="1">
      <c r="A7" s="952" t="s">
        <v>2342</v>
      </c>
      <c r="B7" s="259" t="s">
        <v>2343</v>
      </c>
      <c r="C7" s="264">
        <f>ROUND(C6*F7,0)</f>
        <v>0</v>
      </c>
      <c r="D7" s="264"/>
      <c r="E7" s="262"/>
      <c r="F7" s="265">
        <f>'数据-取费表'!B48+'数据-取费表'!B49</f>
        <v>3.0499999999999999E-2</v>
      </c>
      <c r="G7" s="263"/>
    </row>
    <row r="8" spans="1:9" s="267" customFormat="1">
      <c r="A8" s="952" t="s">
        <v>2344</v>
      </c>
      <c r="B8" s="259" t="s">
        <v>2345</v>
      </c>
      <c r="C8" s="264">
        <f>IF(G8="已包含在土地购买价格中","0",IF(B1="",'数据-取费表'!B29,IF(G9="全部缴纳",C9+C10,H9)))</f>
        <v>1159</v>
      </c>
      <c r="D8" s="266"/>
      <c r="E8" s="264"/>
      <c r="F8" s="265"/>
      <c r="G8" s="2557"/>
    </row>
    <row r="9" spans="1:9" s="258" customFormat="1" ht="13.5" customHeight="1">
      <c r="A9" s="953" t="s">
        <v>800</v>
      </c>
      <c r="B9" s="268" t="s">
        <v>2346</v>
      </c>
      <c r="C9" s="269">
        <f ca="1">ROUND(D9*E9/10000,0)</f>
        <v>0</v>
      </c>
      <c r="D9" s="1035">
        <f ca="1">IF(B1="",'数据-汇总表'!E5,IF(INDIRECT("'数据-取费表'!c"&amp;$G$1)="住宅",INDIRECT("'数据-取费表'!k"&amp;$G$1),0))</f>
        <v>0</v>
      </c>
      <c r="E9" s="269">
        <f>'数据-取费表'!B27</f>
        <v>0</v>
      </c>
      <c r="F9" s="265"/>
      <c r="G9" s="2558"/>
      <c r="H9" s="1393"/>
      <c r="I9" s="2559" t="s">
        <v>2347</v>
      </c>
    </row>
    <row r="10" spans="1:9" s="258" customFormat="1" ht="13.5" customHeight="1">
      <c r="A10" s="953" t="s">
        <v>801</v>
      </c>
      <c r="B10" s="268" t="s">
        <v>2348</v>
      </c>
      <c r="C10" s="269">
        <f ca="1">ROUND(D10*E10/10000,0)</f>
        <v>1159</v>
      </c>
      <c r="D10" s="1035">
        <f ca="1">IF(B1="",'数据-汇总表'!E6,IF(INDIRECT("'数据-取费表'!c"&amp;$G$1)="住宅",INDIRECT("'数据-取费表'!s"&amp;$G$1),INDIRECT("'数据-取费表'!k"&amp;$G$1)+INDIRECT("'数据-取费表'!s"&amp;$G$1)))</f>
        <v>57947.42</v>
      </c>
      <c r="E10" s="269">
        <f>'数据-取费表'!B28</f>
        <v>200</v>
      </c>
      <c r="F10" s="265"/>
      <c r="G10" s="270"/>
    </row>
    <row r="11" spans="1:9" s="258" customFormat="1" ht="13.5" hidden="1" customHeight="1">
      <c r="A11" s="271" t="s">
        <v>7</v>
      </c>
      <c r="B11" s="259" t="s">
        <v>2349</v>
      </c>
      <c r="C11" s="255"/>
      <c r="D11" s="1037"/>
      <c r="E11" s="262"/>
      <c r="F11" s="262"/>
      <c r="G11" s="263"/>
    </row>
    <row r="12" spans="1:9" s="258" customFormat="1" ht="13.5" hidden="1" customHeight="1">
      <c r="A12" s="271" t="s">
        <v>8</v>
      </c>
      <c r="B12" s="259" t="s">
        <v>2350</v>
      </c>
      <c r="C12" s="255">
        <v>0</v>
      </c>
      <c r="D12" s="1037"/>
      <c r="E12" s="272"/>
      <c r="F12" s="265">
        <v>3.0499999999999999E-2</v>
      </c>
      <c r="G12" s="263"/>
    </row>
    <row r="13" spans="1:9" s="258" customFormat="1" ht="13.5" hidden="1" customHeight="1">
      <c r="A13" s="271" t="s">
        <v>9</v>
      </c>
      <c r="B13" s="259" t="s">
        <v>2351</v>
      </c>
      <c r="C13" s="255"/>
      <c r="D13" s="1037"/>
      <c r="E13" s="262"/>
      <c r="F13" s="262"/>
      <c r="G13" s="263"/>
    </row>
    <row r="14" spans="1:9" s="258" customFormat="1" ht="13.5" hidden="1" customHeight="1">
      <c r="A14" s="271" t="s">
        <v>10</v>
      </c>
      <c r="B14" s="259" t="s">
        <v>2352</v>
      </c>
      <c r="C14" s="255"/>
      <c r="D14" s="1037"/>
      <c r="E14" s="262"/>
      <c r="F14" s="262"/>
      <c r="G14" s="263" t="s">
        <v>2353</v>
      </c>
    </row>
    <row r="15" spans="1:9" s="258" customFormat="1" ht="13.5" hidden="1" customHeight="1">
      <c r="A15" s="271" t="s">
        <v>11</v>
      </c>
      <c r="B15" s="259" t="s">
        <v>2354</v>
      </c>
      <c r="C15" s="264"/>
      <c r="D15" s="1037"/>
      <c r="E15" s="262"/>
      <c r="F15" s="262"/>
      <c r="G15" s="263" t="s">
        <v>2355</v>
      </c>
    </row>
    <row r="16" spans="1:9" s="258" customFormat="1" ht="13.5" hidden="1" customHeight="1">
      <c r="A16" s="271" t="s">
        <v>12</v>
      </c>
      <c r="B16" s="259" t="s">
        <v>2352</v>
      </c>
      <c r="C16" s="264"/>
      <c r="D16" s="1037"/>
      <c r="E16" s="262"/>
      <c r="F16" s="262"/>
      <c r="G16" s="263"/>
    </row>
    <row r="17" spans="1:7" s="258" customFormat="1" ht="13.5" hidden="1" customHeight="1">
      <c r="A17" s="271" t="s">
        <v>13</v>
      </c>
      <c r="B17" s="259" t="s">
        <v>2356</v>
      </c>
      <c r="C17" s="273"/>
      <c r="D17" s="1038"/>
      <c r="E17" s="273"/>
      <c r="F17" s="273"/>
      <c r="G17" s="263" t="s">
        <v>2355</v>
      </c>
    </row>
    <row r="18" spans="1:7" s="258" customFormat="1" ht="13.5" hidden="1" customHeight="1">
      <c r="A18" s="271" t="s">
        <v>14</v>
      </c>
      <c r="B18" s="259" t="s">
        <v>2357</v>
      </c>
      <c r="C18" s="264">
        <v>0</v>
      </c>
      <c r="D18" s="1037"/>
      <c r="E18" s="262"/>
      <c r="F18" s="265">
        <v>3.0499999999999999E-2</v>
      </c>
      <c r="G18" s="263" t="s">
        <v>2358</v>
      </c>
    </row>
    <row r="19" spans="1:7" s="267" customFormat="1" ht="13.5" customHeight="1">
      <c r="A19" s="299" t="s">
        <v>2359</v>
      </c>
      <c r="B19" s="254" t="s">
        <v>2360</v>
      </c>
      <c r="C19" s="255">
        <f ca="1">IF(G19="已包含在土地取得成本中","0",ROUND(D19*E19/10000,0))</f>
        <v>1159</v>
      </c>
      <c r="D19" s="1039">
        <f ca="1">D9+D10</f>
        <v>57947.42</v>
      </c>
      <c r="E19" s="255">
        <f>'数据-取费表'!B31</f>
        <v>200</v>
      </c>
      <c r="F19" s="275"/>
      <c r="G19" s="2557"/>
    </row>
    <row r="20" spans="1:7" s="258" customFormat="1" ht="13.5" customHeight="1">
      <c r="A20" s="299" t="s">
        <v>2361</v>
      </c>
      <c r="B20" s="254" t="s">
        <v>2362</v>
      </c>
      <c r="C20" s="276">
        <f ca="1">ROUND((C5+C19)*F20,0)</f>
        <v>46</v>
      </c>
      <c r="D20" s="276"/>
      <c r="E20" s="276"/>
      <c r="F20" s="277">
        <f>'数据-取费表'!B37</f>
        <v>0.02</v>
      </c>
      <c r="G20" s="278" t="s">
        <v>2363</v>
      </c>
    </row>
    <row r="21" spans="1:7" s="258" customFormat="1" ht="13.5" customHeight="1">
      <c r="A21" s="299" t="s">
        <v>2364</v>
      </c>
      <c r="B21" s="254" t="s">
        <v>2365</v>
      </c>
      <c r="C21" s="279">
        <f>F21</f>
        <v>0.02</v>
      </c>
      <c r="D21" s="280" t="s">
        <v>2366</v>
      </c>
      <c r="E21" s="276"/>
      <c r="F21" s="277">
        <f>'数据-取费表'!B38</f>
        <v>0.02</v>
      </c>
      <c r="G21" s="278" t="s">
        <v>2367</v>
      </c>
    </row>
    <row r="22" spans="1:7" s="258" customFormat="1" ht="13.5" customHeight="1">
      <c r="A22" s="299" t="s">
        <v>2368</v>
      </c>
      <c r="B22" s="254" t="s">
        <v>2369</v>
      </c>
      <c r="C22" s="1357">
        <f ca="1">ROUND(SUM(C23:C25),0)</f>
        <v>228</v>
      </c>
      <c r="D22" s="279">
        <f ca="1">C26</f>
        <v>1E-3</v>
      </c>
      <c r="E22" s="280" t="s">
        <v>2366</v>
      </c>
      <c r="F22" s="281">
        <f ca="1">'数据-取费表'!B40</f>
        <v>4.7500000000000001E-2</v>
      </c>
      <c r="G22" s="278" t="str">
        <f>IF('数据-取费表'!B22&lt;=1,"单利计息","复利计息")</f>
        <v>复利计息</v>
      </c>
    </row>
    <row r="23" spans="1:7" s="258" customFormat="1" ht="13.5" customHeight="1">
      <c r="A23" s="954" t="s">
        <v>2370</v>
      </c>
      <c r="B23" s="259" t="s">
        <v>2371</v>
      </c>
      <c r="C23" s="1358">
        <f ca="1">ROUND(IF('数据-取费表'!B22&lt;=1,C5*F22*'数据-取费表'!B23,C5*(POWER((1+F22),'数据-取费表'!B23)-1)),0)</f>
        <v>113</v>
      </c>
      <c r="D23" s="282"/>
      <c r="E23" s="282"/>
      <c r="F23" s="283"/>
      <c r="G23" s="284" t="s">
        <v>2372</v>
      </c>
    </row>
    <row r="24" spans="1:7" s="258" customFormat="1" ht="13.5" customHeight="1">
      <c r="A24" s="954" t="s">
        <v>2373</v>
      </c>
      <c r="B24" s="259" t="s">
        <v>2374</v>
      </c>
      <c r="C24" s="1358">
        <f ca="1">ROUND(IF('数据-取费表'!B22&lt;=1,C19*F22*('数据-取费表'!B19/2+'数据-取费表'!B21),C19*(POWER((1+F22),('数据-取费表'!B19/2+'数据-取费表'!B21))-1)),0)</f>
        <v>113</v>
      </c>
      <c r="D24" s="282"/>
      <c r="E24" s="282"/>
      <c r="F24" s="283"/>
      <c r="G24" s="284" t="s">
        <v>2375</v>
      </c>
    </row>
    <row r="25" spans="1:7" s="258" customFormat="1" ht="24">
      <c r="A25" s="954" t="s">
        <v>2376</v>
      </c>
      <c r="B25" s="259" t="s">
        <v>2377</v>
      </c>
      <c r="C25" s="1358">
        <f ca="1">ROUND(IF('数据-取费表'!B22&lt;=1,C20*F22*'数据-取费表'!B23/2,C20*(POWER((1+F22),'数据-取费表'!B23/2)-1)),0)</f>
        <v>2</v>
      </c>
      <c r="D25" s="282"/>
      <c r="E25" s="285"/>
      <c r="F25" s="283"/>
      <c r="G25" s="286" t="s">
        <v>2378</v>
      </c>
    </row>
    <row r="26" spans="1:7" s="258" customFormat="1">
      <c r="A26" s="954" t="s">
        <v>795</v>
      </c>
      <c r="B26" s="259" t="s">
        <v>2379</v>
      </c>
      <c r="C26" s="282">
        <f ca="1">ROUND(IF('数据-取费表'!B22&lt;=1,F21*F22*'数据-取费表'!B23/2,F21*(POWER((1+F22),'数据-取费表'!B23/2)-1)),4)</f>
        <v>1E-3</v>
      </c>
      <c r="D26" s="282"/>
      <c r="E26" s="285"/>
      <c r="F26" s="283"/>
      <c r="G26" s="287"/>
    </row>
    <row r="27" spans="1:7" s="258" customFormat="1" ht="24.75">
      <c r="A27" s="299" t="s">
        <v>2380</v>
      </c>
      <c r="B27" s="288" t="s">
        <v>2381</v>
      </c>
      <c r="C27" s="289">
        <f ca="1">C28</f>
        <v>473</v>
      </c>
      <c r="D27" s="279">
        <f ca="1">C29</f>
        <v>4.0000000000000001E-3</v>
      </c>
      <c r="E27" s="280" t="s">
        <v>2382</v>
      </c>
      <c r="F27" s="290">
        <f ca="1">IF(B1="",'数据-取费表'!Q16,INDIRECT("'数据-取费表'!q"&amp;$G$1))</f>
        <v>0.2</v>
      </c>
      <c r="G27" s="291" t="s">
        <v>2383</v>
      </c>
    </row>
    <row r="28" spans="1:7" s="258" customFormat="1" ht="13.5" customHeight="1">
      <c r="A28" s="954" t="s">
        <v>791</v>
      </c>
      <c r="B28" s="292" t="s">
        <v>2384</v>
      </c>
      <c r="C28" s="293">
        <f ca="1">ROUND((C5+C19+C20)*F27*'数据-取费表'!B21/'数据-取费表'!B20,0)</f>
        <v>473</v>
      </c>
      <c r="D28" s="279"/>
      <c r="E28" s="280"/>
      <c r="F28" s="290"/>
      <c r="G28" s="291"/>
    </row>
    <row r="29" spans="1:7" s="258" customFormat="1" ht="13.5" customHeight="1">
      <c r="A29" s="954" t="s">
        <v>792</v>
      </c>
      <c r="B29" s="292" t="s">
        <v>2385</v>
      </c>
      <c r="C29" s="282">
        <f ca="1">ROUND(C21*F27*'数据-取费表'!B21/'数据-取费表'!B20,4)</f>
        <v>4.0000000000000001E-3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3325</v>
      </c>
      <c r="D31" s="274"/>
      <c r="E31" s="255"/>
      <c r="F31" s="294"/>
      <c r="G31" s="278" t="s">
        <v>2390</v>
      </c>
    </row>
    <row r="32" spans="1:7" s="252" customFormat="1" ht="15.75">
      <c r="A32" s="296" t="s">
        <v>2391</v>
      </c>
      <c r="B32" s="297"/>
      <c r="C32" s="297"/>
      <c r="D32" s="297"/>
      <c r="E32" s="297"/>
      <c r="F32" s="297"/>
      <c r="G32" s="298"/>
    </row>
    <row r="33" spans="1:7" s="258" customFormat="1" ht="13.5" customHeight="1">
      <c r="A33" s="299" t="s">
        <v>782</v>
      </c>
      <c r="B33" s="254" t="s">
        <v>2392</v>
      </c>
      <c r="C33" s="300">
        <f ca="1">SUM(C34:C38)</f>
        <v>22353</v>
      </c>
      <c r="D33" s="276"/>
      <c r="E33" s="256"/>
      <c r="F33" s="285"/>
      <c r="G33" s="278"/>
    </row>
    <row r="34" spans="1:7" s="302" customFormat="1" ht="13.5" customHeight="1">
      <c r="A34" s="954" t="s">
        <v>791</v>
      </c>
      <c r="B34" s="259" t="s">
        <v>2393</v>
      </c>
      <c r="C34" s="264">
        <f ca="1">IF(B1="",IF(F34=100%,'数据-取费表'!M16,'数据-取费表'!O16),IF(F34=100%,INDIRECT("'数据-取费表'!m"&amp;$G$1)+INDIRECT("'数据-取费表'!t"&amp;$G$1),INDIRECT("'数据-取费表'!o"&amp;$G$1)+INDIRECT("'数据-取费表'!aq"&amp;$G$1)))</f>
        <v>20282</v>
      </c>
      <c r="D34" s="261"/>
      <c r="E34" s="264"/>
      <c r="F34" s="301">
        <f ca="1">IF('数据-取费表'!B24=0,1,IF(B1="",'数据-取费表'!N16,INDIRECT("'数据-取费表'!n"&amp;$G$1)))</f>
        <v>1</v>
      </c>
      <c r="G34" s="263" t="s">
        <v>2394</v>
      </c>
    </row>
    <row r="35" spans="1:7" ht="13.5" customHeight="1">
      <c r="A35" s="954" t="s">
        <v>796</v>
      </c>
      <c r="B35" s="259" t="s">
        <v>2395</v>
      </c>
      <c r="C35" s="264">
        <f ca="1">ROUND(C34*F35,0)</f>
        <v>608</v>
      </c>
      <c r="D35" s="264"/>
      <c r="E35" s="264"/>
      <c r="F35" s="303">
        <f>'数据-取费表'!B33</f>
        <v>0.03</v>
      </c>
      <c r="G35" s="263" t="s">
        <v>2396</v>
      </c>
    </row>
    <row r="36" spans="1:7" ht="24">
      <c r="A36" s="954" t="s">
        <v>797</v>
      </c>
      <c r="B36" s="259" t="s">
        <v>2397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2398</v>
      </c>
    </row>
    <row r="37" spans="1:7" s="302" customFormat="1" ht="13.5" customHeight="1">
      <c r="A37" s="954" t="s">
        <v>798</v>
      </c>
      <c r="B37" s="259" t="s">
        <v>2399</v>
      </c>
      <c r="C37" s="293">
        <f ca="1">ROUND(E37*D37*F34/10000,0)</f>
        <v>1159</v>
      </c>
      <c r="D37" s="261">
        <f ca="1">D19</f>
        <v>57947.42</v>
      </c>
      <c r="E37" s="293">
        <f>'数据-取费表'!B35</f>
        <v>200</v>
      </c>
      <c r="F37" s="303"/>
      <c r="G37" s="305" t="s">
        <v>2400</v>
      </c>
    </row>
    <row r="38" spans="1:7" ht="13.5" customHeight="1">
      <c r="A38" s="954" t="s">
        <v>799</v>
      </c>
      <c r="B38" s="259" t="s">
        <v>2401</v>
      </c>
      <c r="C38" s="264">
        <f ca="1">ROUND(C34*F38,0)</f>
        <v>304</v>
      </c>
      <c r="D38" s="264"/>
      <c r="E38" s="264"/>
      <c r="F38" s="303">
        <f>'数据-取费表'!B36</f>
        <v>1.4999999999999999E-2</v>
      </c>
      <c r="G38" s="263" t="s">
        <v>2396</v>
      </c>
    </row>
    <row r="39" spans="1:7" s="258" customFormat="1" ht="13.5" customHeight="1">
      <c r="A39" s="299" t="s">
        <v>2402</v>
      </c>
      <c r="B39" s="254" t="s">
        <v>2403</v>
      </c>
      <c r="C39" s="276">
        <f ca="1">ROUND(C33*F20,0)</f>
        <v>447</v>
      </c>
      <c r="D39" s="276"/>
      <c r="E39" s="276"/>
      <c r="F39" s="277"/>
      <c r="G39" s="278" t="s">
        <v>2404</v>
      </c>
    </row>
    <row r="40" spans="1:7" s="258" customFormat="1" ht="13.5" customHeight="1">
      <c r="A40" s="299" t="s">
        <v>2405</v>
      </c>
      <c r="B40" s="254" t="s">
        <v>2406</v>
      </c>
      <c r="C40" s="1731">
        <f>F21</f>
        <v>0.02</v>
      </c>
      <c r="D40" s="280" t="s">
        <v>2407</v>
      </c>
      <c r="E40" s="276"/>
      <c r="F40" s="277"/>
      <c r="G40" s="278" t="s">
        <v>2408</v>
      </c>
    </row>
    <row r="41" spans="1:7" s="258" customFormat="1" ht="13.5" customHeight="1">
      <c r="A41" s="299" t="s">
        <v>2409</v>
      </c>
      <c r="B41" s="254" t="s">
        <v>2410</v>
      </c>
      <c r="C41" s="276">
        <f ca="1">ROUND(SUM(C42:C43),0)</f>
        <v>1083</v>
      </c>
      <c r="D41" s="279">
        <f ca="1">C44</f>
        <v>1E-3</v>
      </c>
      <c r="E41" s="280" t="s">
        <v>2407</v>
      </c>
      <c r="F41" s="281"/>
      <c r="G41" s="278" t="str">
        <f>IF('数据-取费表'!B22&lt;=1,"单利计息","复利计息")</f>
        <v>复利计息</v>
      </c>
    </row>
    <row r="42" spans="1:7" ht="13.5" customHeight="1">
      <c r="A42" s="954" t="s">
        <v>791</v>
      </c>
      <c r="B42" s="259" t="s">
        <v>2411</v>
      </c>
      <c r="C42" s="282">
        <f ca="1">ROUND(IF('数据-取费表'!B22&lt;=1,C33*F22*'数据-取费表'!B21/2,C33*(POWER((1+F22),'数据-取费表'!B21/2)-1)),0)</f>
        <v>1062</v>
      </c>
      <c r="D42" s="282"/>
      <c r="E42" s="282"/>
      <c r="F42" s="283"/>
      <c r="G42" s="3137" t="s">
        <v>2412</v>
      </c>
    </row>
    <row r="43" spans="1:7" ht="13.5" customHeight="1">
      <c r="A43" s="954" t="s">
        <v>792</v>
      </c>
      <c r="B43" s="259" t="s">
        <v>2413</v>
      </c>
      <c r="C43" s="282">
        <f ca="1">ROUND(IF('数据-取费表'!B22&lt;=1,C39*F22*'数据-取费表'!B21/2,C39*(POWER((1+F22),'数据-取费表'!B21/2)-1)),0)</f>
        <v>21</v>
      </c>
      <c r="D43" s="282"/>
      <c r="E43" s="282"/>
      <c r="F43" s="283"/>
      <c r="G43" s="3138"/>
    </row>
    <row r="44" spans="1:7" ht="13.5" customHeight="1">
      <c r="A44" s="954" t="s">
        <v>793</v>
      </c>
      <c r="B44" s="259" t="s">
        <v>2414</v>
      </c>
      <c r="C44" s="282">
        <f ca="1">ROUND(IF('数据-取费表'!B22&lt;=1,C40*F22*'数据-取费表'!B21/2,C40*(POWER((1+F22),'数据-取费表'!B21/2)-1)),4)</f>
        <v>1E-3</v>
      </c>
      <c r="D44" s="282"/>
      <c r="E44" s="282"/>
      <c r="F44" s="283"/>
      <c r="G44" s="3139"/>
    </row>
    <row r="45" spans="1:7" s="258" customFormat="1" ht="13.5" customHeight="1">
      <c r="A45" s="299" t="s">
        <v>2415</v>
      </c>
      <c r="B45" s="288" t="s">
        <v>2381</v>
      </c>
      <c r="C45" s="289">
        <f ca="1">C46</f>
        <v>4560</v>
      </c>
      <c r="D45" s="279">
        <f ca="1">C47</f>
        <v>4.0000000000000001E-3</v>
      </c>
      <c r="E45" s="280" t="s">
        <v>2407</v>
      </c>
      <c r="F45" s="290"/>
      <c r="G45" s="291" t="s">
        <v>2416</v>
      </c>
    </row>
    <row r="46" spans="1:7" s="258" customFormat="1" ht="13.5" customHeight="1">
      <c r="A46" s="954" t="s">
        <v>791</v>
      </c>
      <c r="B46" s="292" t="s">
        <v>2417</v>
      </c>
      <c r="C46" s="293">
        <f ca="1">ROUND((C33+C39)*F27,0)</f>
        <v>4560</v>
      </c>
      <c r="D46" s="307"/>
      <c r="E46" s="280"/>
      <c r="F46" s="290"/>
      <c r="G46" s="291"/>
    </row>
    <row r="47" spans="1:7" s="258" customFormat="1" ht="13.5" customHeight="1">
      <c r="A47" s="954" t="s">
        <v>792</v>
      </c>
      <c r="B47" s="292" t="s">
        <v>2418</v>
      </c>
      <c r="C47" s="282">
        <f ca="1">ROUND(C40*F27,4)</f>
        <v>4.0000000000000001E-3</v>
      </c>
      <c r="D47" s="307"/>
      <c r="E47" s="280"/>
      <c r="F47" s="290"/>
      <c r="G47" s="291"/>
    </row>
    <row r="48" spans="1:7" s="258" customFormat="1" ht="13.5" customHeight="1">
      <c r="A48" s="299" t="s">
        <v>2380</v>
      </c>
      <c r="B48" s="254" t="s">
        <v>2419</v>
      </c>
      <c r="C48" s="1731">
        <f>ROUND(F30/(1+'数据-取费表'!C42),4)</f>
        <v>5.33E-2</v>
      </c>
      <c r="D48" s="280" t="s">
        <v>2407</v>
      </c>
      <c r="E48" s="276"/>
      <c r="F48" s="281"/>
      <c r="G48" s="278" t="s">
        <v>2420</v>
      </c>
    </row>
    <row r="49" spans="1:7" ht="16.5" customHeight="1">
      <c r="A49" s="299" t="s">
        <v>2386</v>
      </c>
      <c r="B49" s="254" t="s">
        <v>2421</v>
      </c>
      <c r="C49" s="276">
        <f ca="1">ROUND((C33+C39+C41+C45)/(1-C40-D41-D45-C48),0)</f>
        <v>30859</v>
      </c>
      <c r="D49" s="276"/>
      <c r="E49" s="276"/>
      <c r="F49" s="308"/>
      <c r="G49" s="278" t="s">
        <v>2422</v>
      </c>
    </row>
    <row r="50" spans="1:7" s="302" customFormat="1" ht="24">
      <c r="A50" s="299" t="s">
        <v>2423</v>
      </c>
      <c r="B50" s="254" t="s">
        <v>2424</v>
      </c>
      <c r="C50" s="276"/>
      <c r="D50" s="276"/>
      <c r="E50" s="276"/>
      <c r="F50" s="308">
        <f>IF('数据-取费表'!B24=0,'数据-取费表'!N16,1)</f>
        <v>0.93</v>
      </c>
      <c r="G50" s="291" t="s">
        <v>2425</v>
      </c>
    </row>
    <row r="51" spans="1:7" ht="16.5" customHeight="1">
      <c r="A51" s="299" t="s">
        <v>2426</v>
      </c>
      <c r="B51" s="254" t="s">
        <v>2427</v>
      </c>
      <c r="C51" s="276">
        <f ca="1">ROUND(C49*F50,0)</f>
        <v>28699</v>
      </c>
      <c r="D51" s="276"/>
      <c r="E51" s="276"/>
      <c r="F51" s="308"/>
      <c r="G51" s="278" t="s">
        <v>2428</v>
      </c>
    </row>
    <row r="52" spans="1:7" s="252" customFormat="1" ht="16.5" thickBot="1">
      <c r="A52" s="309" t="s">
        <v>2429</v>
      </c>
      <c r="B52" s="310"/>
      <c r="C52" s="311">
        <f ca="1">C31+C51</f>
        <v>32024</v>
      </c>
      <c r="D52" s="310"/>
      <c r="E52" s="310"/>
      <c r="F52" s="310"/>
      <c r="G52" s="312"/>
    </row>
    <row r="55" spans="1:7" ht="15">
      <c r="B55" s="314" t="s">
        <v>2430</v>
      </c>
      <c r="C55" s="315"/>
    </row>
    <row r="56" spans="1:7">
      <c r="B56" s="317" t="s">
        <v>1513</v>
      </c>
      <c r="C56" s="319">
        <f ca="1">1-C57</f>
        <v>0.10399999999999998</v>
      </c>
    </row>
    <row r="57" spans="1:7">
      <c r="B57" s="317" t="s">
        <v>1514</v>
      </c>
      <c r="C57" s="318">
        <f ca="1">ROUND(C51/C52,3)</f>
        <v>0.89600000000000002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1" t="str">
        <f>项目基本情况!B1</f>
        <v>北京市房地产抵押价值预评估</v>
      </c>
      <c r="C37" s="2951"/>
      <c r="D37" s="2951"/>
      <c r="E37" s="2951"/>
      <c r="F37" s="2951"/>
      <c r="G37" s="2951"/>
      <c r="H37" s="2951"/>
      <c r="I37" s="2951"/>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欧红伟（注册号：1120000080)、崔锴（注册号：1120100036)</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2329</v>
      </c>
      <c r="B1" s="1940"/>
      <c r="C1" s="2560" t="s">
        <v>2431</v>
      </c>
      <c r="D1" s="242"/>
      <c r="E1" s="242"/>
      <c r="F1" s="242"/>
      <c r="G1" s="1382">
        <f>MATCH(B1,'数据-取费表'!A6:A16,0)+5</f>
        <v>7</v>
      </c>
      <c r="H1" s="1285" t="str">
        <f>IF(ISERROR(FIND("住宅",B1)),"非住宅","住宅")</f>
        <v>非住宅</v>
      </c>
    </row>
    <row r="2" spans="1:8" s="244" customFormat="1" ht="18" customHeight="1">
      <c r="A2" s="245" t="s">
        <v>2330</v>
      </c>
      <c r="B2" s="246">
        <f ca="1">ROUND(IF(D2="——",C52/10000,C52/10000-E2),0)</f>
        <v>32025</v>
      </c>
      <c r="C2" s="243" t="s">
        <v>2331</v>
      </c>
      <c r="D2" s="2554" t="s">
        <v>70</v>
      </c>
      <c r="E2" s="1443" t="e">
        <f ca="1">SUMIF(INDIRECT("'"&amp;G2&amp;"'"&amp;"!A:A"),"承租人权益价值",INDIRECT("'"&amp;G2&amp;"'"&amp;"!c:c"))</f>
        <v>#REF!</v>
      </c>
      <c r="F2" s="2555" t="s">
        <v>2331</v>
      </c>
      <c r="G2" s="2556"/>
    </row>
    <row r="3" spans="1:8" s="244" customFormat="1" ht="18" customHeight="1" thickBot="1">
      <c r="A3" s="247" t="s">
        <v>2332</v>
      </c>
      <c r="B3" s="248">
        <f ca="1">ROUND(B2*10000/(IF(B1="",'数据-汇总表'!E3,INDIRECT("'数据-取费表'!k"&amp;$G$1))),0)</f>
        <v>5527</v>
      </c>
      <c r="C3" s="243" t="s">
        <v>2333</v>
      </c>
      <c r="D3" s="243"/>
      <c r="E3" s="243"/>
      <c r="F3" s="243"/>
      <c r="G3" s="243"/>
    </row>
    <row r="4" spans="1:8" s="252" customFormat="1" ht="15.75">
      <c r="A4" s="249" t="s">
        <v>2334</v>
      </c>
      <c r="B4" s="250"/>
      <c r="C4" s="250"/>
      <c r="D4" s="250"/>
      <c r="E4" s="250"/>
      <c r="F4" s="250"/>
      <c r="G4" s="251"/>
    </row>
    <row r="5" spans="1:8" s="258" customFormat="1" ht="13.5" customHeight="1">
      <c r="A5" s="299" t="s">
        <v>2335</v>
      </c>
      <c r="B5" s="254" t="s">
        <v>2336</v>
      </c>
      <c r="C5" s="255">
        <f ca="1">C6+C7+C8</f>
        <v>11589484</v>
      </c>
      <c r="D5" s="255" t="s">
        <v>2337</v>
      </c>
      <c r="E5" s="256" t="s">
        <v>2338</v>
      </c>
      <c r="F5" s="256" t="s">
        <v>2339</v>
      </c>
      <c r="G5" s="257"/>
    </row>
    <row r="6" spans="1:8" s="258" customFormat="1" ht="13.5" customHeight="1">
      <c r="A6" s="952" t="s">
        <v>2340</v>
      </c>
      <c r="B6" s="259" t="s">
        <v>2341</v>
      </c>
      <c r="C6" s="260"/>
      <c r="D6" s="261"/>
      <c r="E6" s="262"/>
      <c r="F6" s="262"/>
      <c r="G6" s="263"/>
    </row>
    <row r="7" spans="1:8" s="258" customFormat="1" ht="13.5" customHeight="1">
      <c r="A7" s="952" t="s">
        <v>2342</v>
      </c>
      <c r="B7" s="259" t="s">
        <v>2343</v>
      </c>
      <c r="C7" s="264">
        <f>ROUND(C6*F7,0)</f>
        <v>0</v>
      </c>
      <c r="D7" s="264"/>
      <c r="E7" s="262"/>
      <c r="F7" s="265">
        <f>'数据-取费表'!B48+'数据-取费表'!B49</f>
        <v>3.0499999999999999E-2</v>
      </c>
      <c r="G7" s="263"/>
    </row>
    <row r="8" spans="1:8" s="267" customFormat="1">
      <c r="A8" s="952" t="s">
        <v>2344</v>
      </c>
      <c r="B8" s="259" t="s">
        <v>2345</v>
      </c>
      <c r="C8" s="264">
        <f ca="1">IF(G8="已包含在土地购买价格中",0,C9+C10)</f>
        <v>11589484</v>
      </c>
      <c r="D8" s="266"/>
      <c r="E8" s="264"/>
      <c r="F8" s="265"/>
      <c r="G8" s="2557"/>
    </row>
    <row r="9" spans="1:8" s="258" customFormat="1" ht="13.5" customHeight="1">
      <c r="A9" s="953" t="s">
        <v>800</v>
      </c>
      <c r="B9" s="268" t="s">
        <v>2346</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2348</v>
      </c>
      <c r="C10" s="269">
        <f ca="1">ROUND(D10*E10,0)</f>
        <v>11589484</v>
      </c>
      <c r="D10" s="1035">
        <f ca="1">IF(B1="",'数据-汇总表'!E6,IF(INDIRECT("'数据-取费表'!c"&amp;$G$1)="住宅",INDIRECT("'数据-取费表'!s"&amp;$G$1),INDIRECT("'数据-取费表'!k"&amp;$G$1)+INDIRECT("'数据-取费表'!s"&amp;$G$1)))</f>
        <v>57947.42</v>
      </c>
      <c r="E10" s="269">
        <f>'数据-取费表'!B28</f>
        <v>200</v>
      </c>
      <c r="F10" s="265"/>
      <c r="G10" s="270"/>
    </row>
    <row r="11" spans="1:8" s="258" customFormat="1" ht="13.5" hidden="1" customHeight="1">
      <c r="A11" s="271" t="s">
        <v>7</v>
      </c>
      <c r="B11" s="259" t="s">
        <v>2349</v>
      </c>
      <c r="C11" s="255"/>
      <c r="D11" s="1037"/>
      <c r="E11" s="262"/>
      <c r="F11" s="262"/>
      <c r="G11" s="263"/>
    </row>
    <row r="12" spans="1:8" s="258" customFormat="1" ht="13.5" hidden="1" customHeight="1">
      <c r="A12" s="271" t="s">
        <v>8</v>
      </c>
      <c r="B12" s="259" t="s">
        <v>2432</v>
      </c>
      <c r="C12" s="255">
        <v>0</v>
      </c>
      <c r="D12" s="1037"/>
      <c r="E12" s="272"/>
      <c r="F12" s="265">
        <v>3.0499999999999999E-2</v>
      </c>
      <c r="G12" s="263"/>
    </row>
    <row r="13" spans="1:8" s="258" customFormat="1" ht="13.5" hidden="1" customHeight="1">
      <c r="A13" s="271" t="s">
        <v>9</v>
      </c>
      <c r="B13" s="259" t="s">
        <v>2433</v>
      </c>
      <c r="C13" s="255"/>
      <c r="D13" s="1037"/>
      <c r="E13" s="262"/>
      <c r="F13" s="262"/>
      <c r="G13" s="263"/>
    </row>
    <row r="14" spans="1:8" s="258" customFormat="1" ht="13.5" hidden="1" customHeight="1">
      <c r="A14" s="271" t="s">
        <v>10</v>
      </c>
      <c r="B14" s="259" t="s">
        <v>2345</v>
      </c>
      <c r="C14" s="255"/>
      <c r="D14" s="1037"/>
      <c r="E14" s="262"/>
      <c r="F14" s="262"/>
      <c r="G14" s="263" t="s">
        <v>2434</v>
      </c>
    </row>
    <row r="15" spans="1:8" s="258" customFormat="1" ht="13.5" hidden="1" customHeight="1">
      <c r="A15" s="271" t="s">
        <v>11</v>
      </c>
      <c r="B15" s="259" t="s">
        <v>2435</v>
      </c>
      <c r="C15" s="264"/>
      <c r="D15" s="1037"/>
      <c r="E15" s="262"/>
      <c r="F15" s="262"/>
      <c r="G15" s="263" t="s">
        <v>2436</v>
      </c>
    </row>
    <row r="16" spans="1:8" s="258" customFormat="1" ht="13.5" hidden="1" customHeight="1">
      <c r="A16" s="271" t="s">
        <v>12</v>
      </c>
      <c r="B16" s="259" t="s">
        <v>2345</v>
      </c>
      <c r="C16" s="264"/>
      <c r="D16" s="1037"/>
      <c r="E16" s="262"/>
      <c r="F16" s="262"/>
      <c r="G16" s="263"/>
    </row>
    <row r="17" spans="1:7" s="258" customFormat="1" ht="13.5" hidden="1" customHeight="1">
      <c r="A17" s="271" t="s">
        <v>13</v>
      </c>
      <c r="B17" s="259" t="s">
        <v>2437</v>
      </c>
      <c r="C17" s="273"/>
      <c r="D17" s="1038"/>
      <c r="E17" s="273"/>
      <c r="F17" s="273"/>
      <c r="G17" s="263" t="s">
        <v>2436</v>
      </c>
    </row>
    <row r="18" spans="1:7" s="258" customFormat="1" ht="13.5" hidden="1" customHeight="1">
      <c r="A18" s="271" t="s">
        <v>14</v>
      </c>
      <c r="B18" s="259" t="s">
        <v>2438</v>
      </c>
      <c r="C18" s="264">
        <v>0</v>
      </c>
      <c r="D18" s="1037"/>
      <c r="E18" s="262"/>
      <c r="F18" s="265">
        <v>3.0499999999999999E-2</v>
      </c>
      <c r="G18" s="263" t="s">
        <v>2439</v>
      </c>
    </row>
    <row r="19" spans="1:7" s="267" customFormat="1" ht="13.5" customHeight="1">
      <c r="A19" s="299" t="s">
        <v>2440</v>
      </c>
      <c r="B19" s="254" t="s">
        <v>2441</v>
      </c>
      <c r="C19" s="255">
        <f ca="1">IF(G19="已包含在土地取得成本中","0",ROUND(D19*E19,0))</f>
        <v>11589484</v>
      </c>
      <c r="D19" s="1039">
        <f ca="1">D9+D10</f>
        <v>57947.42</v>
      </c>
      <c r="E19" s="255">
        <f>'数据-取费表'!B31</f>
        <v>200</v>
      </c>
      <c r="F19" s="275"/>
      <c r="G19" s="2557"/>
    </row>
    <row r="20" spans="1:7" s="258" customFormat="1" ht="13.5" customHeight="1">
      <c r="A20" s="299" t="s">
        <v>2442</v>
      </c>
      <c r="B20" s="254" t="s">
        <v>2443</v>
      </c>
      <c r="C20" s="276">
        <f ca="1">ROUND((C5+C19)*F20,0)</f>
        <v>463579</v>
      </c>
      <c r="D20" s="276"/>
      <c r="E20" s="276"/>
      <c r="F20" s="277">
        <f>'数据-取费表'!B37</f>
        <v>0.02</v>
      </c>
      <c r="G20" s="278" t="s">
        <v>2444</v>
      </c>
    </row>
    <row r="21" spans="1:7" s="258" customFormat="1" ht="13.5" customHeight="1">
      <c r="A21" s="299" t="s">
        <v>2445</v>
      </c>
      <c r="B21" s="254" t="s">
        <v>2446</v>
      </c>
      <c r="C21" s="279">
        <f>F21</f>
        <v>0.02</v>
      </c>
      <c r="D21" s="280" t="s">
        <v>2447</v>
      </c>
      <c r="E21" s="276"/>
      <c r="F21" s="277">
        <f>'数据-取费表'!B38</f>
        <v>0.02</v>
      </c>
      <c r="G21" s="278" t="s">
        <v>2448</v>
      </c>
    </row>
    <row r="22" spans="1:7" s="258" customFormat="1" ht="13.5" customHeight="1">
      <c r="A22" s="299" t="s">
        <v>2449</v>
      </c>
      <c r="B22" s="254" t="s">
        <v>2450</v>
      </c>
      <c r="C22" s="1383">
        <f ca="1">ROUND(SUM(C23:C25),0)</f>
        <v>2276320</v>
      </c>
      <c r="D22" s="279">
        <f ca="1">C26</f>
        <v>1E-3</v>
      </c>
      <c r="E22" s="280" t="s">
        <v>2447</v>
      </c>
      <c r="F22" s="281">
        <f ca="1">'数据-取费表'!B40</f>
        <v>4.7500000000000001E-2</v>
      </c>
      <c r="G22" s="278" t="str">
        <f>IF('数据-取费表'!B22&lt;=1,"单利计息","复利计息")</f>
        <v>复利计息</v>
      </c>
    </row>
    <row r="23" spans="1:7" s="258" customFormat="1" ht="13.5" customHeight="1">
      <c r="A23" s="954" t="s">
        <v>2340</v>
      </c>
      <c r="B23" s="259" t="s">
        <v>2451</v>
      </c>
      <c r="C23" s="1384">
        <f ca="1">ROUND(IF('数据-取费表'!B22&lt;=1,C5*F22*'数据-取费表'!B22,C5*(POWER((1+F22),'数据-取费表'!B22)-1)),0)</f>
        <v>1127150</v>
      </c>
      <c r="D23" s="282"/>
      <c r="E23" s="282"/>
      <c r="F23" s="283"/>
      <c r="G23" s="284" t="s">
        <v>2452</v>
      </c>
    </row>
    <row r="24" spans="1:7" s="258" customFormat="1" ht="13.5" customHeight="1">
      <c r="A24" s="954" t="s">
        <v>2342</v>
      </c>
      <c r="B24" s="259" t="s">
        <v>2453</v>
      </c>
      <c r="C24" s="1384">
        <f ca="1">ROUND(IF('数据-取费表'!B22&lt;=1,C19*F22*('数据-取费表'!B19/2+'数据-取费表'!B20),C19*(POWER((1+F22),('数据-取费表'!B19/2+'数据-取费表'!B20))-1)),0)</f>
        <v>1127150</v>
      </c>
      <c r="D24" s="282"/>
      <c r="E24" s="282"/>
      <c r="F24" s="283"/>
      <c r="G24" s="284" t="s">
        <v>2454</v>
      </c>
    </row>
    <row r="25" spans="1:7" s="258" customFormat="1" ht="24">
      <c r="A25" s="954" t="s">
        <v>2344</v>
      </c>
      <c r="B25" s="259" t="s">
        <v>2455</v>
      </c>
      <c r="C25" s="1384">
        <f ca="1">ROUND(IF('数据-取费表'!B22&lt;=1,C20*F22*'数据-取费表'!B22/2,C20*(POWER((1+F22),'数据-取费表'!B22/2)-1)),0)</f>
        <v>22020</v>
      </c>
      <c r="D25" s="282"/>
      <c r="E25" s="285"/>
      <c r="F25" s="283"/>
      <c r="G25" s="286" t="s">
        <v>2456</v>
      </c>
    </row>
    <row r="26" spans="1:7" s="258" customFormat="1">
      <c r="A26" s="954" t="s">
        <v>795</v>
      </c>
      <c r="B26" s="259" t="s">
        <v>2379</v>
      </c>
      <c r="C26" s="282">
        <f ca="1">ROUND(IF('数据-取费表'!B22&lt;=1,F21*F22*'数据-取费表'!B22/2,F21*(POWER((1+F22),'数据-取费表'!B22/2)-1)),4)</f>
        <v>1E-3</v>
      </c>
      <c r="D26" s="282"/>
      <c r="E26" s="285"/>
      <c r="F26" s="283"/>
      <c r="G26" s="287"/>
    </row>
    <row r="27" spans="1:7" s="258" customFormat="1" ht="24.75">
      <c r="A27" s="299" t="s">
        <v>2380</v>
      </c>
      <c r="B27" s="288" t="s">
        <v>2381</v>
      </c>
      <c r="C27" s="289">
        <f ca="1">C28</f>
        <v>4728509</v>
      </c>
      <c r="D27" s="279">
        <f ca="1">C29</f>
        <v>4.0000000000000001E-3</v>
      </c>
      <c r="E27" s="280" t="s">
        <v>2382</v>
      </c>
      <c r="F27" s="290">
        <f ca="1">IF(B1="",'数据-取费表'!Q16,INDIRECT("'数据-取费表'!q"&amp;$G$1))</f>
        <v>0.2</v>
      </c>
      <c r="G27" s="291" t="s">
        <v>2383</v>
      </c>
    </row>
    <row r="28" spans="1:7" s="258" customFormat="1" ht="13.5" customHeight="1">
      <c r="A28" s="954" t="s">
        <v>791</v>
      </c>
      <c r="B28" s="292" t="s">
        <v>2384</v>
      </c>
      <c r="C28" s="293">
        <f ca="1">ROUND((C5+C19+C20)*F27,0)</f>
        <v>4728509</v>
      </c>
      <c r="D28" s="279"/>
      <c r="E28" s="280"/>
      <c r="F28" s="290"/>
      <c r="G28" s="291"/>
    </row>
    <row r="29" spans="1:7" s="258" customFormat="1" ht="13.5" customHeight="1">
      <c r="A29" s="954" t="s">
        <v>792</v>
      </c>
      <c r="B29" s="292" t="s">
        <v>2385</v>
      </c>
      <c r="C29" s="282">
        <f ca="1">ROUND(C21*F27,4)</f>
        <v>4.0000000000000001E-3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33250923</v>
      </c>
      <c r="D31" s="274"/>
      <c r="E31" s="255"/>
      <c r="F31" s="294"/>
      <c r="G31" s="278" t="s">
        <v>2390</v>
      </c>
    </row>
    <row r="32" spans="1:7" s="252" customFormat="1" ht="15.75">
      <c r="A32" s="296" t="s">
        <v>2457</v>
      </c>
      <c r="B32" s="297"/>
      <c r="C32" s="297"/>
      <c r="D32" s="297"/>
      <c r="E32" s="297"/>
      <c r="F32" s="297"/>
      <c r="G32" s="298"/>
    </row>
    <row r="33" spans="1:7" s="258" customFormat="1" ht="13.5" customHeight="1">
      <c r="A33" s="299" t="s">
        <v>782</v>
      </c>
      <c r="B33" s="254" t="s">
        <v>2458</v>
      </c>
      <c r="C33" s="300">
        <f ca="1">SUM(C34:C38)</f>
        <v>223532173</v>
      </c>
      <c r="D33" s="276"/>
      <c r="E33" s="256"/>
      <c r="F33" s="285"/>
      <c r="G33" s="278"/>
    </row>
    <row r="34" spans="1:7" s="302" customFormat="1" ht="13.5" customHeight="1">
      <c r="A34" s="954" t="s">
        <v>791</v>
      </c>
      <c r="B34" s="259" t="s">
        <v>2393</v>
      </c>
      <c r="C34" s="264">
        <f ca="1">ROUND(IF(B1="",SUMPRODUCT('数据-取费表'!K6:K14,'数据-取费表'!L6:L14),INDIRECT("'数据-取费表'!l"&amp;$G$1)*INDIRECT("'数据-取费表'!k"&amp;$G$1)+'数据-取费表'!L14*INDIRECT("'数据-取费表'!S"&amp;$G$1)),0)</f>
        <v>202815970</v>
      </c>
      <c r="D34" s="261"/>
      <c r="E34" s="264"/>
      <c r="F34" s="301"/>
      <c r="G34" s="263"/>
    </row>
    <row r="35" spans="1:7" ht="13.5" customHeight="1">
      <c r="A35" s="954" t="s">
        <v>796</v>
      </c>
      <c r="B35" s="259" t="s">
        <v>2395</v>
      </c>
      <c r="C35" s="264">
        <f ca="1">ROUND(C34*F35,0)</f>
        <v>6084479</v>
      </c>
      <c r="D35" s="264"/>
      <c r="E35" s="264"/>
      <c r="F35" s="303">
        <f>'数据-取费表'!B33</f>
        <v>0.03</v>
      </c>
      <c r="G35" s="263" t="s">
        <v>2396</v>
      </c>
    </row>
    <row r="36" spans="1:7" ht="24">
      <c r="A36" s="954" t="s">
        <v>797</v>
      </c>
      <c r="B36" s="259" t="s">
        <v>2397</v>
      </c>
      <c r="C36" s="264">
        <f ca="1">ROUND(IF(B1="",SUM('数据-取费表'!AP6:AP13)*F36,IF(INDIRECT("'数据-取费表'!c"&amp;$G$1)="住宅",INDIRECT("'数据-取费表'!k"&amp;$G$1)*INDIRECT("'数据-取费表'!l"&amp;$G$1)*F36,0)),0)</f>
        <v>0</v>
      </c>
      <c r="D36" s="264"/>
      <c r="E36" s="264"/>
      <c r="F36" s="303">
        <f>'数据-取费表'!B34</f>
        <v>0</v>
      </c>
      <c r="G36" s="304" t="s">
        <v>2398</v>
      </c>
    </row>
    <row r="37" spans="1:7" s="302" customFormat="1" ht="13.5" customHeight="1">
      <c r="A37" s="954" t="s">
        <v>798</v>
      </c>
      <c r="B37" s="259" t="s">
        <v>2399</v>
      </c>
      <c r="C37" s="293">
        <f ca="1">ROUND(E37*D37,0)</f>
        <v>11589484</v>
      </c>
      <c r="D37" s="261">
        <f ca="1">D19</f>
        <v>57947.42</v>
      </c>
      <c r="E37" s="293">
        <f>'数据-取费表'!B35</f>
        <v>200</v>
      </c>
      <c r="F37" s="303"/>
      <c r="G37" s="305"/>
    </row>
    <row r="38" spans="1:7" ht="13.5" customHeight="1">
      <c r="A38" s="954" t="s">
        <v>799</v>
      </c>
      <c r="B38" s="259" t="s">
        <v>2401</v>
      </c>
      <c r="C38" s="264">
        <f ca="1">ROUND(C34*F38,0)</f>
        <v>3042240</v>
      </c>
      <c r="D38" s="264"/>
      <c r="E38" s="264"/>
      <c r="F38" s="303">
        <f>'数据-取费表'!B36</f>
        <v>1.4999999999999999E-2</v>
      </c>
      <c r="G38" s="263" t="s">
        <v>2396</v>
      </c>
    </row>
    <row r="39" spans="1:7" s="258" customFormat="1" ht="13.5" customHeight="1">
      <c r="A39" s="299" t="s">
        <v>2402</v>
      </c>
      <c r="B39" s="254" t="s">
        <v>2403</v>
      </c>
      <c r="C39" s="276">
        <f ca="1">ROUND(C33*F20,0)</f>
        <v>4470643</v>
      </c>
      <c r="D39" s="276"/>
      <c r="E39" s="276"/>
      <c r="F39" s="277"/>
      <c r="G39" s="278" t="s">
        <v>2404</v>
      </c>
    </row>
    <row r="40" spans="1:7" s="258" customFormat="1" ht="13.5" customHeight="1">
      <c r="A40" s="299" t="s">
        <v>2405</v>
      </c>
      <c r="B40" s="254" t="s">
        <v>2406</v>
      </c>
      <c r="C40" s="1731">
        <f>F21</f>
        <v>0.02</v>
      </c>
      <c r="D40" s="280" t="s">
        <v>2407</v>
      </c>
      <c r="E40" s="276"/>
      <c r="F40" s="277"/>
      <c r="G40" s="278" t="s">
        <v>2408</v>
      </c>
    </row>
    <row r="41" spans="1:7" s="258" customFormat="1" ht="13.5" customHeight="1">
      <c r="A41" s="299" t="s">
        <v>2409</v>
      </c>
      <c r="B41" s="254" t="s">
        <v>2410</v>
      </c>
      <c r="C41" s="276">
        <f ca="1">ROUND(SUM(C42:C43),0)</f>
        <v>10830134</v>
      </c>
      <c r="D41" s="279">
        <f ca="1">C44</f>
        <v>1E-3</v>
      </c>
      <c r="E41" s="280" t="s">
        <v>2407</v>
      </c>
      <c r="F41" s="281"/>
      <c r="G41" s="278" t="str">
        <f>IF('数据-取费表'!B22&lt;=1,"单利计息","复利计息")</f>
        <v>复利计息</v>
      </c>
    </row>
    <row r="42" spans="1:7" ht="13.5" customHeight="1">
      <c r="A42" s="954" t="s">
        <v>791</v>
      </c>
      <c r="B42" s="259" t="s">
        <v>2411</v>
      </c>
      <c r="C42" s="282">
        <f ca="1">ROUND(IF('数据-取费表'!B22&lt;=1,C33*F22*'数据-取费表'!B20/2,C33*(POWER((1+F22),'数据-取费表'!B20/2)-1)),0)</f>
        <v>10617778</v>
      </c>
      <c r="D42" s="282"/>
      <c r="E42" s="282"/>
      <c r="F42" s="283"/>
      <c r="G42" s="3137" t="s">
        <v>2459</v>
      </c>
    </row>
    <row r="43" spans="1:7" ht="13.5" customHeight="1">
      <c r="A43" s="954" t="s">
        <v>792</v>
      </c>
      <c r="B43" s="259" t="s">
        <v>2413</v>
      </c>
      <c r="C43" s="282">
        <f ca="1">ROUND(IF('数据-取费表'!B22&lt;=1,C39*F22*'数据-取费表'!B20/2,C39*(POWER((1+F22),'数据-取费表'!B20/2)-1)),0)</f>
        <v>212356</v>
      </c>
      <c r="D43" s="282"/>
      <c r="E43" s="282"/>
      <c r="F43" s="283"/>
      <c r="G43" s="3138"/>
    </row>
    <row r="44" spans="1:7" ht="13.5" customHeight="1">
      <c r="A44" s="954" t="s">
        <v>793</v>
      </c>
      <c r="B44" s="259" t="s">
        <v>2414</v>
      </c>
      <c r="C44" s="282">
        <f ca="1">ROUND(IF('数据-取费表'!B22&lt;=1,C40*F22*'数据-取费表'!B20/2,C40*(POWER((1+F22),'数据-取费表'!B20/2)-1)),4)</f>
        <v>1E-3</v>
      </c>
      <c r="D44" s="282"/>
      <c r="E44" s="282"/>
      <c r="F44" s="283"/>
      <c r="G44" s="3139"/>
    </row>
    <row r="45" spans="1:7" s="258" customFormat="1" ht="13.5" customHeight="1">
      <c r="A45" s="299" t="s">
        <v>2415</v>
      </c>
      <c r="B45" s="288" t="s">
        <v>2381</v>
      </c>
      <c r="C45" s="289">
        <f ca="1">C46</f>
        <v>45600563</v>
      </c>
      <c r="D45" s="279">
        <f ca="1">C47</f>
        <v>4.0000000000000001E-3</v>
      </c>
      <c r="E45" s="280" t="s">
        <v>2407</v>
      </c>
      <c r="F45" s="290"/>
      <c r="G45" s="291" t="s">
        <v>2416</v>
      </c>
    </row>
    <row r="46" spans="1:7" s="258" customFormat="1" ht="13.5" customHeight="1">
      <c r="A46" s="954" t="s">
        <v>791</v>
      </c>
      <c r="B46" s="292" t="s">
        <v>2417</v>
      </c>
      <c r="C46" s="293">
        <f ca="1">ROUND((C33+C39)*F27,0)</f>
        <v>45600563</v>
      </c>
      <c r="D46" s="307"/>
      <c r="E46" s="280"/>
      <c r="F46" s="290"/>
      <c r="G46" s="291"/>
    </row>
    <row r="47" spans="1:7" s="258" customFormat="1" ht="13.5" customHeight="1">
      <c r="A47" s="954" t="s">
        <v>792</v>
      </c>
      <c r="B47" s="292" t="s">
        <v>2418</v>
      </c>
      <c r="C47" s="282">
        <f ca="1">ROUND(C40*F27,4)</f>
        <v>4.0000000000000001E-3</v>
      </c>
      <c r="D47" s="307"/>
      <c r="E47" s="280"/>
      <c r="F47" s="290"/>
      <c r="G47" s="291"/>
    </row>
    <row r="48" spans="1:7" s="258" customFormat="1" ht="13.5" customHeight="1">
      <c r="A48" s="299" t="s">
        <v>2380</v>
      </c>
      <c r="B48" s="254" t="s">
        <v>2419</v>
      </c>
      <c r="C48" s="306">
        <f>ROUND(F30/(1+'数据-取费表'!C42),4)</f>
        <v>5.33E-2</v>
      </c>
      <c r="D48" s="280" t="s">
        <v>2407</v>
      </c>
      <c r="E48" s="276"/>
      <c r="F48" s="281"/>
      <c r="G48" s="278" t="s">
        <v>2420</v>
      </c>
    </row>
    <row r="49" spans="1:7" ht="16.5" customHeight="1">
      <c r="A49" s="299" t="s">
        <v>2386</v>
      </c>
      <c r="B49" s="254" t="s">
        <v>2460</v>
      </c>
      <c r="C49" s="276">
        <f ca="1">ROUND((C33+C39+C41+C45)/(1-C40-D41-D45-C48),0)</f>
        <v>308596629</v>
      </c>
      <c r="D49" s="276"/>
      <c r="E49" s="276"/>
      <c r="F49" s="308"/>
      <c r="G49" s="278" t="s">
        <v>2422</v>
      </c>
    </row>
    <row r="50" spans="1:7" s="302" customFormat="1">
      <c r="A50" s="299" t="s">
        <v>2423</v>
      </c>
      <c r="B50" s="254" t="s">
        <v>2424</v>
      </c>
      <c r="C50" s="276"/>
      <c r="D50" s="276"/>
      <c r="E50" s="276"/>
      <c r="F50" s="308">
        <f>IF('数据-取费表'!B24=0,'数据-取费表'!N16,1)</f>
        <v>0.93</v>
      </c>
      <c r="G50" s="291"/>
    </row>
    <row r="51" spans="1:7" ht="16.5" customHeight="1">
      <c r="A51" s="299" t="s">
        <v>2426</v>
      </c>
      <c r="B51" s="254" t="s">
        <v>2461</v>
      </c>
      <c r="C51" s="276">
        <f ca="1">ROUND(C49*F50,0)</f>
        <v>286994865</v>
      </c>
      <c r="D51" s="276"/>
      <c r="E51" s="276"/>
      <c r="F51" s="308"/>
      <c r="G51" s="278" t="s">
        <v>2428</v>
      </c>
    </row>
    <row r="52" spans="1:7" s="252" customFormat="1" ht="16.5" thickBot="1">
      <c r="A52" s="309" t="s">
        <v>2429</v>
      </c>
      <c r="B52" s="310"/>
      <c r="C52" s="311">
        <f ca="1">C31+C51</f>
        <v>320245788</v>
      </c>
      <c r="D52" s="310"/>
      <c r="E52" s="310"/>
      <c r="F52" s="310"/>
      <c r="G52" s="312"/>
    </row>
    <row r="55" spans="1:7" ht="15">
      <c r="B55" s="314" t="s">
        <v>2430</v>
      </c>
      <c r="C55" s="315"/>
    </row>
    <row r="56" spans="1:7">
      <c r="B56" s="317" t="s">
        <v>1513</v>
      </c>
      <c r="C56" s="319">
        <f ca="1">1-C57</f>
        <v>0.10399999999999998</v>
      </c>
    </row>
    <row r="57" spans="1:7">
      <c r="B57" s="317" t="s">
        <v>1514</v>
      </c>
      <c r="C57" s="318">
        <f ca="1">ROUND(C51/C52,3)</f>
        <v>0.89600000000000002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2462</v>
      </c>
      <c r="B1" s="1584"/>
      <c r="C1" s="1585"/>
      <c r="D1" s="1583"/>
      <c r="E1" s="320"/>
      <c r="F1" s="320"/>
      <c r="G1" s="1584"/>
      <c r="H1" s="320"/>
      <c r="I1" s="320"/>
      <c r="J1" s="320"/>
      <c r="K1" s="320">
        <f>MATCH(C1,'数据-取费表'!A6:A16,0)+5</f>
        <v>7</v>
      </c>
    </row>
    <row r="2" spans="1:33" ht="18" customHeight="1">
      <c r="A2" s="245" t="s">
        <v>2330</v>
      </c>
      <c r="B2" s="248">
        <f ca="1">C32</f>
        <v>0</v>
      </c>
      <c r="C2" s="320" t="s">
        <v>2463</v>
      </c>
      <c r="D2" s="320"/>
      <c r="E2" s="320"/>
      <c r="F2" s="320"/>
      <c r="G2" s="320"/>
      <c r="H2" s="320"/>
      <c r="I2" s="320"/>
      <c r="J2" s="320"/>
      <c r="K2" s="320"/>
    </row>
    <row r="3" spans="1:33" ht="18" customHeight="1" thickBot="1">
      <c r="A3" s="247" t="s">
        <v>2332</v>
      </c>
      <c r="B3" s="248">
        <f ca="1">ROUND(B2*10000/IF(C1="",'数据-汇总表'!E3,INDIRECT("'数据-取费表'!K"&amp;$K$1)),0)</f>
        <v>0</v>
      </c>
      <c r="C3" s="320" t="s">
        <v>2464</v>
      </c>
      <c r="D3" s="320"/>
      <c r="E3" s="320"/>
      <c r="F3" s="320"/>
      <c r="G3" s="320"/>
      <c r="H3" s="320"/>
      <c r="I3" s="320"/>
      <c r="J3" s="320"/>
      <c r="K3" s="320"/>
    </row>
    <row r="4" spans="1:33" s="959" customFormat="1" ht="16.5" customHeight="1">
      <c r="A4" s="956" t="s">
        <v>2465</v>
      </c>
      <c r="B4" s="957"/>
      <c r="C4" s="999">
        <f>SUM(C8:K8)</f>
        <v>0</v>
      </c>
      <c r="D4" s="957"/>
      <c r="E4" s="957"/>
      <c r="F4" s="957"/>
      <c r="G4" s="957"/>
      <c r="H4" s="957"/>
      <c r="I4" s="957"/>
      <c r="J4" s="957"/>
      <c r="K4" s="958"/>
    </row>
    <row r="5" spans="1:33" s="963" customFormat="1" ht="24.75">
      <c r="A5" s="960" t="s">
        <v>2466</v>
      </c>
      <c r="B5" s="961" t="s">
        <v>2467</v>
      </c>
      <c r="C5" s="2561" t="s">
        <v>2468</v>
      </c>
      <c r="D5" s="2561" t="s">
        <v>2469</v>
      </c>
      <c r="E5" s="2561" t="s">
        <v>2470</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2471</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2472</v>
      </c>
      <c r="B7" s="140" t="s">
        <v>2473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2474</v>
      </c>
      <c r="B8" s="177" t="s">
        <v>2475</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2476</v>
      </c>
      <c r="B9" s="957"/>
      <c r="C9" s="957"/>
      <c r="D9" s="957"/>
      <c r="E9" s="957"/>
      <c r="F9" s="957"/>
      <c r="G9" s="957"/>
      <c r="H9" s="957"/>
      <c r="I9" s="957"/>
      <c r="J9" s="957"/>
      <c r="K9" s="958"/>
    </row>
    <row r="10" spans="1:33" s="973" customFormat="1" ht="13.5" customHeight="1">
      <c r="A10" s="960" t="s">
        <v>2477</v>
      </c>
      <c r="B10" s="8" t="s">
        <v>2478</v>
      </c>
      <c r="C10" s="969" t="s">
        <v>2479</v>
      </c>
      <c r="D10" s="970" t="s">
        <v>2480</v>
      </c>
      <c r="E10" s="970" t="s">
        <v>2481</v>
      </c>
      <c r="F10" s="970" t="s">
        <v>2482</v>
      </c>
      <c r="G10" s="8"/>
      <c r="H10" s="971"/>
      <c r="I10" s="971"/>
      <c r="J10" s="971"/>
      <c r="K10" s="972"/>
    </row>
    <row r="11" spans="1:33" s="978" customFormat="1" ht="13.5" customHeight="1">
      <c r="A11" s="974" t="s">
        <v>1334</v>
      </c>
      <c r="B11" s="975" t="s">
        <v>2483</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2484</v>
      </c>
      <c r="C12" s="24">
        <f ca="1">ROUND(C11*F12,0)</f>
        <v>0</v>
      </c>
      <c r="D12" s="976"/>
      <c r="E12" s="375"/>
      <c r="F12" s="979">
        <f>'数据-取费表'!B33</f>
        <v>0.03</v>
      </c>
      <c r="G12" s="8" t="s">
        <v>2485</v>
      </c>
      <c r="H12" s="971"/>
      <c r="I12" s="971"/>
      <c r="J12" s="971"/>
      <c r="K12" s="972"/>
    </row>
    <row r="13" spans="1:33" s="978" customFormat="1" ht="13.5" customHeight="1">
      <c r="A13" s="974" t="s">
        <v>1336</v>
      </c>
      <c r="B13" s="975" t="s">
        <v>2486</v>
      </c>
      <c r="C13" s="24">
        <f ca="1">ROUND(IF(C1="",SUMIF('数据-取费表'!C:C,"住宅",'数据-取费表'!P:P)*F13,IF(INDIRECT("'数据-取费表'!c"&amp;$K$1)="住宅",INDIRECT("'数据-取费表'!P"&amp;$K$1)*F13,0)),0)</f>
        <v>0</v>
      </c>
      <c r="D13" s="1036"/>
      <c r="E13" s="375"/>
      <c r="F13" s="979">
        <f>'数据-取费表'!B34</f>
        <v>0</v>
      </c>
      <c r="G13" s="8" t="s">
        <v>2487</v>
      </c>
      <c r="H13" s="971"/>
      <c r="I13" s="971"/>
      <c r="J13" s="971"/>
      <c r="K13" s="972"/>
    </row>
    <row r="14" spans="1:33" s="980" customFormat="1" ht="13.5" customHeight="1">
      <c r="A14" s="974" t="s">
        <v>1337</v>
      </c>
      <c r="B14" s="975" t="s">
        <v>2488</v>
      </c>
      <c r="C14" s="24">
        <f ca="1">ROUND(D14*E14*F11/10000,0)</f>
        <v>0</v>
      </c>
      <c r="D14" s="1036">
        <f ca="1">IF(C1="",'数据-汇总表'!E3,INDIRECT("'数据-取费表'!K"&amp;$K$1)+INDIRECT("'数据-取费表'!S"&amp;$K$1))</f>
        <v>57947.42</v>
      </c>
      <c r="E14" s="24">
        <f>'数据-取费表'!B35</f>
        <v>200</v>
      </c>
      <c r="F14" s="979"/>
      <c r="G14" s="8" t="s">
        <v>2489</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2490</v>
      </c>
      <c r="C15" s="986">
        <f ca="1">ROUND(C11*F15,0)</f>
        <v>0</v>
      </c>
      <c r="D15" s="981"/>
      <c r="E15" s="986"/>
      <c r="F15" s="987">
        <f>'数据-取费表'!B36</f>
        <v>1.4999999999999999E-2</v>
      </c>
      <c r="G15" s="140" t="s">
        <v>2491</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2492</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2493</v>
      </c>
      <c r="C17" s="24">
        <f ca="1">ROUND(D17*E17/10000,0)</f>
        <v>0</v>
      </c>
      <c r="D17" s="1036">
        <f ca="1">D14</f>
        <v>57947.42</v>
      </c>
      <c r="E17" s="24">
        <f>'数据-取费表'!B32</f>
        <v>0</v>
      </c>
      <c r="F17" s="981"/>
      <c r="G17" s="140" t="s">
        <v>2494</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2495</v>
      </c>
      <c r="C18" s="24">
        <f ca="1">C19+C20-IF(C1="",'数据-取费表'!B29,IF(G18="已全部缴纳",C19+C20,H18))</f>
        <v>0</v>
      </c>
      <c r="D18" s="1036"/>
      <c r="E18" s="24"/>
      <c r="F18" s="979"/>
      <c r="G18" s="2563"/>
      <c r="H18" s="1580"/>
      <c r="I18" s="2564" t="s">
        <v>2496</v>
      </c>
      <c r="J18" s="982"/>
      <c r="K18" s="983"/>
    </row>
    <row r="19" spans="1:33" s="978" customFormat="1" ht="13.5" customHeight="1">
      <c r="A19" s="974" t="s">
        <v>805</v>
      </c>
      <c r="B19" s="975" t="s">
        <v>2497</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2498</v>
      </c>
      <c r="C20" s="24">
        <f ca="1">ROUND(D20*E20/10000,0)</f>
        <v>1159</v>
      </c>
      <c r="D20" s="1036">
        <f ca="1">IF(C1="",'数据-汇总表'!E6,IF(INDIRECT("'数据-取费表'!c"&amp;$K$1)="住宅",INDIRECT("'数据-取费表'!s"&amp;$K$1),INDIRECT("'数据-取费表'!k"&amp;$K$1)+INDIRECT("'数据-取费表'!s"&amp;$K$1)))</f>
        <v>57947.42</v>
      </c>
      <c r="E20" s="24">
        <f>'数据-取费表'!B28</f>
        <v>200</v>
      </c>
      <c r="F20" s="979"/>
      <c r="G20" s="15"/>
      <c r="H20" s="984"/>
      <c r="I20" s="984"/>
      <c r="J20" s="984"/>
      <c r="K20" s="985"/>
    </row>
    <row r="21" spans="1:33" s="978" customFormat="1" ht="13.5" customHeight="1">
      <c r="A21" s="964" t="s">
        <v>802</v>
      </c>
      <c r="B21" s="988" t="s">
        <v>2499</v>
      </c>
      <c r="C21" s="989">
        <f ca="1">C16+C17+C18</f>
        <v>0</v>
      </c>
      <c r="D21" s="990"/>
      <c r="E21" s="325"/>
      <c r="F21" s="325"/>
      <c r="G21" s="140" t="s">
        <v>2500</v>
      </c>
      <c r="H21" s="982"/>
      <c r="I21" s="982"/>
      <c r="J21" s="982"/>
      <c r="K21" s="983"/>
    </row>
    <row r="22" spans="1:33" s="978" customFormat="1" ht="13.5" customHeight="1">
      <c r="A22" s="964" t="s">
        <v>2472</v>
      </c>
      <c r="B22" s="988" t="s">
        <v>2501</v>
      </c>
      <c r="C22" s="989">
        <f ca="1">ROUND(C21*F22,0)</f>
        <v>0</v>
      </c>
      <c r="D22" s="325"/>
      <c r="E22" s="325"/>
      <c r="F22" s="991">
        <f>'数据-取费表'!B37</f>
        <v>0.02</v>
      </c>
      <c r="G22" s="8" t="s">
        <v>2502</v>
      </c>
      <c r="H22" s="971"/>
      <c r="I22" s="971"/>
      <c r="J22" s="971"/>
      <c r="K22" s="972"/>
    </row>
    <row r="23" spans="1:33" s="978" customFormat="1" ht="13.5" customHeight="1">
      <c r="A23" s="964" t="s">
        <v>2474</v>
      </c>
      <c r="B23" s="988" t="s">
        <v>2503</v>
      </c>
      <c r="C23" s="989">
        <f ca="1">ROUND(C4*F23*F11,0)</f>
        <v>0</v>
      </c>
      <c r="D23" s="325"/>
      <c r="E23" s="325"/>
      <c r="F23" s="991">
        <f>'数据-取费表'!B38</f>
        <v>0.02</v>
      </c>
      <c r="G23" s="8" t="s">
        <v>2504</v>
      </c>
      <c r="H23" s="971"/>
      <c r="I23" s="971"/>
      <c r="J23" s="971"/>
      <c r="K23" s="972"/>
    </row>
    <row r="24" spans="1:33" s="978" customFormat="1" ht="13.5" customHeight="1">
      <c r="A24" s="964" t="s">
        <v>2505</v>
      </c>
      <c r="B24" s="988" t="s">
        <v>2506</v>
      </c>
      <c r="C24" s="324">
        <f>ROUND(F24/(1+'数据-取费表'!C42),4)</f>
        <v>2.9000000000000001E-2</v>
      </c>
      <c r="D24" s="325" t="s">
        <v>15</v>
      </c>
      <c r="E24" s="325"/>
      <c r="F24" s="991">
        <f>'数据-取费表'!B48+'数据-取费表'!B49</f>
        <v>3.0499999999999999E-2</v>
      </c>
      <c r="G24" s="8" t="s">
        <v>2507</v>
      </c>
      <c r="H24" s="993"/>
      <c r="I24" s="993"/>
      <c r="J24" s="993"/>
      <c r="K24" s="994"/>
    </row>
    <row r="25" spans="1:33" s="978" customFormat="1" ht="13.5" customHeight="1">
      <c r="A25" s="964" t="s">
        <v>2508</v>
      </c>
      <c r="B25" s="990" t="s">
        <v>2509</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2510</v>
      </c>
      <c r="C26" s="1360">
        <f ca="1">ROUND(IF('数据-取费表'!B22&lt;=1,(1+C24)*F25*'数据-取费表'!B24,(1+C24)*(POWER((1+F25),'数据-取费表'!B24)-1)),4)</f>
        <v>0</v>
      </c>
      <c r="D26" s="328"/>
      <c r="E26" s="329"/>
      <c r="F26" s="330"/>
      <c r="G26" s="2565"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2511</v>
      </c>
      <c r="C27" s="1361">
        <f ca="1">ROUND(IF('数据-取费表'!B22&lt;=1,(C21+C22+C23)*F25*'数据-取费表'!B24/2,(C21+C22+C23)*(POWER((1+F25),'数据-取费表'!B24/2)-1)),0)</f>
        <v>0</v>
      </c>
      <c r="D27" s="328"/>
      <c r="E27" s="329"/>
      <c r="F27" s="330"/>
      <c r="G27" s="2565" t="str">
        <f>IF('数据-取费表'!B22&lt;=1,"（1）-（3）项×年利率×建设期÷2","（1）-（3）项×((1+年利率)^(建设期÷2)-1)")</f>
        <v>（1）-（3）项×((1+年利率)^(建设期÷2)-1)</v>
      </c>
      <c r="H27" s="982"/>
      <c r="I27" s="982"/>
      <c r="J27" s="982"/>
      <c r="K27" s="983"/>
    </row>
    <row r="28" spans="1:33" s="333" customFormat="1" ht="13.5" customHeight="1">
      <c r="A28" s="964" t="s">
        <v>2512</v>
      </c>
      <c r="B28" s="2566" t="s">
        <v>2513</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2514</v>
      </c>
      <c r="C29" s="328">
        <f ca="1">ROUND((1+C24)*F28*'数据-取费表'!B24/'数据-取费表'!B20,4)</f>
        <v>0</v>
      </c>
      <c r="D29" s="328"/>
      <c r="E29" s="329"/>
      <c r="F29" s="334"/>
      <c r="G29" s="140" t="s">
        <v>2515</v>
      </c>
      <c r="H29" s="982"/>
      <c r="I29" s="982"/>
      <c r="J29" s="982"/>
      <c r="K29" s="983"/>
    </row>
    <row r="30" spans="1:33" s="335" customFormat="1" ht="13.5" customHeight="1">
      <c r="A30" s="974" t="s">
        <v>804</v>
      </c>
      <c r="B30" s="997" t="s">
        <v>2516</v>
      </c>
      <c r="C30" s="336">
        <f ca="1">ROUND((C21+C22+C23)*F28,0)</f>
        <v>0</v>
      </c>
      <c r="D30" s="328"/>
      <c r="E30" s="329"/>
      <c r="F30" s="334"/>
      <c r="G30" s="140"/>
      <c r="H30" s="982"/>
      <c r="I30" s="982"/>
      <c r="J30" s="982"/>
      <c r="K30" s="983"/>
    </row>
    <row r="31" spans="1:33" s="978" customFormat="1" ht="13.5" customHeight="1" thickBot="1">
      <c r="A31" s="2567" t="s">
        <v>2517</v>
      </c>
      <c r="B31" s="1008" t="s">
        <v>2518</v>
      </c>
      <c r="C31" s="1009">
        <f>ROUND(C4*F31/(1+'数据-取费表'!C42),0)</f>
        <v>0</v>
      </c>
      <c r="D31" s="1010"/>
      <c r="E31" s="1011"/>
      <c r="F31" s="1012">
        <f>'数据-取费表'!B41</f>
        <v>5.6000000000000001E-2</v>
      </c>
      <c r="G31" s="1013" t="s">
        <v>2519</v>
      </c>
      <c r="H31" s="1014"/>
      <c r="I31" s="1014"/>
      <c r="J31" s="1014"/>
      <c r="K31" s="1015"/>
    </row>
    <row r="32" spans="1:33" s="973" customFormat="1" ht="13.5" customHeight="1" thickBot="1">
      <c r="A32" s="1003" t="s">
        <v>2520</v>
      </c>
      <c r="B32" s="1004"/>
      <c r="C32" s="1005">
        <f ca="1">ROUND((C4-C21-C22-C23-C25-C28-C31)/(1+C24+D25+D28),0)</f>
        <v>0</v>
      </c>
      <c r="D32" s="1004"/>
      <c r="E32" s="1004"/>
      <c r="F32" s="1004"/>
      <c r="G32" s="1006" t="s">
        <v>2521</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G6" sqref="G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3076</v>
      </c>
      <c r="D1" s="1823" t="s">
        <v>70</v>
      </c>
      <c r="E1" s="1824" t="s">
        <v>1387</v>
      </c>
      <c r="F1" s="1286">
        <f ca="1">J53</f>
        <v>43.56</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240481</v>
      </c>
      <c r="C2" s="1848" t="s">
        <v>1516</v>
      </c>
      <c r="D2" s="1848"/>
      <c r="E2" s="1849"/>
      <c r="F2" s="1850"/>
      <c r="G2" s="1851"/>
      <c r="H2" s="1843"/>
      <c r="I2" s="1843"/>
      <c r="J2" s="1843"/>
      <c r="K2" s="1844"/>
      <c r="L2" s="1843"/>
      <c r="M2" s="1843"/>
    </row>
    <row r="3" spans="1:37" ht="18" customHeight="1" thickBot="1">
      <c r="A3" s="1852" t="s">
        <v>1517</v>
      </c>
      <c r="B3" s="1853">
        <f ca="1">IF(ISERROR(B2*10000/F43),0,ROUND(B2*10000/F43,0))</f>
        <v>41693</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9612</v>
      </c>
      <c r="D5" s="1825" t="s">
        <v>1402</v>
      </c>
      <c r="E5" s="1296"/>
      <c r="F5" s="1297"/>
      <c r="G5" s="1854"/>
      <c r="H5" s="344">
        <v>1</v>
      </c>
      <c r="I5" s="345" t="s">
        <v>1401</v>
      </c>
      <c r="J5" s="1295">
        <f ca="1">J6+J10+J12</f>
        <v>0</v>
      </c>
      <c r="K5" s="1825" t="s">
        <v>1402</v>
      </c>
      <c r="L5" s="1296"/>
      <c r="M5" s="1297"/>
    </row>
    <row r="6" spans="1:37" ht="18" customHeight="1">
      <c r="A6" s="1294" t="s">
        <v>1035</v>
      </c>
      <c r="B6" s="3142" t="s">
        <v>1403</v>
      </c>
      <c r="C6" s="1299">
        <f ca="1">ROUND(F6*F8*F7*(1-F9)/10000,0)</f>
        <v>9600</v>
      </c>
      <c r="D6" s="164" t="s">
        <v>3037</v>
      </c>
      <c r="E6" s="347" t="s">
        <v>1405</v>
      </c>
      <c r="F6" s="348">
        <f ca="1">INDIRECT("'数据-取费表'!u"&amp;$G$1)</f>
        <v>4.8</v>
      </c>
      <c r="G6" s="1854"/>
      <c r="H6" s="1294" t="s">
        <v>1035</v>
      </c>
      <c r="I6" s="3142" t="s">
        <v>1403</v>
      </c>
      <c r="J6" s="346">
        <f ca="1">ROUND(M6*M8*M7*(1-M9)/10000,0)</f>
        <v>0</v>
      </c>
      <c r="K6" s="164" t="s">
        <v>3036</v>
      </c>
      <c r="L6" s="347" t="s">
        <v>1405</v>
      </c>
      <c r="M6" s="348">
        <f ca="1">INDIRECT("'数据-取费表'!z"&amp;$G$1)</f>
        <v>0</v>
      </c>
    </row>
    <row r="7" spans="1:37" ht="18" customHeight="1">
      <c r="A7" s="1298"/>
      <c r="B7" s="3143"/>
      <c r="C7" s="1300"/>
      <c r="D7" s="352"/>
      <c r="E7" s="1301" t="s">
        <v>1406</v>
      </c>
      <c r="F7" s="348">
        <f ca="1">IF(INDIRECT("'数据-取费表'!ah"&amp;$G$1)="",INDIRECT("'数据-取费表'!k"&amp;$G$1),INDIRECT("'数据-取费表'!ah"&amp;$G$1))</f>
        <v>57679.670000000006</v>
      </c>
      <c r="G7" s="1854"/>
      <c r="H7" s="349"/>
      <c r="I7" s="3143"/>
      <c r="J7" s="351"/>
      <c r="K7" s="352"/>
      <c r="L7" s="347" t="s">
        <v>1406</v>
      </c>
      <c r="M7" s="348">
        <f ca="1">F7</f>
        <v>57679.670000000006</v>
      </c>
    </row>
    <row r="8" spans="1:37" ht="18" customHeight="1">
      <c r="A8" s="349"/>
      <c r="B8" s="3143"/>
      <c r="C8" s="351"/>
      <c r="D8" s="352"/>
      <c r="E8" s="347" t="s">
        <v>1407</v>
      </c>
      <c r="F8" s="348">
        <f ca="1">INDIRECT("'数据-取费表'!ai"&amp;$G$1)</f>
        <v>365</v>
      </c>
      <c r="G8" s="1854"/>
      <c r="H8" s="349"/>
      <c r="I8" s="3143"/>
      <c r="J8" s="351"/>
      <c r="K8" s="352"/>
      <c r="L8" s="347" t="s">
        <v>1407</v>
      </c>
      <c r="M8" s="348">
        <f ca="1">INDIRECT("'数据-取费表'!ai"&amp;$G$1)</f>
        <v>365</v>
      </c>
    </row>
    <row r="9" spans="1:37" ht="18" customHeight="1">
      <c r="A9" s="349"/>
      <c r="B9" s="3144"/>
      <c r="C9" s="351"/>
      <c r="D9" s="352"/>
      <c r="E9" s="347" t="s">
        <v>1408</v>
      </c>
      <c r="F9" s="357">
        <f ca="1">INDIRECT("'数据-取费表'!w"&amp;$G$1)</f>
        <v>0.05</v>
      </c>
      <c r="G9" s="1854"/>
      <c r="H9" s="349"/>
      <c r="I9" s="3144"/>
      <c r="J9" s="351"/>
      <c r="K9" s="352"/>
      <c r="L9" s="358" t="s">
        <v>1408</v>
      </c>
      <c r="M9" s="359">
        <f ca="1">INDIRECT("'数据-取费表'!ab"&amp;$G$1)</f>
        <v>0</v>
      </c>
    </row>
    <row r="10" spans="1:37" ht="18" customHeight="1">
      <c r="A10" s="1294" t="s">
        <v>1039</v>
      </c>
      <c r="B10" s="1826" t="s">
        <v>1409</v>
      </c>
      <c r="C10" s="361">
        <f ca="1">ROUND(IF(F10="押一",C6/12*F11,IF(F10="押二",C6/12*2*F11,IF(F10="押三",C6/12*3*F11,C11*F11))),0)</f>
        <v>12</v>
      </c>
      <c r="D10" s="1827" t="s">
        <v>3046</v>
      </c>
      <c r="E10" s="358" t="s">
        <v>1410</v>
      </c>
      <c r="F10" s="1369" t="s">
        <v>3073</v>
      </c>
      <c r="G10" s="1854"/>
      <c r="H10" s="1294" t="s">
        <v>1039</v>
      </c>
      <c r="I10" s="1826" t="s">
        <v>1409</v>
      </c>
      <c r="J10" s="346">
        <f ca="1">ROUND(IF(M10="押一",J6/12*M11,IF(M10="押二",J6/12*2*M11,IF(M10="押三",J6/12*3*M11,J11*M11))),0)</f>
        <v>0</v>
      </c>
      <c r="K10" s="1827" t="s">
        <v>3045</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28699</v>
      </c>
      <c r="D13" s="1334" t="s">
        <v>1415</v>
      </c>
      <c r="E13" s="1334" t="s">
        <v>1416</v>
      </c>
      <c r="F13" s="1335">
        <f ca="1">INDIRECT("'数据-取费表'!y"&amp;$G$1)</f>
        <v>0.93</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20282</v>
      </c>
      <c r="D14" s="1803" t="s">
        <v>1418</v>
      </c>
      <c r="E14" s="1797"/>
      <c r="F14" s="364"/>
      <c r="G14" s="1854"/>
      <c r="H14" s="1204" t="s">
        <v>1035</v>
      </c>
      <c r="I14" s="347" t="s">
        <v>1419</v>
      </c>
      <c r="J14" s="24">
        <f ca="1">C29</f>
        <v>30859</v>
      </c>
      <c r="K14" s="15"/>
      <c r="L14" s="982"/>
      <c r="M14" s="983"/>
    </row>
    <row r="15" spans="1:37" s="1861" customFormat="1" ht="18" customHeight="1" thickBot="1">
      <c r="A15" s="1204" t="s">
        <v>1036</v>
      </c>
      <c r="B15" s="347" t="s">
        <v>1420</v>
      </c>
      <c r="C15" s="24">
        <f ca="1">ROUND(C14*F15,0)</f>
        <v>608</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572</v>
      </c>
      <c r="K16" s="1340" t="s">
        <v>1425</v>
      </c>
      <c r="L16" s="1341"/>
      <c r="M16" s="1297"/>
    </row>
    <row r="17" spans="1:37" s="1861" customFormat="1" ht="18" customHeight="1">
      <c r="A17" s="1204" t="s">
        <v>1390</v>
      </c>
      <c r="B17" s="347" t="s">
        <v>1426</v>
      </c>
      <c r="C17" s="24">
        <f ca="1">ROUND(F17*(F43+INDIRECT("'数据-取费表'!S"&amp;$G$1))/10000,0)</f>
        <v>1159</v>
      </c>
      <c r="D17" s="347" t="s">
        <v>1427</v>
      </c>
      <c r="E17" s="347" t="s">
        <v>1428</v>
      </c>
      <c r="F17" s="26">
        <f>'数据-取费表'!B35</f>
        <v>200</v>
      </c>
      <c r="G17" s="1857"/>
      <c r="H17" s="1204" t="s">
        <v>1035</v>
      </c>
      <c r="I17" s="347" t="s">
        <v>1429</v>
      </c>
      <c r="J17" s="24">
        <f ca="1">ROUND(IF(项目基本情况!B11="自然人",J5*M17,J18+J19+J20),1)</f>
        <v>263.3</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304</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22353</v>
      </c>
      <c r="D19" s="140" t="s">
        <v>1436</v>
      </c>
      <c r="E19" s="1821"/>
      <c r="F19" s="26"/>
      <c r="G19" s="1854"/>
      <c r="H19" s="1204" t="s">
        <v>1036</v>
      </c>
      <c r="I19" s="347" t="s">
        <v>1437</v>
      </c>
      <c r="J19" s="24">
        <f ca="1">IF(K19="按租金收入计税",ROUND(J5*M19,2),ROUND(C29*M19*0.7,2))</f>
        <v>259.22000000000003</v>
      </c>
      <c r="K19" s="1831" t="s">
        <v>1438</v>
      </c>
      <c r="L19" s="347" t="s">
        <v>1422</v>
      </c>
      <c r="M19" s="367">
        <f>IF(K19="按租金收入计税",'数据-取费表'!B51,'数据-取费表'!B50)</f>
        <v>1.2E-2</v>
      </c>
    </row>
    <row r="20" spans="1:37" s="1861" customFormat="1" ht="18" customHeight="1">
      <c r="A20" s="1204" t="s">
        <v>1039</v>
      </c>
      <c r="B20" s="347" t="s">
        <v>1439</v>
      </c>
      <c r="C20" s="24">
        <f ca="1">ROUND(C19*F20,0)</f>
        <v>447</v>
      </c>
      <c r="D20" s="369" t="s">
        <v>1440</v>
      </c>
      <c r="E20" s="347" t="s">
        <v>1422</v>
      </c>
      <c r="F20" s="367">
        <f>'数据-取费表'!B37</f>
        <v>0.02</v>
      </c>
      <c r="G20" s="1857"/>
      <c r="H20" s="1204" t="s">
        <v>1389</v>
      </c>
      <c r="I20" s="164" t="s">
        <v>1441</v>
      </c>
      <c r="J20" s="25">
        <f ca="1">ROUND(M20*M21/10000,2)</f>
        <v>4.0599999999999996</v>
      </c>
      <c r="K20" s="370" t="s">
        <v>1442</v>
      </c>
      <c r="L20" s="347" t="s">
        <v>1443</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13537.24</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308.60000000000002</v>
      </c>
      <c r="K22" s="1801" t="s">
        <v>1450</v>
      </c>
      <c r="L22" s="347" t="s">
        <v>1422</v>
      </c>
      <c r="M22" s="374">
        <f ca="1">INDIRECT("'数据-取费表'!Ak"&amp;$G$1)</f>
        <v>0.01</v>
      </c>
    </row>
    <row r="23" spans="1:37" s="1861" customFormat="1" ht="18" customHeight="1">
      <c r="A23" s="1204" t="s">
        <v>1034</v>
      </c>
      <c r="B23" s="347" t="s">
        <v>1451</v>
      </c>
      <c r="C23" s="24">
        <f ca="1">IF('数据-取费表'!B22&lt;=1,ROUND(C19*F24*F23/2,0)+ROUND(C20*F24*F23/2,0),ROUND(C19*(POWER((1+F24),F23/2)-1),0)+ROUND(C20*(POWER((1+F24),F23/2)-1),0))</f>
        <v>1083</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ROUND(J13*M23,1)</f>
        <v>0</v>
      </c>
      <c r="K23" s="1801" t="s">
        <v>1454</v>
      </c>
      <c r="L23" s="347" t="s">
        <v>1455</v>
      </c>
      <c r="M23" s="376">
        <f ca="1">INDIRECT("'数据-取费表'!Al"&amp;$G$1)</f>
        <v>1E-3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-572</v>
      </c>
      <c r="K25" s="1348" t="s">
        <v>1464</v>
      </c>
      <c r="L25" s="1349"/>
      <c r="M25" s="1350"/>
    </row>
    <row r="26" spans="1:37">
      <c r="A26" s="1204" t="s">
        <v>1034</v>
      </c>
      <c r="B26" s="347" t="s">
        <v>1465</v>
      </c>
      <c r="C26" s="24">
        <f ca="1">ROUND((C19+C20)*F26,0)</f>
        <v>4560</v>
      </c>
      <c r="D26" s="369" t="s">
        <v>1466</v>
      </c>
      <c r="E26" s="358" t="s">
        <v>1467</v>
      </c>
      <c r="F26" s="357">
        <f ca="1">INDIRECT("'数据-取费表'!q"&amp;$G$1)</f>
        <v>0.2</v>
      </c>
      <c r="G26" s="1854"/>
      <c r="H26" s="344" t="s">
        <v>1032</v>
      </c>
      <c r="I26" s="345" t="s">
        <v>1468</v>
      </c>
      <c r="J26" s="346">
        <f ca="1">IF(J5&lt;&gt;0,ROUND(J25*(1-((1+M28)/(1+M26))^M27)/(M26-M28),0),0)</f>
        <v>0</v>
      </c>
      <c r="K26" s="370" t="s">
        <v>1469</v>
      </c>
      <c r="L26" s="347" t="s">
        <v>1470</v>
      </c>
      <c r="M26" s="357">
        <f ca="1">INDIRECT("'数据-取费表'!I"&amp;$G$1)</f>
        <v>0.05</v>
      </c>
    </row>
    <row r="27" spans="1:37" ht="18" customHeight="1">
      <c r="A27" s="1204" t="s">
        <v>1036</v>
      </c>
      <c r="B27" s="347" t="s">
        <v>1471</v>
      </c>
      <c r="C27" s="24">
        <f ca="1">ROUND(F21*F26,4)</f>
        <v>4.0000000000000001E-3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30859</v>
      </c>
      <c r="D29" s="1345"/>
      <c r="E29" s="1343"/>
      <c r="F29" s="1346"/>
      <c r="G29" s="1857"/>
      <c r="H29" s="380" t="s">
        <v>1033</v>
      </c>
      <c r="I29" s="381" t="s">
        <v>1479</v>
      </c>
      <c r="J29" s="382">
        <f ca="1">ROUND(J26/(1+F40)^F41,0)</f>
        <v>0</v>
      </c>
      <c r="K29" s="383" t="s">
        <v>1480</v>
      </c>
      <c r="L29" s="384"/>
      <c r="M29" s="385">
        <f ca="1">INDIRECT("'数据-取费表'!k"&amp;$G$1)</f>
        <v>57679.670000000006</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1866</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1432.7</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512.64</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916</v>
      </c>
      <c r="D33" s="1831" t="s">
        <v>3089</v>
      </c>
      <c r="E33" s="347" t="s">
        <v>1422</v>
      </c>
      <c r="F33" s="367" t="str">
        <f>IF(D33="按票据","——",IF(D33="按租金收入计税",'数据-取费表'!B51,'数据-取费表'!B50))</f>
        <v>——</v>
      </c>
      <c r="G33" s="1854"/>
      <c r="H33" s="1862"/>
      <c r="I33" s="1863"/>
      <c r="J33" s="1864"/>
      <c r="K33" s="1865"/>
      <c r="L33" s="1862"/>
      <c r="M33" s="1862"/>
    </row>
    <row r="34" spans="1:18" ht="18" customHeight="1">
      <c r="A34" s="1294" t="s">
        <v>1389</v>
      </c>
      <c r="B34" s="164" t="s">
        <v>1441</v>
      </c>
      <c r="C34" s="25">
        <f ca="1">IF(项目基本情况!B11="自然人","——",ROUND(F34*F35/10000,2))</f>
        <v>4.0599999999999996</v>
      </c>
      <c r="D34" s="370" t="s">
        <v>1442</v>
      </c>
      <c r="E34" s="347" t="s">
        <v>1443</v>
      </c>
      <c r="F34" s="371">
        <f>'数据-取费表'!B52</f>
        <v>3</v>
      </c>
      <c r="G34" s="1854"/>
      <c r="H34" s="745"/>
      <c r="I34" s="1863"/>
      <c r="J34" s="1864"/>
      <c r="K34" s="1866"/>
      <c r="L34" s="1867"/>
      <c r="M34" s="1867"/>
    </row>
    <row r="35" spans="1:18" ht="18" customHeight="1">
      <c r="A35" s="1356"/>
      <c r="B35" s="1354"/>
      <c r="C35" s="29"/>
      <c r="D35" s="373"/>
      <c r="E35" s="347" t="s">
        <v>1447</v>
      </c>
      <c r="F35" s="348">
        <f ca="1">INDIRECT("'数据-取费表'!r"&amp;$G$1)</f>
        <v>13537.24</v>
      </c>
      <c r="G35" s="1854"/>
      <c r="H35" s="745"/>
      <c r="I35" s="1863"/>
      <c r="J35" s="1864"/>
      <c r="K35" s="1865"/>
      <c r="L35" s="1862"/>
      <c r="M35" s="1862"/>
    </row>
    <row r="36" spans="1:18" ht="18" customHeight="1">
      <c r="A36" s="1355" t="s">
        <v>1039</v>
      </c>
      <c r="B36" s="347" t="s">
        <v>1449</v>
      </c>
      <c r="C36" s="24">
        <f ca="1">ROUND(C29*F36,1)</f>
        <v>308.60000000000002</v>
      </c>
      <c r="D36" s="1801" t="s">
        <v>1482</v>
      </c>
      <c r="E36" s="347" t="s">
        <v>1422</v>
      </c>
      <c r="F36" s="374">
        <f ca="1">INDIRECT("'数据-取费表'!Ak"&amp;$G$1)</f>
        <v>0.01</v>
      </c>
      <c r="G36" s="1854"/>
      <c r="H36" s="1862"/>
      <c r="I36" s="1863"/>
      <c r="J36" s="1864"/>
      <c r="K36" s="751"/>
      <c r="L36" s="1862"/>
      <c r="M36" s="1862"/>
    </row>
    <row r="37" spans="1:18" ht="18" customHeight="1">
      <c r="A37" s="1204" t="s">
        <v>1075</v>
      </c>
      <c r="B37" s="347" t="s">
        <v>1453</v>
      </c>
      <c r="C37" s="24">
        <f ca="1">ROUND(C13*F37,1)</f>
        <v>28.7</v>
      </c>
      <c r="D37" s="1801" t="s">
        <v>1454</v>
      </c>
      <c r="E37" s="347" t="s">
        <v>1455</v>
      </c>
      <c r="F37" s="376">
        <f ca="1">INDIRECT("'数据-取费表'!Al"&amp;$G$1)</f>
        <v>1E-3</v>
      </c>
      <c r="G37" s="1854"/>
      <c r="H37" s="1862"/>
      <c r="I37" s="1863"/>
      <c r="J37" s="1864"/>
      <c r="K37" s="751"/>
      <c r="L37" s="1862"/>
      <c r="M37" s="1862"/>
    </row>
    <row r="38" spans="1:18" ht="18" customHeight="1" thickBot="1">
      <c r="A38" s="1342" t="s">
        <v>1393</v>
      </c>
      <c r="B38" s="1343" t="s">
        <v>1439</v>
      </c>
      <c r="C38" s="1344">
        <f ca="1">ROUND(C5*F38,1)</f>
        <v>96.1</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7746</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240481</v>
      </c>
      <c r="D40" s="370" t="s">
        <v>1469</v>
      </c>
      <c r="E40" s="347" t="s">
        <v>1470</v>
      </c>
      <c r="F40" s="357">
        <f ca="1">INDIRECT("'数据-取费表'!I"&amp;$G$1)</f>
        <v>0.05</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43.56</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41693</v>
      </c>
      <c r="D43" s="383" t="s">
        <v>1488</v>
      </c>
      <c r="E43" s="384" t="s">
        <v>1489</v>
      </c>
      <c r="F43" s="385">
        <f ca="1">INDIRECT("'数据-取费表'!k"&amp;$G$1)</f>
        <v>57679.670000000006</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#VALUE!</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3074</v>
      </c>
      <c r="K47" s="1885" t="s">
        <v>1527</v>
      </c>
      <c r="L47" s="1886">
        <f ca="1">INDIRECT("'数据-取费表'!d"&amp;$G$1)</f>
        <v>50</v>
      </c>
      <c r="M47" s="1841" t="str">
        <f>IF(ISNUMBER(FIND("住宅",C1)),"住宅","非住宅")</f>
        <v>非住宅</v>
      </c>
      <c r="O47" s="1887" t="s">
        <v>1040</v>
      </c>
      <c r="P47" s="1888" t="s">
        <v>1528</v>
      </c>
      <c r="Q47" s="1889">
        <f ca="1">C40+J29</f>
        <v>240481</v>
      </c>
      <c r="R47" s="1889" t="s">
        <v>1529</v>
      </c>
    </row>
    <row r="48" spans="1:18" s="1845" customFormat="1" ht="28.5" thickBot="1">
      <c r="A48" s="1363" t="s">
        <v>1135</v>
      </c>
      <c r="B48" s="345" t="s">
        <v>1401</v>
      </c>
      <c r="C48" s="1820">
        <f ca="1">C49+C53+C55</f>
        <v>0</v>
      </c>
      <c r="D48" s="1365"/>
      <c r="E48" s="1366"/>
      <c r="F48" s="1184"/>
      <c r="G48" s="792"/>
      <c r="H48" s="793"/>
      <c r="I48" s="1890" t="s">
        <v>1530</v>
      </c>
      <c r="J48" s="1891" t="s">
        <v>3075</v>
      </c>
      <c r="K48" s="1892" t="s">
        <v>1531</v>
      </c>
      <c r="L48" s="1893">
        <f ca="1">INDIRECT("'数据-取费表'!f"&amp;$G$1)</f>
        <v>43.56</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3038</v>
      </c>
      <c r="E49" s="1833" t="s">
        <v>1491</v>
      </c>
      <c r="F49" s="1284"/>
      <c r="G49" s="1894"/>
      <c r="H49" s="793"/>
      <c r="I49" s="1890" t="s">
        <v>1534</v>
      </c>
      <c r="J49" s="1895"/>
      <c r="K49" s="1892" t="s">
        <v>1535</v>
      </c>
      <c r="L49" s="1896"/>
      <c r="O49" s="1897" t="s">
        <v>1042</v>
      </c>
      <c r="P49" s="1888" t="s">
        <v>1536</v>
      </c>
      <c r="Q49" s="1889">
        <f ca="1">C29</f>
        <v>30859</v>
      </c>
      <c r="R49" s="1889" t="s">
        <v>1529</v>
      </c>
    </row>
    <row r="50" spans="1:18" s="1845" customFormat="1" ht="13.5" thickBot="1">
      <c r="A50" s="1198"/>
      <c r="B50" s="1201"/>
      <c r="C50" s="1371"/>
      <c r="D50" s="1175"/>
      <c r="E50" s="1280" t="s">
        <v>1406</v>
      </c>
      <c r="F50" s="1281">
        <f ca="1">F7</f>
        <v>57679.670000000006</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60</v>
      </c>
      <c r="K51" s="1903" t="s">
        <v>1541</v>
      </c>
      <c r="L51" s="1904">
        <f ca="1">ROUND(-PV(INDIRECT("'数据-取费表'!h"&amp;$G$1),L48,(C39-C13*C76),0),0)</f>
        <v>103310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f ca="1">J53</f>
        <v>43.56</v>
      </c>
      <c r="R52" s="1889" t="s">
        <v>1546</v>
      </c>
    </row>
    <row r="53" spans="1:18" s="1845" customFormat="1" ht="24.75" thickBot="1">
      <c r="A53" s="1408" t="s">
        <v>1137</v>
      </c>
      <c r="B53" s="1834" t="s">
        <v>1409</v>
      </c>
      <c r="C53" s="361">
        <f ca="1">ROUND(IF(F53="押一",C49/12*F11,IF(F53="押二",C49/12*2*F11,IF(F53="押三",C49/12*3*F11,C54*F11))),0)</f>
        <v>0</v>
      </c>
      <c r="D53" s="1827" t="s">
        <v>3045</v>
      </c>
      <c r="E53" s="358" t="s">
        <v>1410</v>
      </c>
      <c r="F53" s="1369"/>
      <c r="I53" s="1908" t="s">
        <v>1547</v>
      </c>
      <c r="J53" s="1909">
        <f ca="1">IF(M47="住宅",IF(D1="——",MAX(J51,L48),IF(D1="在建（套用方法）",MAX(J51,L48-'数据-取费表'!B24),MAX(J51,L48-'数据-取费表'!B20))),IF(D1="——",MIN(J51,L48),IF(D1="在建（套用方法）",MIN(J51,L48-'数据-取费表'!B24),IF(D1="土地（套用方法）",MIN(J51,L48-'数据-取费表'!B20)))))</f>
        <v>43.56</v>
      </c>
      <c r="K53" s="3140" t="s">
        <v>1548</v>
      </c>
      <c r="L53" s="3141"/>
      <c r="O53" s="1887" t="s">
        <v>1046</v>
      </c>
      <c r="P53" s="1888" t="s">
        <v>1549</v>
      </c>
      <c r="Q53" s="1889">
        <f ca="1">Q47+Q48</f>
        <v>240481</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28699</v>
      </c>
      <c r="D56" s="1917"/>
      <c r="E56" s="1918"/>
      <c r="F56" s="1910"/>
      <c r="I56" s="1919" t="s">
        <v>1554</v>
      </c>
      <c r="J56" s="1920" t="s">
        <v>3068</v>
      </c>
      <c r="K56" s="1890" t="s">
        <v>1555</v>
      </c>
      <c r="L56" s="1893" t="str">
        <f ca="1">IF(L48&lt;J51,"——",L48-J53)</f>
        <v>——</v>
      </c>
      <c r="O56" s="1887" t="s">
        <v>1040</v>
      </c>
      <c r="P56" s="1888" t="s">
        <v>1528</v>
      </c>
      <c r="Q56" s="1889">
        <f ca="1">C40+J29</f>
        <v>240481</v>
      </c>
      <c r="R56" s="1889" t="s">
        <v>1529</v>
      </c>
    </row>
    <row r="57" spans="1:18" s="1845" customFormat="1" ht="24.75" thickBot="1">
      <c r="A57" s="1921"/>
      <c r="B57" s="1172" t="s">
        <v>1478</v>
      </c>
      <c r="C57" s="282">
        <f ca="1">C29</f>
        <v>30859</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t="e">
        <f ca="1">ROUND(C59+C64+C65+C66,0)</f>
        <v>#VALUE!</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t="e">
        <f ca="1">ROUND(IF(项目基本情况!B11="自然人",C48*F59,C60+C61+C62),1)</f>
        <v>#VALUE!</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t="e">
        <f ca="1">IF(项目基本情况!B11="自然人","——",IF(D61="按租金收入计税",ROUND(C48*F61,2),IF(D61="按房产原值计税",ROUND(C57*F61*0.7,2),INDIRECT("'数据-取费表'!Aj"&amp;$G$1))))</f>
        <v>#VALUE!</v>
      </c>
      <c r="D61" s="1831" t="s">
        <v>1438</v>
      </c>
      <c r="E61" s="1172" t="s">
        <v>1494</v>
      </c>
      <c r="F61" s="367" t="str">
        <f t="shared" si="0"/>
        <v>——</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4.0599999999999996</v>
      </c>
      <c r="D62" s="1187" t="s">
        <v>1497</v>
      </c>
      <c r="E62" s="1172" t="s">
        <v>1498</v>
      </c>
      <c r="F62" s="371">
        <f t="shared" si="0"/>
        <v>3</v>
      </c>
      <c r="I62" s="1932" t="s">
        <v>1570</v>
      </c>
      <c r="J62" s="1933" t="s">
        <v>1571</v>
      </c>
      <c r="K62" s="1933" t="s">
        <v>1572</v>
      </c>
      <c r="L62" s="1933" t="s">
        <v>1573</v>
      </c>
      <c r="M62" s="1934" t="s">
        <v>1574</v>
      </c>
      <c r="O62" s="1887" t="s">
        <v>1046</v>
      </c>
      <c r="P62" s="1888" t="s">
        <v>1575</v>
      </c>
      <c r="Q62" s="1889">
        <f ca="1">Q56+Q57</f>
        <v>240481</v>
      </c>
      <c r="R62" s="1889" t="s">
        <v>1047</v>
      </c>
    </row>
    <row r="63" spans="1:18" s="1845" customFormat="1" ht="13.5" thickBot="1">
      <c r="A63" s="372"/>
      <c r="B63" s="1178"/>
      <c r="C63" s="29"/>
      <c r="D63" s="1188"/>
      <c r="E63" s="1172" t="s">
        <v>1499</v>
      </c>
      <c r="F63" s="348">
        <f t="shared" ca="1" si="0"/>
        <v>13537.24</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308.60000000000002</v>
      </c>
      <c r="D64" s="1186" t="s">
        <v>1502</v>
      </c>
      <c r="E64" s="1172" t="s">
        <v>1494</v>
      </c>
      <c r="F64" s="374">
        <f t="shared" ca="1" si="0"/>
        <v>0.01</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28.7</v>
      </c>
      <c r="D65" s="1186" t="s">
        <v>1454</v>
      </c>
      <c r="E65" s="1172" t="s">
        <v>1455</v>
      </c>
      <c r="F65" s="376">
        <f t="shared" ca="1" si="0"/>
        <v>1E-3</v>
      </c>
      <c r="I65" s="1932" t="s">
        <v>1579</v>
      </c>
      <c r="J65" s="1933">
        <v>40</v>
      </c>
      <c r="K65" s="1933">
        <v>30</v>
      </c>
      <c r="L65" s="1933">
        <v>50</v>
      </c>
      <c r="M65" s="1935">
        <v>0.02</v>
      </c>
      <c r="O65" s="1887" t="s">
        <v>1040</v>
      </c>
      <c r="P65" s="1888" t="s">
        <v>1580</v>
      </c>
      <c r="Q65" s="1889">
        <f ca="1">C40+J29</f>
        <v>240481</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t="e">
        <f ca="1">C48-C58</f>
        <v>#VALUE!</v>
      </c>
      <c r="D67" s="1185" t="s">
        <v>1464</v>
      </c>
      <c r="E67" s="1190"/>
      <c r="F67" s="1191"/>
      <c r="O67" s="1897" t="s">
        <v>1042</v>
      </c>
      <c r="P67" s="1888" t="s">
        <v>1562</v>
      </c>
      <c r="Q67" s="1936">
        <f ca="1">L51</f>
        <v>103310</v>
      </c>
      <c r="R67" s="1889" t="s">
        <v>1582</v>
      </c>
    </row>
    <row r="68" spans="1:18" s="1845" customFormat="1" ht="16.5" thickBot="1">
      <c r="A68" s="1169" t="s">
        <v>1032</v>
      </c>
      <c r="B68" s="1170" t="s">
        <v>1485</v>
      </c>
      <c r="C68" s="346" t="e">
        <f ca="1">ROUND(C67*(1-((1+F70)/(1+F68))^F69)/(F68-F70),0)</f>
        <v>#VALUE!</v>
      </c>
      <c r="D68" s="1187" t="s">
        <v>1469</v>
      </c>
      <c r="E68" s="1172" t="s">
        <v>1470</v>
      </c>
      <c r="F68" s="357">
        <f ca="1">F40</f>
        <v>0.05</v>
      </c>
      <c r="O68" s="1897" t="s">
        <v>1043</v>
      </c>
      <c r="P68" s="1937" t="s">
        <v>1583</v>
      </c>
      <c r="Q68" s="1889">
        <f ca="1">ROUND(Q69-Q70*Q71,0)</f>
        <v>5450</v>
      </c>
      <c r="R68" s="1889" t="s">
        <v>1051</v>
      </c>
    </row>
    <row r="69" spans="1:18" s="1845" customFormat="1" ht="13.5" thickBot="1">
      <c r="A69" s="1173"/>
      <c r="B69" s="1174"/>
      <c r="C69" s="351"/>
      <c r="D69" s="1192" t="s">
        <v>1473</v>
      </c>
      <c r="E69" s="1172" t="s">
        <v>1474</v>
      </c>
      <c r="F69" s="379">
        <f ca="1">F41</f>
        <v>43.56</v>
      </c>
      <c r="O69" s="1897" t="s">
        <v>1048</v>
      </c>
      <c r="P69" s="1937" t="s">
        <v>1584</v>
      </c>
      <c r="Q69" s="1889">
        <f ca="1">C39</f>
        <v>7746</v>
      </c>
      <c r="R69" s="1889" t="s">
        <v>1529</v>
      </c>
    </row>
    <row r="70" spans="1:18" s="1845" customFormat="1" ht="13.5" thickBot="1">
      <c r="A70" s="1176"/>
      <c r="B70" s="1177"/>
      <c r="C70" s="355"/>
      <c r="D70" s="1188"/>
      <c r="E70" s="1172" t="s">
        <v>1477</v>
      </c>
      <c r="F70" s="1278"/>
      <c r="O70" s="1897" t="s">
        <v>1049</v>
      </c>
      <c r="P70" s="1937" t="s">
        <v>1585</v>
      </c>
      <c r="Q70" s="1889">
        <f ca="1">C13</f>
        <v>28699</v>
      </c>
      <c r="R70" s="1889" t="s">
        <v>1529</v>
      </c>
    </row>
    <row r="71" spans="1:18" s="1845" customFormat="1" ht="13.5" thickBot="1">
      <c r="A71" s="1193" t="s">
        <v>1033</v>
      </c>
      <c r="B71" s="1194" t="s">
        <v>1487</v>
      </c>
      <c r="C71" s="382" t="e">
        <f ca="1">ROUND(C68*10000/F71,0)</f>
        <v>#VALUE!</v>
      </c>
      <c r="D71" s="1195" t="s">
        <v>1488</v>
      </c>
      <c r="E71" s="1196" t="s">
        <v>1489</v>
      </c>
      <c r="F71" s="385">
        <f ca="1">F43</f>
        <v>57679.670000000006</v>
      </c>
      <c r="O71" s="1897" t="s">
        <v>1050</v>
      </c>
      <c r="P71" s="1937" t="s">
        <v>1586</v>
      </c>
      <c r="Q71" s="1900">
        <f ca="1">C76</f>
        <v>0.08</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2296</v>
      </c>
      <c r="D75" s="1845"/>
      <c r="E75" s="1845"/>
      <c r="F75" s="1845"/>
      <c r="K75" s="1871"/>
      <c r="L75" s="1845"/>
      <c r="O75" s="1887" t="s">
        <v>1046</v>
      </c>
      <c r="P75" s="1888" t="s">
        <v>1549</v>
      </c>
      <c r="Q75" s="1889">
        <f ca="1">Q65+Q66</f>
        <v>240481</v>
      </c>
      <c r="R75" s="1889" t="s">
        <v>1047</v>
      </c>
    </row>
    <row r="76" spans="1:18">
      <c r="B76" s="388" t="s">
        <v>1507</v>
      </c>
      <c r="C76" s="389">
        <f ca="1">INDIRECT("'数据-取费表'!j"&amp;$G$1)</f>
        <v>0.08</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0.70399999999999996</v>
      </c>
    </row>
    <row r="80" spans="1:18">
      <c r="B80" s="386" t="s">
        <v>1511</v>
      </c>
      <c r="C80" s="318">
        <f ca="1">ROUND(C75/C39,3)</f>
        <v>0.29599999999999999</v>
      </c>
    </row>
    <row r="81" spans="2:3">
      <c r="B81" s="314" t="s">
        <v>1512</v>
      </c>
      <c r="C81" s="282"/>
    </row>
    <row r="82" spans="2:3">
      <c r="B82" s="317" t="s">
        <v>1513</v>
      </c>
      <c r="C82" s="319">
        <f ca="1">1-C83</f>
        <v>0.88100000000000001</v>
      </c>
    </row>
    <row r="83" spans="2:3">
      <c r="B83" s="317" t="s">
        <v>1514</v>
      </c>
      <c r="C83" s="318">
        <f ca="1">ROUND(C13/C40,3)</f>
        <v>0.11899999999999999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C38" sqref="C38"/>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42" t="s">
        <v>1403</v>
      </c>
      <c r="C6" s="1299">
        <f ca="1">ROUND(F6*F8*F7*(1-F9),0)</f>
        <v>0</v>
      </c>
      <c r="D6" s="164" t="s">
        <v>3034</v>
      </c>
      <c r="E6" s="347" t="s">
        <v>1405</v>
      </c>
      <c r="F6" s="348">
        <f ca="1">INDIRECT("'数据-取费表'!u"&amp;$G$1)</f>
        <v>0</v>
      </c>
      <c r="G6" s="1854"/>
      <c r="H6" s="1294" t="s">
        <v>1035</v>
      </c>
      <c r="I6" s="3142" t="s">
        <v>1403</v>
      </c>
      <c r="J6" s="346">
        <f ca="1">ROUND(M6*M8*M7*(1-M9),0)</f>
        <v>0</v>
      </c>
      <c r="K6" s="1837" t="s">
        <v>3035</v>
      </c>
      <c r="L6" s="347" t="s">
        <v>1405</v>
      </c>
      <c r="M6" s="348">
        <f ca="1">INDIRECT("'数据-取费表'!z"&amp;$G$1)</f>
        <v>0</v>
      </c>
    </row>
    <row r="7" spans="1:37" ht="18" customHeight="1">
      <c r="A7" s="1298"/>
      <c r="B7" s="3143"/>
      <c r="C7" s="1300"/>
      <c r="D7" s="352"/>
      <c r="E7" s="1301" t="s">
        <v>1406</v>
      </c>
      <c r="F7" s="348">
        <f ca="1">IF(INDIRECT("'数据-取费表'!ah"&amp;$G$1)="",INDIRECT("'数据-取费表'!k"&amp;$G$1),INDIRECT("'数据-取费表'!ah"&amp;$G$1))</f>
        <v>0</v>
      </c>
      <c r="G7" s="1854"/>
      <c r="H7" s="349"/>
      <c r="I7" s="3143"/>
      <c r="J7" s="351"/>
      <c r="K7" s="352"/>
      <c r="L7" s="347" t="s">
        <v>1406</v>
      </c>
      <c r="M7" s="348">
        <f ca="1">F7</f>
        <v>0</v>
      </c>
    </row>
    <row r="8" spans="1:37" ht="18" customHeight="1">
      <c r="A8" s="349"/>
      <c r="B8" s="3143"/>
      <c r="C8" s="351"/>
      <c r="D8" s="352"/>
      <c r="E8" s="347" t="s">
        <v>1407</v>
      </c>
      <c r="F8" s="348">
        <f ca="1">INDIRECT("'数据-取费表'!ai"&amp;$G$1)</f>
        <v>0</v>
      </c>
      <c r="G8" s="1854"/>
      <c r="H8" s="349"/>
      <c r="I8" s="3143"/>
      <c r="J8" s="351"/>
      <c r="K8" s="352"/>
      <c r="L8" s="347" t="s">
        <v>1407</v>
      </c>
      <c r="M8" s="348">
        <f ca="1">INDIRECT("'数据-取费表'!ai"&amp;$G$1)</f>
        <v>0</v>
      </c>
    </row>
    <row r="9" spans="1:37" ht="18" customHeight="1">
      <c r="A9" s="349"/>
      <c r="B9" s="3144"/>
      <c r="C9" s="351"/>
      <c r="D9" s="352"/>
      <c r="E9" s="347" t="s">
        <v>1408</v>
      </c>
      <c r="F9" s="357">
        <f ca="1">INDIRECT("'数据-取费表'!w"&amp;$G$1)</f>
        <v>0</v>
      </c>
      <c r="G9" s="1854"/>
      <c r="H9" s="349"/>
      <c r="I9" s="3144"/>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3045</v>
      </c>
      <c r="E10" s="358" t="s">
        <v>1410</v>
      </c>
      <c r="F10" s="1369"/>
      <c r="G10" s="1854"/>
      <c r="H10" s="1294" t="s">
        <v>1039</v>
      </c>
      <c r="I10" s="1826" t="s">
        <v>1409</v>
      </c>
      <c r="J10" s="346">
        <f ca="1">ROUND(IF(M10="押一",J6/12*M11,IF(M10="押二",J6/12*2*M11,IF(M10="押三",J6/12*3*M11,J11*M11))),0)</f>
        <v>0</v>
      </c>
      <c r="K10" s="1838" t="s">
        <v>3047</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3</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3048</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140" t="s">
        <v>1548</v>
      </c>
      <c r="L53" s="3141"/>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3</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2529</v>
      </c>
      <c r="B1" s="2569"/>
      <c r="C1" s="2569"/>
      <c r="D1" s="2569"/>
      <c r="E1" s="2570"/>
    </row>
    <row r="2" spans="1:6" ht="15.75">
      <c r="A2" s="2571" t="s">
        <v>2330</v>
      </c>
      <c r="B2" s="2572">
        <f ca="1">SUMIF(B6:B13,"&lt;&gt;#ref!",B6:B13)</f>
        <v>240481</v>
      </c>
      <c r="C2" s="2573" t="s">
        <v>2522</v>
      </c>
      <c r="D2" s="2574" t="s">
        <v>2523</v>
      </c>
      <c r="E2" s="2575">
        <f>SUM(E6:E13)</f>
        <v>57947.420000000006</v>
      </c>
    </row>
    <row r="3" spans="1:6" ht="15.75">
      <c r="A3" s="2571" t="s">
        <v>1395</v>
      </c>
      <c r="B3" s="2572">
        <f ca="1">ROUND(B2*10000/E2,0)</f>
        <v>41500</v>
      </c>
      <c r="C3" s="2573" t="s">
        <v>2530</v>
      </c>
      <c r="D3" s="2576"/>
      <c r="E3" s="2577"/>
    </row>
    <row r="4" spans="1:6" ht="15.75">
      <c r="A4" s="2578"/>
      <c r="B4" s="2576"/>
      <c r="C4" s="2576"/>
      <c r="D4" s="2576"/>
      <c r="E4" s="2577"/>
    </row>
    <row r="5" spans="1:6" ht="15">
      <c r="A5" s="2579" t="s">
        <v>2524</v>
      </c>
      <c r="B5" s="3145" t="s">
        <v>2525</v>
      </c>
      <c r="C5" s="3145"/>
      <c r="D5" s="2580"/>
      <c r="E5" s="2581" t="s">
        <v>2526</v>
      </c>
      <c r="F5" s="2582" t="s">
        <v>2527</v>
      </c>
    </row>
    <row r="6" spans="1:6">
      <c r="A6" s="2583" t="str">
        <f>'数据-取费表'!AN6</f>
        <v>收益法</v>
      </c>
      <c r="B6" s="2582">
        <f ca="1">IF(F6="是",'数据-取费表'!AO6,0)</f>
        <v>240481</v>
      </c>
      <c r="C6" s="2573" t="s">
        <v>2522</v>
      </c>
      <c r="D6" s="2576"/>
      <c r="E6" s="2584">
        <f>IF(OR(A6=0,F6="否"),0,'数据-取费表'!K6+'数据-取费表'!S6)</f>
        <v>57947.420000000006</v>
      </c>
      <c r="F6" s="2585" t="s">
        <v>2528</v>
      </c>
    </row>
    <row r="7" spans="1:6">
      <c r="A7" s="2583">
        <f>'数据-取费表'!AN7</f>
        <v>0</v>
      </c>
      <c r="B7" s="2582" t="e">
        <f ca="1">IF(F7="是",'数据-取费表'!AO7,0)</f>
        <v>#REF!</v>
      </c>
      <c r="C7" s="2573" t="s">
        <v>2522</v>
      </c>
      <c r="D7" s="2576"/>
      <c r="E7" s="2584">
        <f>IF(OR(A7=0,F7="否"),0,'数据-取费表'!K7+'数据-取费表'!S7)</f>
        <v>0</v>
      </c>
      <c r="F7" s="2585" t="s">
        <v>2528</v>
      </c>
    </row>
    <row r="8" spans="1:6">
      <c r="A8" s="2583">
        <f>'数据-取费表'!AN8</f>
        <v>0</v>
      </c>
      <c r="B8" s="2582" t="e">
        <f ca="1">IF(F8="是",'数据-取费表'!AO8,0)</f>
        <v>#REF!</v>
      </c>
      <c r="C8" s="2573" t="s">
        <v>2522</v>
      </c>
      <c r="D8" s="2576"/>
      <c r="E8" s="2584">
        <f>IF(OR(A8=0,F8="否"),0,'数据-取费表'!K8+'数据-取费表'!S8)</f>
        <v>0</v>
      </c>
      <c r="F8" s="2585" t="s">
        <v>2528</v>
      </c>
    </row>
    <row r="9" spans="1:6">
      <c r="A9" s="2583">
        <f>'数据-取费表'!AN9</f>
        <v>0</v>
      </c>
      <c r="B9" s="2582" t="e">
        <f ca="1">IF(F9="是",'数据-取费表'!AO9,0)</f>
        <v>#REF!</v>
      </c>
      <c r="C9" s="2573" t="s">
        <v>2522</v>
      </c>
      <c r="D9" s="2576"/>
      <c r="E9" s="2584">
        <f>IF(OR(A9=0,F9="否"),0,'数据-取费表'!K9+'数据-取费表'!S9)</f>
        <v>0</v>
      </c>
      <c r="F9" s="2585" t="s">
        <v>2528</v>
      </c>
    </row>
    <row r="10" spans="1:6">
      <c r="A10" s="2583">
        <f>'数据-取费表'!AN10</f>
        <v>0</v>
      </c>
      <c r="B10" s="2582" t="e">
        <f ca="1">IF(F10="是",'数据-取费表'!AO10,0)</f>
        <v>#REF!</v>
      </c>
      <c r="C10" s="2573" t="s">
        <v>2522</v>
      </c>
      <c r="D10" s="2576"/>
      <c r="E10" s="2584">
        <f>IF(OR(A10=0,F10="否"),0,'数据-取费表'!K10+'数据-取费表'!S10)</f>
        <v>0</v>
      </c>
      <c r="F10" s="2585" t="s">
        <v>2528</v>
      </c>
    </row>
    <row r="11" spans="1:6">
      <c r="A11" s="2583">
        <f>'数据-取费表'!AN11</f>
        <v>0</v>
      </c>
      <c r="B11" s="2582" t="e">
        <f ca="1">IF(F11="是",'数据-取费表'!AO11,0)</f>
        <v>#REF!</v>
      </c>
      <c r="C11" s="2573" t="s">
        <v>2522</v>
      </c>
      <c r="D11" s="2576"/>
      <c r="E11" s="2584">
        <f>IF(OR(A11=0,F11="否"),0,'数据-取费表'!K11+'数据-取费表'!S11)</f>
        <v>0</v>
      </c>
      <c r="F11" s="2585" t="s">
        <v>2528</v>
      </c>
    </row>
    <row r="12" spans="1:6">
      <c r="A12" s="2583">
        <f>'数据-取费表'!AN12</f>
        <v>0</v>
      </c>
      <c r="B12" s="2582" t="e">
        <f ca="1">IF(F12="是",'数据-取费表'!AO12,0)</f>
        <v>#REF!</v>
      </c>
      <c r="C12" s="2573" t="s">
        <v>2522</v>
      </c>
      <c r="D12" s="2576"/>
      <c r="E12" s="2584">
        <f>IF(OR(A12=0,F12="否"),0,'数据-取费表'!K12+'数据-取费表'!S12)</f>
        <v>0</v>
      </c>
      <c r="F12" s="2585" t="s">
        <v>2528</v>
      </c>
    </row>
    <row r="13" spans="1:6" ht="15" thickBot="1">
      <c r="A13" s="2586">
        <f>'数据-取费表'!AN13</f>
        <v>0</v>
      </c>
      <c r="B13" s="2582" t="e">
        <f ca="1">IF(F13="是",'数据-取费表'!AO13,0)</f>
        <v>#REF!</v>
      </c>
      <c r="C13" s="2587" t="s">
        <v>2522</v>
      </c>
      <c r="D13" s="2588"/>
      <c r="E13" s="2584">
        <f>IF(OR(A13=0,F13="否"),0,'数据-取费表'!K13+'数据-取费表'!S13)</f>
        <v>0</v>
      </c>
      <c r="F13" s="2585"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46" t="s">
        <v>1076</v>
      </c>
      <c r="B1" s="3147"/>
      <c r="C1" s="3148"/>
      <c r="D1" s="3149">
        <f>SUM(I10,I15,I20,I21,I23)</f>
        <v>0</v>
      </c>
      <c r="E1" s="3149"/>
      <c r="F1" s="3149"/>
      <c r="G1" s="3149"/>
      <c r="H1" s="3149"/>
      <c r="I1" s="3150"/>
    </row>
    <row r="2" spans="1:9">
      <c r="A2" s="3151" t="s">
        <v>1077</v>
      </c>
      <c r="B2" s="3152" t="s">
        <v>1078</v>
      </c>
      <c r="C2" s="3152"/>
      <c r="D2" s="1304" t="s">
        <v>1079</v>
      </c>
      <c r="E2" s="1304" t="s">
        <v>1080</v>
      </c>
      <c r="F2" s="1304" t="s">
        <v>1081</v>
      </c>
      <c r="G2" s="1304" t="s">
        <v>1082</v>
      </c>
      <c r="H2" s="1304" t="s">
        <v>1083</v>
      </c>
      <c r="I2" s="1305" t="s">
        <v>1084</v>
      </c>
    </row>
    <row r="3" spans="1:9">
      <c r="A3" s="3151"/>
      <c r="B3" s="3152" t="s">
        <v>1085</v>
      </c>
      <c r="C3" s="3152"/>
      <c r="D3" s="1306"/>
      <c r="E3" s="1304"/>
      <c r="F3" s="1307"/>
      <c r="G3" s="1307"/>
      <c r="H3" s="1308"/>
      <c r="I3" s="1309">
        <f>ROUND(D3*E3*F3*G3*H3/10000,0)</f>
        <v>0</v>
      </c>
    </row>
    <row r="4" spans="1:9">
      <c r="A4" s="3151"/>
      <c r="B4" s="3152" t="s">
        <v>1086</v>
      </c>
      <c r="C4" s="3152"/>
      <c r="D4" s="1306"/>
      <c r="E4" s="1304"/>
      <c r="F4" s="1307"/>
      <c r="G4" s="1307"/>
      <c r="H4" s="1308"/>
      <c r="I4" s="1309">
        <f t="shared" ref="I4:I9" si="0">ROUND(D4*E4*F4*G4*H4/10000,0)</f>
        <v>0</v>
      </c>
    </row>
    <row r="5" spans="1:9">
      <c r="A5" s="3151"/>
      <c r="B5" s="3152" t="s">
        <v>1087</v>
      </c>
      <c r="C5" s="3152"/>
      <c r="D5" s="1306"/>
      <c r="E5" s="1304"/>
      <c r="F5" s="1307"/>
      <c r="G5" s="1307"/>
      <c r="H5" s="1308"/>
      <c r="I5" s="1309">
        <f t="shared" si="0"/>
        <v>0</v>
      </c>
    </row>
    <row r="6" spans="1:9">
      <c r="A6" s="3151"/>
      <c r="B6" s="3152" t="s">
        <v>1088</v>
      </c>
      <c r="C6" s="3152"/>
      <c r="D6" s="1306"/>
      <c r="E6" s="1304"/>
      <c r="F6" s="1307"/>
      <c r="G6" s="1307"/>
      <c r="H6" s="1308"/>
      <c r="I6" s="1309">
        <f t="shared" si="0"/>
        <v>0</v>
      </c>
    </row>
    <row r="7" spans="1:9">
      <c r="A7" s="3151"/>
      <c r="B7" s="3152" t="s">
        <v>1089</v>
      </c>
      <c r="C7" s="3152"/>
      <c r="D7" s="1306"/>
      <c r="E7" s="1304"/>
      <c r="F7" s="1307"/>
      <c r="G7" s="1307"/>
      <c r="H7" s="1308"/>
      <c r="I7" s="1309">
        <f t="shared" si="0"/>
        <v>0</v>
      </c>
    </row>
    <row r="8" spans="1:9">
      <c r="A8" s="3151"/>
      <c r="B8" s="3152" t="s">
        <v>1090</v>
      </c>
      <c r="C8" s="3152"/>
      <c r="D8" s="1306"/>
      <c r="E8" s="1304"/>
      <c r="F8" s="1307"/>
      <c r="G8" s="1307"/>
      <c r="H8" s="1308"/>
      <c r="I8" s="1309">
        <f t="shared" si="0"/>
        <v>0</v>
      </c>
    </row>
    <row r="9" spans="1:9">
      <c r="A9" s="3151"/>
      <c r="B9" s="3152" t="s">
        <v>1091</v>
      </c>
      <c r="C9" s="3152"/>
      <c r="D9" s="1306"/>
      <c r="E9" s="1304"/>
      <c r="F9" s="1307"/>
      <c r="G9" s="1307"/>
      <c r="H9" s="1308"/>
      <c r="I9" s="1309">
        <f t="shared" si="0"/>
        <v>0</v>
      </c>
    </row>
    <row r="10" spans="1:9">
      <c r="A10" s="3151"/>
      <c r="B10" s="3153" t="s">
        <v>1092</v>
      </c>
      <c r="C10" s="3153"/>
      <c r="D10" s="1310"/>
      <c r="E10" s="1310" t="e">
        <f>ROUND(D1*10000/D10/H9,0)</f>
        <v>#DIV/0!</v>
      </c>
      <c r="F10" s="1311"/>
      <c r="G10" s="1311"/>
      <c r="H10" s="1312"/>
      <c r="I10" s="1313">
        <f>SUM(I3:I9)</f>
        <v>0</v>
      </c>
    </row>
    <row r="11" spans="1:9" ht="14.25">
      <c r="A11" s="3151" t="s">
        <v>1093</v>
      </c>
      <c r="B11" s="3152" t="s">
        <v>1094</v>
      </c>
      <c r="C11" s="3152"/>
      <c r="D11" s="1306" t="s">
        <v>1095</v>
      </c>
      <c r="E11" s="1306" t="s">
        <v>1096</v>
      </c>
      <c r="F11" s="1307" t="s">
        <v>1097</v>
      </c>
      <c r="G11" s="1307" t="s">
        <v>1083</v>
      </c>
      <c r="H11" s="1314" t="s">
        <v>1098</v>
      </c>
      <c r="I11" s="1305" t="s">
        <v>1084</v>
      </c>
    </row>
    <row r="12" spans="1:9">
      <c r="A12" s="3151"/>
      <c r="B12" s="3152" t="s">
        <v>1099</v>
      </c>
      <c r="C12" s="3152"/>
      <c r="D12" s="1306"/>
      <c r="E12" s="1306"/>
      <c r="F12" s="1307"/>
      <c r="G12" s="1308"/>
      <c r="H12" s="1315"/>
      <c r="I12" s="1305">
        <f>ROUND(D12*E12*F12*G12/10000,0)</f>
        <v>0</v>
      </c>
    </row>
    <row r="13" spans="1:9">
      <c r="A13" s="3151"/>
      <c r="B13" s="3152" t="s">
        <v>1100</v>
      </c>
      <c r="C13" s="3152"/>
      <c r="D13" s="1306"/>
      <c r="E13" s="1306"/>
      <c r="F13" s="1307"/>
      <c r="G13" s="1308"/>
      <c r="H13" s="1315"/>
      <c r="I13" s="1305">
        <f>ROUND(D13*E13*F13*G13/10000,0)</f>
        <v>0</v>
      </c>
    </row>
    <row r="14" spans="1:9">
      <c r="A14" s="3151"/>
      <c r="B14" s="3152" t="s">
        <v>1101</v>
      </c>
      <c r="C14" s="3152"/>
      <c r="D14" s="1306"/>
      <c r="E14" s="1306"/>
      <c r="F14" s="1307"/>
      <c r="G14" s="1308"/>
      <c r="H14" s="1315"/>
      <c r="I14" s="1305">
        <f>ROUND(D14*E14*F14*G14/10000,0)</f>
        <v>0</v>
      </c>
    </row>
    <row r="15" spans="1:9">
      <c r="A15" s="3151"/>
      <c r="B15" s="3153" t="s">
        <v>1092</v>
      </c>
      <c r="C15" s="3153"/>
      <c r="D15" s="1310"/>
      <c r="E15" s="1310">
        <f>SUM(E12:E14)</f>
        <v>0</v>
      </c>
      <c r="F15" s="1311"/>
      <c r="G15" s="1308"/>
      <c r="H15" s="1315"/>
      <c r="I15" s="1316">
        <f>SUM(I12:I14)</f>
        <v>0</v>
      </c>
    </row>
    <row r="16" spans="1:9" ht="24">
      <c r="A16" s="3151" t="s">
        <v>1102</v>
      </c>
      <c r="B16" s="3152" t="s">
        <v>1103</v>
      </c>
      <c r="C16" s="3152"/>
      <c r="D16" s="1306" t="s">
        <v>1079</v>
      </c>
      <c r="E16" s="1317" t="s">
        <v>1104</v>
      </c>
      <c r="F16" s="1307" t="s">
        <v>1105</v>
      </c>
      <c r="G16" s="1308" t="s">
        <v>1083</v>
      </c>
      <c r="H16" s="1314" t="s">
        <v>1098</v>
      </c>
      <c r="I16" s="1305" t="s">
        <v>1084</v>
      </c>
    </row>
    <row r="17" spans="1:9" ht="14.25">
      <c r="A17" s="3151"/>
      <c r="B17" s="3152" t="s">
        <v>1106</v>
      </c>
      <c r="C17" s="3152"/>
      <c r="D17" s="1306"/>
      <c r="E17" s="1306"/>
      <c r="F17" s="1307"/>
      <c r="G17" s="1308"/>
      <c r="H17" s="1318"/>
      <c r="I17" s="1319">
        <f>ROUND(D17*E17*F17*G17/10000,0)</f>
        <v>0</v>
      </c>
    </row>
    <row r="18" spans="1:9" ht="14.25">
      <c r="A18" s="3151"/>
      <c r="B18" s="3152" t="s">
        <v>1107</v>
      </c>
      <c r="C18" s="3152"/>
      <c r="D18" s="1306"/>
      <c r="E18" s="1306"/>
      <c r="F18" s="1307"/>
      <c r="G18" s="1308"/>
      <c r="H18" s="1318"/>
      <c r="I18" s="1319">
        <f>ROUND(D18*E18*F18*G18/10000,0)</f>
        <v>0</v>
      </c>
    </row>
    <row r="19" spans="1:9" ht="14.25">
      <c r="A19" s="3151"/>
      <c r="B19" s="3152" t="s">
        <v>1108</v>
      </c>
      <c r="C19" s="3152"/>
      <c r="D19" s="1306"/>
      <c r="E19" s="1306"/>
      <c r="F19" s="1307"/>
      <c r="G19" s="1308"/>
      <c r="H19" s="1318"/>
      <c r="I19" s="1319">
        <f>ROUND(D19*E19*F19*G19/10000,0)</f>
        <v>0</v>
      </c>
    </row>
    <row r="20" spans="1:9">
      <c r="A20" s="3151"/>
      <c r="B20" s="3153" t="s">
        <v>1092</v>
      </c>
      <c r="C20" s="3153"/>
      <c r="D20" s="1310">
        <f>SUM(D17:D19)</f>
        <v>0</v>
      </c>
      <c r="E20" s="1310"/>
      <c r="F20" s="1311"/>
      <c r="G20" s="1308"/>
      <c r="H20" s="1315"/>
      <c r="I20" s="1316">
        <f>SUM(I17:I19)</f>
        <v>0</v>
      </c>
    </row>
    <row r="21" spans="1:9">
      <c r="A21" s="3151" t="s">
        <v>1109</v>
      </c>
      <c r="B21" s="3155"/>
      <c r="C21" s="3155"/>
      <c r="D21" s="3155"/>
      <c r="E21" s="3155"/>
      <c r="F21" s="3155"/>
      <c r="G21" s="3155"/>
      <c r="H21" s="1768">
        <v>0.1</v>
      </c>
      <c r="I21" s="1313">
        <f>ROUND(I10*H21,0)</f>
        <v>0</v>
      </c>
    </row>
    <row r="22" spans="1:9" ht="14.25">
      <c r="A22" s="3156" t="s">
        <v>1110</v>
      </c>
      <c r="B22" s="3157"/>
      <c r="C22" s="3158"/>
      <c r="D22" s="1320" t="s">
        <v>1111</v>
      </c>
      <c r="E22" s="1320" t="s">
        <v>1112</v>
      </c>
      <c r="F22" s="1321" t="s">
        <v>1113</v>
      </c>
      <c r="G22" s="1321" t="s">
        <v>1114</v>
      </c>
      <c r="H22" s="1314" t="s">
        <v>1115</v>
      </c>
      <c r="I22" s="1305" t="s">
        <v>1116</v>
      </c>
    </row>
    <row r="23" spans="1:9" ht="14.25" thickBot="1">
      <c r="A23" s="3159"/>
      <c r="B23" s="3160"/>
      <c r="C23" s="3161"/>
      <c r="D23" s="1322"/>
      <c r="E23" s="1322"/>
      <c r="F23" s="1322"/>
      <c r="G23" s="1323"/>
      <c r="H23" s="1324"/>
      <c r="I23" s="1325">
        <f>ROUND(E23*D23*F23*(1-G23)/10000,0)</f>
        <v>0</v>
      </c>
    </row>
    <row r="26" spans="1:9">
      <c r="A26" s="1326" t="s">
        <v>1117</v>
      </c>
      <c r="B26" s="1326"/>
      <c r="C26" s="1326"/>
      <c r="D26" s="1326"/>
      <c r="E26" s="3162">
        <f>C27-C30-C31-C32</f>
        <v>0</v>
      </c>
      <c r="F26" s="3162"/>
      <c r="G26" s="3162"/>
      <c r="H26" s="1740" t="s">
        <v>1340</v>
      </c>
    </row>
    <row r="27" spans="1:9">
      <c r="A27" s="1327">
        <v>1</v>
      </c>
      <c r="B27" s="1328" t="s">
        <v>1118</v>
      </c>
      <c r="C27" s="1328">
        <f>C28+C29</f>
        <v>0</v>
      </c>
      <c r="D27" s="1328"/>
      <c r="E27" s="3163"/>
      <c r="F27" s="3163"/>
      <c r="G27" s="3163"/>
    </row>
    <row r="28" spans="1:9">
      <c r="A28" s="1329" t="s">
        <v>1119</v>
      </c>
      <c r="B28" s="1328" t="s">
        <v>1120</v>
      </c>
      <c r="C28" s="1328"/>
      <c r="D28" s="1328"/>
      <c r="E28" s="3163"/>
      <c r="F28" s="3163"/>
      <c r="G28" s="3163"/>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54"/>
      <c r="F32" s="3154"/>
      <c r="G32" s="3154"/>
    </row>
    <row r="33" spans="1:7" hidden="1">
      <c r="A33" s="3164" t="s">
        <v>1129</v>
      </c>
      <c r="B33" s="3165"/>
      <c r="C33" s="3165"/>
      <c r="D33" s="3166"/>
      <c r="E33" s="3162"/>
      <c r="F33" s="3162"/>
      <c r="G33" s="3162"/>
    </row>
    <row r="34" spans="1:7" hidden="1">
      <c r="A34" s="1331">
        <v>1</v>
      </c>
      <c r="B34" s="1328" t="s">
        <v>1130</v>
      </c>
      <c r="C34" s="1328"/>
      <c r="D34" s="1328"/>
      <c r="E34" s="3163"/>
      <c r="F34" s="3163"/>
      <c r="G34" s="3163"/>
    </row>
    <row r="35" spans="1:7" hidden="1">
      <c r="A35" s="1331">
        <v>2</v>
      </c>
      <c r="B35" s="1328" t="s">
        <v>1131</v>
      </c>
      <c r="C35" s="1328"/>
      <c r="D35" s="1328"/>
      <c r="E35" s="3163"/>
      <c r="F35" s="3163"/>
      <c r="G35" s="3163"/>
    </row>
    <row r="36" spans="1:7" hidden="1">
      <c r="A36" s="1331">
        <v>3</v>
      </c>
      <c r="B36" s="1328" t="s">
        <v>1132</v>
      </c>
      <c r="C36" s="1328"/>
      <c r="D36" s="1328"/>
      <c r="E36" s="3163"/>
      <c r="F36" s="3163"/>
      <c r="G36" s="3163"/>
    </row>
    <row r="37" spans="1:7" hidden="1">
      <c r="A37" s="1331">
        <v>4</v>
      </c>
      <c r="B37" s="1328" t="s">
        <v>1133</v>
      </c>
      <c r="C37" s="1328"/>
      <c r="D37" s="1328"/>
      <c r="E37" s="3163"/>
      <c r="F37" s="3163"/>
      <c r="G37" s="3163"/>
    </row>
    <row r="38" spans="1:7" hidden="1">
      <c r="A38" s="3164" t="s">
        <v>1134</v>
      </c>
      <c r="B38" s="3165"/>
      <c r="C38" s="3165"/>
      <c r="D38" s="3166"/>
      <c r="E38" s="3162"/>
      <c r="F38" s="3162"/>
      <c r="G38" s="316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2531</v>
      </c>
      <c r="B1" s="2589" t="s">
        <v>2532</v>
      </c>
      <c r="C1" s="1637" t="s">
        <v>2533</v>
      </c>
      <c r="D1" s="1624"/>
      <c r="E1" s="2590"/>
      <c r="F1" s="2591" t="s">
        <v>2534</v>
      </c>
      <c r="G1" s="1634" t="s">
        <v>2535</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3"/>
      <c r="D2" s="1368" t="e">
        <f ca="1">SUMIF(INDIRECT("'"&amp;F2&amp;"'"&amp;"!A:A"),"承租人权益价值",INDIRECT("'"&amp;F2&amp;"'"&amp;"!c:c"))</f>
        <v>#REF!</v>
      </c>
      <c r="E2" s="2594" t="s">
        <v>2536</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1395</v>
      </c>
      <c r="B3" s="399" t="e">
        <f ca="1">IF(C2="——",C49,ROUND(B2*10000/D3,0))</f>
        <v>#DIV/0!</v>
      </c>
      <c r="C3" s="400" t="s">
        <v>2537</v>
      </c>
      <c r="D3" s="399">
        <f>IF(D1="",'数据-汇总表'!E3,SUMIF('数据-汇总表'!$C19:$C33,D1,'数据-汇总表'!$E19:$E33))</f>
        <v>57947.42</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2538</v>
      </c>
      <c r="B4" s="402"/>
      <c r="C4" s="3185" t="s">
        <v>2539</v>
      </c>
      <c r="D4" s="3186"/>
      <c r="E4" s="3187" t="s">
        <v>2540</v>
      </c>
      <c r="F4" s="3188"/>
      <c r="G4" s="3185" t="s">
        <v>2541</v>
      </c>
      <c r="H4" s="3186"/>
      <c r="I4" s="3185" t="s">
        <v>2542</v>
      </c>
      <c r="J4" s="3186"/>
      <c r="K4" s="2603" t="s">
        <v>2543</v>
      </c>
      <c r="L4" s="1133"/>
      <c r="M4" s="1134"/>
      <c r="N4" s="1134"/>
      <c r="O4" s="1134"/>
      <c r="P4" s="3189" t="s">
        <v>2544</v>
      </c>
      <c r="Q4" s="3190"/>
      <c r="R4" s="3172" t="s">
        <v>2540</v>
      </c>
      <c r="S4" s="3173"/>
      <c r="T4" s="3172" t="s">
        <v>2541</v>
      </c>
      <c r="U4" s="3173"/>
      <c r="V4" s="3197" t="s">
        <v>2542</v>
      </c>
      <c r="W4" s="3197"/>
      <c r="X4" s="1816"/>
      <c r="Y4" s="3172" t="s">
        <v>2544</v>
      </c>
      <c r="Z4" s="3173"/>
      <c r="AA4" s="3167" t="s">
        <v>2540</v>
      </c>
      <c r="AB4" s="3167" t="s">
        <v>2541</v>
      </c>
      <c r="AC4" s="3167" t="s">
        <v>2542</v>
      </c>
    </row>
    <row r="5" spans="1:29" ht="15">
      <c r="A5" s="404"/>
      <c r="B5" s="405"/>
      <c r="C5" s="3178" t="s">
        <v>2545</v>
      </c>
      <c r="D5" s="3179"/>
      <c r="E5" s="3176" t="s">
        <v>2546</v>
      </c>
      <c r="F5" s="3177"/>
      <c r="G5" s="3178" t="s">
        <v>2547</v>
      </c>
      <c r="H5" s="3179"/>
      <c r="I5" s="3178" t="s">
        <v>2548</v>
      </c>
      <c r="J5" s="3179"/>
      <c r="K5" s="2604"/>
      <c r="L5" s="1133"/>
      <c r="M5" s="1134"/>
      <c r="N5" s="1134"/>
      <c r="O5" s="1134"/>
      <c r="P5" s="3191"/>
      <c r="Q5" s="3192"/>
      <c r="R5" s="3174"/>
      <c r="S5" s="3175"/>
      <c r="T5" s="3174"/>
      <c r="U5" s="3175"/>
      <c r="V5" s="3197"/>
      <c r="W5" s="3197"/>
      <c r="X5" s="1816"/>
      <c r="Y5" s="3174"/>
      <c r="Z5" s="3175"/>
      <c r="AA5" s="3168"/>
      <c r="AB5" s="3168"/>
      <c r="AC5" s="3168"/>
    </row>
    <row r="6" spans="1:29" ht="15.75" thickBot="1">
      <c r="A6" s="406"/>
      <c r="B6" s="407"/>
      <c r="C6" s="3180" t="s">
        <v>2549</v>
      </c>
      <c r="D6" s="3181"/>
      <c r="E6" s="3182" t="s">
        <v>2549</v>
      </c>
      <c r="F6" s="3183"/>
      <c r="G6" s="3180" t="s">
        <v>2549</v>
      </c>
      <c r="H6" s="3181"/>
      <c r="I6" s="3180" t="s">
        <v>2549</v>
      </c>
      <c r="J6" s="3181"/>
      <c r="K6" s="2604" t="s">
        <v>2550</v>
      </c>
      <c r="L6" s="1133"/>
      <c r="M6" s="1134"/>
      <c r="N6" s="1134"/>
      <c r="O6" s="1134"/>
      <c r="P6" s="3193"/>
      <c r="Q6" s="3194"/>
      <c r="R6" s="3174"/>
      <c r="S6" s="3175"/>
      <c r="T6" s="3195"/>
      <c r="U6" s="3196"/>
      <c r="V6" s="3197"/>
      <c r="W6" s="3197"/>
      <c r="X6" s="1816"/>
      <c r="Y6" s="3195"/>
      <c r="Z6" s="3196"/>
      <c r="AA6" s="3169"/>
      <c r="AB6" s="3169"/>
      <c r="AC6" s="3169"/>
    </row>
    <row r="7" spans="1:29" s="117" customFormat="1" ht="15.75" thickBot="1">
      <c r="A7" s="408" t="s">
        <v>2551</v>
      </c>
      <c r="B7" s="409"/>
      <c r="C7" s="410">
        <f>'数据-取费表'!B2</f>
        <v>43423</v>
      </c>
      <c r="D7" s="411">
        <v>100</v>
      </c>
      <c r="E7" s="412"/>
      <c r="F7" s="413">
        <f>SUMIF(58:58,YEAR(E7)&amp;"-"&amp;MONTH(E7),59:59)</f>
        <v>0</v>
      </c>
      <c r="G7" s="412"/>
      <c r="H7" s="411">
        <f>SUMIF(58:58,YEAR(G7)&amp;"-"&amp;MONTH(G7),59:59)</f>
        <v>0</v>
      </c>
      <c r="I7" s="412"/>
      <c r="J7" s="411">
        <f>SUMIF(58:58,YEAR(I7)&amp;"-"&amp;MONTH(I7),59:59)</f>
        <v>0</v>
      </c>
      <c r="K7" s="2605"/>
      <c r="L7" s="1135"/>
      <c r="M7" s="1136"/>
      <c r="N7" s="1136"/>
      <c r="O7" s="1136"/>
      <c r="P7" s="3170" t="s">
        <v>2552</v>
      </c>
      <c r="Q7" s="3198"/>
      <c r="R7" s="770" t="s">
        <v>23</v>
      </c>
      <c r="S7" s="771">
        <f t="shared" ref="S7:S15" si="0">F7</f>
        <v>0</v>
      </c>
      <c r="T7" s="770" t="s">
        <v>23</v>
      </c>
      <c r="U7" s="771">
        <f t="shared" ref="U7:U15" si="1">H7</f>
        <v>0</v>
      </c>
      <c r="V7" s="770" t="s">
        <v>23</v>
      </c>
      <c r="W7" s="771">
        <f t="shared" ref="W7:W15" si="2">J7</f>
        <v>0</v>
      </c>
      <c r="X7" s="772"/>
      <c r="Y7" s="3170" t="s">
        <v>2552</v>
      </c>
      <c r="Z7" s="3171"/>
      <c r="AA7" s="773" t="e">
        <f>D7/F7</f>
        <v>#DIV/0!</v>
      </c>
      <c r="AB7" s="773" t="e">
        <f>D7/H7</f>
        <v>#DIV/0!</v>
      </c>
      <c r="AC7" s="773" t="e">
        <f>D7/J7</f>
        <v>#DIV/0!</v>
      </c>
    </row>
    <row r="8" spans="1:29" s="117" customFormat="1" ht="15.75" thickBot="1">
      <c r="A8" s="408" t="s">
        <v>2553</v>
      </c>
      <c r="B8" s="409"/>
      <c r="C8" s="414" t="s">
        <v>2554</v>
      </c>
      <c r="D8" s="411">
        <v>100</v>
      </c>
      <c r="E8" s="2606"/>
      <c r="F8" s="413">
        <f>SUMIF(61:61,E8,62:62)-SUMIF(61:61,C8,62:62)+100</f>
        <v>0</v>
      </c>
      <c r="G8" s="414"/>
      <c r="H8" s="411">
        <f>SUMIF(61:61,G8,62:62)-SUMIF(61:61,C8,62:62)+100</f>
        <v>0</v>
      </c>
      <c r="I8" s="2606"/>
      <c r="J8" s="411">
        <f>SUMIF(61:61,I8,62:62)-SUMIF(61:61,C8,62:62)+100</f>
        <v>0</v>
      </c>
      <c r="K8" s="2605"/>
      <c r="L8" s="1135"/>
      <c r="M8" s="1136"/>
      <c r="N8" s="1136"/>
      <c r="O8" s="1136"/>
      <c r="P8" s="3170" t="s">
        <v>2555</v>
      </c>
      <c r="Q8" s="3171"/>
      <c r="R8" s="770" t="s">
        <v>23</v>
      </c>
      <c r="S8" s="771">
        <f t="shared" si="0"/>
        <v>0</v>
      </c>
      <c r="T8" s="770" t="s">
        <v>23</v>
      </c>
      <c r="U8" s="771">
        <f t="shared" si="1"/>
        <v>0</v>
      </c>
      <c r="V8" s="770" t="s">
        <v>23</v>
      </c>
      <c r="W8" s="771">
        <f t="shared" si="2"/>
        <v>0</v>
      </c>
      <c r="X8" s="772"/>
      <c r="Y8" s="3170" t="s">
        <v>2555</v>
      </c>
      <c r="Z8" s="3171"/>
      <c r="AA8" s="773" t="e">
        <f t="shared" ref="AA8:AA19" si="3">D8/F8</f>
        <v>#DIV/0!</v>
      </c>
      <c r="AB8" s="773" t="e">
        <f t="shared" ref="AB8:AB19" si="4">D8/H8</f>
        <v>#DIV/0!</v>
      </c>
      <c r="AC8" s="773" t="e">
        <f t="shared" ref="AC8:AC19" si="5">D8/J8</f>
        <v>#DIV/0!</v>
      </c>
    </row>
    <row r="9" spans="1:29" s="117" customFormat="1">
      <c r="A9" s="415" t="s">
        <v>2556</v>
      </c>
      <c r="B9" s="71" t="s">
        <v>2557</v>
      </c>
      <c r="C9" s="416"/>
      <c r="D9" s="135">
        <v>100</v>
      </c>
      <c r="E9" s="417"/>
      <c r="F9" s="418">
        <f>SUMIF(63:63,E9,64:64)-SUMIF(63:63,C9,64:64)+100</f>
        <v>100</v>
      </c>
      <c r="G9" s="419"/>
      <c r="H9" s="135">
        <f>SUMIF(63:63,G9,64:64)-SUMIF(63:63,C9,64:64)+100</f>
        <v>100</v>
      </c>
      <c r="I9" s="419"/>
      <c r="J9" s="135">
        <f>SUMIF(63:63,I9,64:64)-SUMIF(63:63,C9,64:64)+100</f>
        <v>100</v>
      </c>
      <c r="K9" s="2605"/>
      <c r="L9" s="1135"/>
      <c r="M9" s="1136"/>
      <c r="N9" s="1136"/>
      <c r="O9" s="1136"/>
      <c r="P9" s="3184"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17"/>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84"/>
      <c r="Q11" s="1798" t="str">
        <f t="shared" si="6"/>
        <v>容积率</v>
      </c>
      <c r="R11" s="770" t="s">
        <v>21</v>
      </c>
      <c r="S11" s="771" t="e">
        <f t="shared" si="0"/>
        <v>#N/A</v>
      </c>
      <c r="T11" s="770" t="s">
        <v>21</v>
      </c>
      <c r="U11" s="771" t="e">
        <f t="shared" si="1"/>
        <v>#N/A</v>
      </c>
      <c r="V11" s="770" t="s">
        <v>21</v>
      </c>
      <c r="W11" s="771" t="e">
        <f t="shared" si="2"/>
        <v>#N/A</v>
      </c>
      <c r="X11" s="772"/>
      <c r="Y11" s="3017"/>
      <c r="Z11" s="55" t="str">
        <f t="shared" si="7"/>
        <v>容积率</v>
      </c>
      <c r="AA11" s="773" t="e">
        <f t="shared" si="3"/>
        <v>#N/A</v>
      </c>
      <c r="AB11" s="773" t="e">
        <f t="shared" si="4"/>
        <v>#N/A</v>
      </c>
      <c r="AC11" s="773" t="e">
        <f t="shared" si="5"/>
        <v>#N/A</v>
      </c>
    </row>
    <row r="12" spans="1:29" s="117" customFormat="1" ht="15">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184"/>
      <c r="Q12" s="1798">
        <f t="shared" si="6"/>
        <v>111</v>
      </c>
      <c r="R12" s="770" t="s">
        <v>21</v>
      </c>
      <c r="S12" s="771">
        <f t="shared" si="0"/>
        <v>100</v>
      </c>
      <c r="T12" s="770" t="s">
        <v>21</v>
      </c>
      <c r="U12" s="771">
        <f t="shared" si="1"/>
        <v>100</v>
      </c>
      <c r="V12" s="770" t="s">
        <v>21</v>
      </c>
      <c r="W12" s="771">
        <f t="shared" si="2"/>
        <v>100</v>
      </c>
      <c r="X12" s="772"/>
      <c r="Y12" s="3017"/>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184"/>
      <c r="Q13" s="1798">
        <f t="shared" si="6"/>
        <v>111</v>
      </c>
      <c r="R13" s="770" t="s">
        <v>21</v>
      </c>
      <c r="S13" s="771">
        <f t="shared" si="0"/>
        <v>100</v>
      </c>
      <c r="T13" s="770" t="s">
        <v>21</v>
      </c>
      <c r="U13" s="771">
        <f t="shared" si="1"/>
        <v>100</v>
      </c>
      <c r="V13" s="770" t="s">
        <v>21</v>
      </c>
      <c r="W13" s="771">
        <f t="shared" si="2"/>
        <v>100</v>
      </c>
      <c r="X13" s="772"/>
      <c r="Y13" s="3017"/>
      <c r="Z13" s="55">
        <f t="shared" si="7"/>
        <v>111</v>
      </c>
      <c r="AA13" s="773">
        <f t="shared" si="3"/>
        <v>1</v>
      </c>
      <c r="AB13" s="773">
        <f t="shared" si="4"/>
        <v>1</v>
      </c>
      <c r="AC13" s="773">
        <f t="shared" si="5"/>
        <v>1</v>
      </c>
    </row>
    <row r="14" spans="1:29" ht="15.75"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184"/>
      <c r="Q14" s="1798">
        <f t="shared" si="6"/>
        <v>111</v>
      </c>
      <c r="R14" s="770" t="s">
        <v>21</v>
      </c>
      <c r="S14" s="771">
        <f t="shared" si="0"/>
        <v>100</v>
      </c>
      <c r="T14" s="770" t="s">
        <v>21</v>
      </c>
      <c r="U14" s="771">
        <f t="shared" si="1"/>
        <v>100</v>
      </c>
      <c r="V14" s="770" t="s">
        <v>21</v>
      </c>
      <c r="W14" s="771">
        <f t="shared" si="2"/>
        <v>100</v>
      </c>
      <c r="X14" s="772"/>
      <c r="Y14" s="3017"/>
      <c r="Z14" s="55">
        <f t="shared" si="7"/>
        <v>111</v>
      </c>
      <c r="AA14" s="773">
        <f t="shared" si="3"/>
        <v>1</v>
      </c>
      <c r="AB14" s="773">
        <f t="shared" si="4"/>
        <v>1</v>
      </c>
      <c r="AC14" s="773">
        <f t="shared" si="5"/>
        <v>1</v>
      </c>
    </row>
    <row r="15" spans="1:29" ht="99.75">
      <c r="A15" s="440" t="s">
        <v>2562</v>
      </c>
      <c r="B15" s="69" t="s">
        <v>2087</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11" t="s">
        <v>2563</v>
      </c>
      <c r="Q15" s="1813" t="str">
        <f t="shared" si="6"/>
        <v>居住社区成熟度</v>
      </c>
      <c r="R15" s="774" t="s">
        <v>21</v>
      </c>
      <c r="S15" s="775">
        <f t="shared" si="0"/>
        <v>100</v>
      </c>
      <c r="T15" s="774" t="s">
        <v>21</v>
      </c>
      <c r="U15" s="775">
        <f t="shared" si="1"/>
        <v>100</v>
      </c>
      <c r="V15" s="774" t="s">
        <v>21</v>
      </c>
      <c r="W15" s="775">
        <f t="shared" si="2"/>
        <v>100</v>
      </c>
      <c r="X15" s="1816"/>
      <c r="Y15" s="3204" t="s">
        <v>2563</v>
      </c>
      <c r="Z15" s="1817" t="str">
        <f t="shared" si="7"/>
        <v>居住社区成熟度</v>
      </c>
      <c r="AA15" s="1814">
        <f t="shared" si="3"/>
        <v>1</v>
      </c>
      <c r="AB15" s="1814">
        <f t="shared" si="4"/>
        <v>1</v>
      </c>
      <c r="AC15" s="1814">
        <f t="shared" si="5"/>
        <v>1</v>
      </c>
    </row>
    <row r="16" spans="1:29" ht="15">
      <c r="A16" s="428"/>
      <c r="B16" s="446"/>
      <c r="C16" s="447"/>
      <c r="D16" s="448"/>
      <c r="E16" s="2611"/>
      <c r="F16" s="448"/>
      <c r="G16" s="2612"/>
      <c r="H16" s="450"/>
      <c r="I16" s="2612"/>
      <c r="J16" s="448"/>
      <c r="K16" s="2613"/>
      <c r="L16" s="1143"/>
      <c r="M16" s="1134"/>
      <c r="N16" s="1134"/>
      <c r="O16" s="1134"/>
      <c r="P16" s="3212"/>
      <c r="Q16" s="1813"/>
      <c r="R16" s="774"/>
      <c r="S16" s="775"/>
      <c r="T16" s="774"/>
      <c r="U16" s="775"/>
      <c r="V16" s="774"/>
      <c r="W16" s="775"/>
      <c r="X16" s="1816"/>
      <c r="Y16" s="3205"/>
      <c r="Z16" s="1817"/>
      <c r="AA16" s="1814">
        <v>1</v>
      </c>
      <c r="AB16" s="1814">
        <v>1</v>
      </c>
      <c r="AC16" s="1814">
        <v>1</v>
      </c>
    </row>
    <row r="17" spans="1:29" ht="85.5">
      <c r="A17" s="428"/>
      <c r="B17" s="451" t="s">
        <v>2099</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12"/>
      <c r="Q17" s="1813" t="str">
        <f>B17</f>
        <v>交通便捷度</v>
      </c>
      <c r="R17" s="774" t="s">
        <v>21</v>
      </c>
      <c r="S17" s="775">
        <f>F17</f>
        <v>100</v>
      </c>
      <c r="T17" s="774" t="s">
        <v>21</v>
      </c>
      <c r="U17" s="775">
        <f>H17</f>
        <v>100</v>
      </c>
      <c r="V17" s="774" t="s">
        <v>21</v>
      </c>
      <c r="W17" s="775">
        <f>J17</f>
        <v>100</v>
      </c>
      <c r="X17" s="1816"/>
      <c r="Y17" s="3205"/>
      <c r="Z17" s="1817" t="str">
        <f>Q17</f>
        <v>交通便捷度</v>
      </c>
      <c r="AA17" s="1814">
        <f t="shared" si="3"/>
        <v>1</v>
      </c>
      <c r="AB17" s="1814">
        <f t="shared" si="4"/>
        <v>1</v>
      </c>
      <c r="AC17" s="1814">
        <f t="shared" si="5"/>
        <v>1</v>
      </c>
    </row>
    <row r="18" spans="1:29" ht="15">
      <c r="A18" s="428"/>
      <c r="B18" s="456"/>
      <c r="C18" s="2615"/>
      <c r="D18" s="450"/>
      <c r="E18" s="2616"/>
      <c r="F18" s="450"/>
      <c r="G18" s="2617"/>
      <c r="H18" s="448"/>
      <c r="I18" s="2617"/>
      <c r="J18" s="448"/>
      <c r="K18" s="2613"/>
      <c r="L18" s="1143"/>
      <c r="M18" s="1134"/>
      <c r="N18" s="1134"/>
      <c r="O18" s="1134"/>
      <c r="P18" s="3212"/>
      <c r="Q18" s="1813"/>
      <c r="R18" s="774"/>
      <c r="S18" s="775"/>
      <c r="T18" s="774"/>
      <c r="U18" s="775"/>
      <c r="V18" s="774"/>
      <c r="W18" s="775"/>
      <c r="X18" s="1816"/>
      <c r="Y18" s="3205"/>
      <c r="Z18" s="1817"/>
      <c r="AA18" s="1814">
        <v>1</v>
      </c>
      <c r="AB18" s="1814">
        <v>1</v>
      </c>
      <c r="AC18" s="1814">
        <v>1</v>
      </c>
    </row>
    <row r="19" spans="1:29" ht="42.75">
      <c r="A19" s="428"/>
      <c r="B19" s="451" t="s">
        <v>2097</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12"/>
      <c r="Q19" s="1813" t="str">
        <f>B19</f>
        <v>公共配套设施</v>
      </c>
      <c r="R19" s="774" t="s">
        <v>21</v>
      </c>
      <c r="S19" s="775">
        <f>F19</f>
        <v>100</v>
      </c>
      <c r="T19" s="774" t="s">
        <v>21</v>
      </c>
      <c r="U19" s="775">
        <f>H19</f>
        <v>100</v>
      </c>
      <c r="V19" s="774" t="s">
        <v>21</v>
      </c>
      <c r="W19" s="775">
        <f>J19</f>
        <v>100</v>
      </c>
      <c r="X19" s="1816"/>
      <c r="Y19" s="3205"/>
      <c r="Z19" s="1817" t="str">
        <f>Q19</f>
        <v>公共配套设施</v>
      </c>
      <c r="AA19" s="1814">
        <f t="shared" si="3"/>
        <v>1</v>
      </c>
      <c r="AB19" s="1814">
        <f t="shared" si="4"/>
        <v>1</v>
      </c>
      <c r="AC19" s="1814">
        <f t="shared" si="5"/>
        <v>1</v>
      </c>
    </row>
    <row r="20" spans="1:29" ht="15">
      <c r="A20" s="428"/>
      <c r="B20" s="456"/>
      <c r="C20" s="447"/>
      <c r="D20" s="448"/>
      <c r="E20" s="2611"/>
      <c r="F20" s="448"/>
      <c r="G20" s="2612"/>
      <c r="H20" s="448"/>
      <c r="I20" s="2612"/>
      <c r="J20" s="448"/>
      <c r="K20" s="2613"/>
      <c r="L20" s="1143"/>
      <c r="M20" s="1134"/>
      <c r="N20" s="1134"/>
      <c r="O20" s="1134"/>
      <c r="P20" s="3212"/>
      <c r="Q20" s="1813"/>
      <c r="R20" s="774"/>
      <c r="S20" s="775"/>
      <c r="T20" s="774"/>
      <c r="U20" s="775"/>
      <c r="V20" s="774"/>
      <c r="W20" s="775"/>
      <c r="X20" s="1816"/>
      <c r="Y20" s="3205"/>
      <c r="Z20" s="1817"/>
      <c r="AA20" s="1814">
        <v>1</v>
      </c>
      <c r="AB20" s="1814">
        <v>1</v>
      </c>
      <c r="AC20" s="1814">
        <v>1</v>
      </c>
    </row>
    <row r="21" spans="1:29" ht="28.5">
      <c r="A21" s="428"/>
      <c r="B21" s="1387" t="s">
        <v>2100</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8"/>
      <c r="G22" s="2618"/>
      <c r="H22" s="448"/>
      <c r="I22" s="447"/>
      <c r="J22" s="448"/>
      <c r="K22" s="2619"/>
      <c r="L22" s="1143"/>
      <c r="M22" s="1134"/>
      <c r="N22" s="1134"/>
      <c r="O22" s="1134"/>
      <c r="P22" s="3212"/>
      <c r="Q22" s="1813"/>
      <c r="R22" s="774"/>
      <c r="S22" s="775"/>
      <c r="T22" s="774"/>
      <c r="U22" s="775"/>
      <c r="V22" s="774"/>
      <c r="W22" s="775"/>
      <c r="X22" s="1816"/>
      <c r="Y22" s="3205"/>
      <c r="Z22" s="1817"/>
      <c r="AA22" s="1814">
        <v>1</v>
      </c>
      <c r="AB22" s="1814">
        <v>1</v>
      </c>
      <c r="AC22" s="1814">
        <v>1</v>
      </c>
    </row>
    <row r="23" spans="1:29" ht="57">
      <c r="A23" s="428"/>
      <c r="B23" s="451" t="s">
        <v>2104</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12"/>
      <c r="Q23" s="1813" t="str">
        <f>B23</f>
        <v>自然及人文环境</v>
      </c>
      <c r="R23" s="774" t="s">
        <v>21</v>
      </c>
      <c r="S23" s="775">
        <f>F23</f>
        <v>100</v>
      </c>
      <c r="T23" s="774" t="s">
        <v>21</v>
      </c>
      <c r="U23" s="775">
        <f>H23</f>
        <v>100</v>
      </c>
      <c r="V23" s="774" t="s">
        <v>21</v>
      </c>
      <c r="W23" s="775">
        <f>J23</f>
        <v>100</v>
      </c>
      <c r="X23" s="1816"/>
      <c r="Y23" s="3205"/>
      <c r="Z23" s="1817" t="str">
        <f>Q23</f>
        <v>自然及人文环境</v>
      </c>
      <c r="AA23" s="1814">
        <f>D23/F23</f>
        <v>1</v>
      </c>
      <c r="AB23" s="1814">
        <f>D23/H23</f>
        <v>1</v>
      </c>
      <c r="AC23" s="1814">
        <f>D23/J23</f>
        <v>1</v>
      </c>
    </row>
    <row r="24" spans="1:29" ht="15">
      <c r="A24" s="428"/>
      <c r="B24" s="456"/>
      <c r="C24" s="447"/>
      <c r="D24" s="448"/>
      <c r="E24" s="2611"/>
      <c r="F24" s="448"/>
      <c r="G24" s="2612"/>
      <c r="H24" s="448"/>
      <c r="I24" s="2612"/>
      <c r="J24" s="448"/>
      <c r="K24" s="2613"/>
      <c r="L24" s="1143"/>
      <c r="M24" s="1134"/>
      <c r="N24" s="1134"/>
      <c r="O24" s="1134"/>
      <c r="P24" s="3212"/>
      <c r="Q24" s="1813"/>
      <c r="R24" s="774"/>
      <c r="S24" s="775"/>
      <c r="T24" s="774"/>
      <c r="U24" s="775"/>
      <c r="V24" s="774"/>
      <c r="W24" s="775"/>
      <c r="X24" s="1816"/>
      <c r="Y24" s="3205"/>
      <c r="Z24" s="1817"/>
      <c r="AA24" s="1814">
        <v>1</v>
      </c>
      <c r="AB24" s="1814">
        <v>1</v>
      </c>
      <c r="AC24" s="1814">
        <v>1</v>
      </c>
    </row>
    <row r="25" spans="1:29" ht="15">
      <c r="A25" s="428"/>
      <c r="B25" s="422" t="s">
        <v>2564</v>
      </c>
      <c r="C25" s="460"/>
      <c r="D25" s="435">
        <v>100</v>
      </c>
      <c r="E25" s="2620"/>
      <c r="F25" s="435">
        <f>SUMIF(86:86,E25,87:87)-SUMIF(86:86,C25,87:87)+100</f>
        <v>100</v>
      </c>
      <c r="G25" s="2621"/>
      <c r="H25" s="435">
        <f>SUMIF(86:86,G25,87:87)-SUMIF(86:86,C25,87:87)+100</f>
        <v>100</v>
      </c>
      <c r="I25" s="2621"/>
      <c r="J25" s="435">
        <f>SUMIF(86:86,I25,87:87)-SUMIF(86:86,C25,87:87)+100</f>
        <v>100</v>
      </c>
      <c r="K25" s="426"/>
      <c r="L25" s="1143"/>
      <c r="M25" s="1134"/>
      <c r="N25" s="1134"/>
      <c r="O25" s="1134"/>
      <c r="P25" s="3212"/>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05"/>
      <c r="Z25" s="1817" t="str">
        <f>Q25</f>
        <v>楼层-1</v>
      </c>
      <c r="AA25" s="1814">
        <f t="shared" ref="AA25:AA46" si="15">D25/F25</f>
        <v>1</v>
      </c>
      <c r="AB25" s="1814">
        <f t="shared" ref="AB25:AB46" si="16">D25/H25</f>
        <v>1</v>
      </c>
      <c r="AC25" s="1814">
        <f t="shared" ref="AC25:AC46" si="17">D25/J25</f>
        <v>1</v>
      </c>
    </row>
    <row r="26" spans="1:29" ht="15">
      <c r="A26" s="428"/>
      <c r="B26" s="422" t="s">
        <v>2565</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212"/>
      <c r="Q26" s="1813" t="str">
        <f t="shared" si="11"/>
        <v>朝向</v>
      </c>
      <c r="R26" s="774" t="s">
        <v>21</v>
      </c>
      <c r="S26" s="775">
        <f t="shared" si="12"/>
        <v>100</v>
      </c>
      <c r="T26" s="774" t="s">
        <v>21</v>
      </c>
      <c r="U26" s="775">
        <f t="shared" si="13"/>
        <v>100</v>
      </c>
      <c r="V26" s="774" t="s">
        <v>21</v>
      </c>
      <c r="W26" s="775">
        <f t="shared" si="14"/>
        <v>100</v>
      </c>
      <c r="X26" s="1816"/>
      <c r="Y26" s="3205"/>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8"/>
      <c r="L27" s="1135"/>
      <c r="M27" s="1136"/>
      <c r="N27" s="1136"/>
      <c r="O27" s="1136"/>
      <c r="P27" s="3212"/>
      <c r="Q27" s="1798">
        <f t="shared" si="11"/>
        <v>111</v>
      </c>
      <c r="R27" s="770" t="s">
        <v>21</v>
      </c>
      <c r="S27" s="771">
        <f t="shared" si="12"/>
        <v>100</v>
      </c>
      <c r="T27" s="770" t="s">
        <v>21</v>
      </c>
      <c r="U27" s="771">
        <f t="shared" si="13"/>
        <v>100</v>
      </c>
      <c r="V27" s="770" t="s">
        <v>21</v>
      </c>
      <c r="W27" s="771">
        <f t="shared" si="14"/>
        <v>100</v>
      </c>
      <c r="X27" s="772"/>
      <c r="Y27" s="3205"/>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212"/>
      <c r="Q28" s="1813">
        <f t="shared" si="11"/>
        <v>111</v>
      </c>
      <c r="R28" s="774" t="s">
        <v>21</v>
      </c>
      <c r="S28" s="775">
        <f t="shared" si="12"/>
        <v>100</v>
      </c>
      <c r="T28" s="774" t="s">
        <v>21</v>
      </c>
      <c r="U28" s="775">
        <f t="shared" si="13"/>
        <v>100</v>
      </c>
      <c r="V28" s="774" t="s">
        <v>21</v>
      </c>
      <c r="W28" s="775">
        <f t="shared" si="14"/>
        <v>100</v>
      </c>
      <c r="X28" s="1816"/>
      <c r="Y28" s="3205"/>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212"/>
      <c r="Q29" s="1813">
        <f t="shared" si="11"/>
        <v>111</v>
      </c>
      <c r="R29" s="774" t="s">
        <v>21</v>
      </c>
      <c r="S29" s="775">
        <f t="shared" si="12"/>
        <v>100</v>
      </c>
      <c r="T29" s="774" t="s">
        <v>21</v>
      </c>
      <c r="U29" s="775">
        <f t="shared" si="13"/>
        <v>100</v>
      </c>
      <c r="V29" s="774" t="s">
        <v>21</v>
      </c>
      <c r="W29" s="775">
        <f t="shared" si="14"/>
        <v>100</v>
      </c>
      <c r="X29" s="1816"/>
      <c r="Y29" s="3205"/>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212"/>
      <c r="Q30" s="1813">
        <f t="shared" si="11"/>
        <v>111</v>
      </c>
      <c r="R30" s="774" t="s">
        <v>21</v>
      </c>
      <c r="S30" s="775">
        <f t="shared" si="12"/>
        <v>100</v>
      </c>
      <c r="T30" s="774" t="s">
        <v>21</v>
      </c>
      <c r="U30" s="775">
        <f t="shared" si="13"/>
        <v>100</v>
      </c>
      <c r="V30" s="774" t="s">
        <v>21</v>
      </c>
      <c r="W30" s="775">
        <f t="shared" si="14"/>
        <v>100</v>
      </c>
      <c r="X30" s="1816"/>
      <c r="Y30" s="3205"/>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212"/>
      <c r="Q31" s="1813">
        <f t="shared" si="11"/>
        <v>111</v>
      </c>
      <c r="R31" s="774" t="s">
        <v>21</v>
      </c>
      <c r="S31" s="775">
        <f t="shared" si="12"/>
        <v>100</v>
      </c>
      <c r="T31" s="774" t="s">
        <v>21</v>
      </c>
      <c r="U31" s="775">
        <f t="shared" si="13"/>
        <v>100</v>
      </c>
      <c r="V31" s="774" t="s">
        <v>21</v>
      </c>
      <c r="W31" s="775">
        <f t="shared" si="14"/>
        <v>100</v>
      </c>
      <c r="X31" s="1816"/>
      <c r="Y31" s="3205"/>
      <c r="Z31" s="1817">
        <f t="shared" si="18"/>
        <v>111</v>
      </c>
      <c r="AA31" s="1814">
        <f t="shared" si="15"/>
        <v>1</v>
      </c>
      <c r="AB31" s="1814">
        <f t="shared" si="16"/>
        <v>1</v>
      </c>
      <c r="AC31" s="1814">
        <f t="shared" si="17"/>
        <v>1</v>
      </c>
    </row>
    <row r="32" spans="1:29" ht="15">
      <c r="A32" s="440" t="s">
        <v>2566</v>
      </c>
      <c r="B32" s="71" t="s">
        <v>2567</v>
      </c>
      <c r="C32" s="2624"/>
      <c r="D32" s="467">
        <v>100</v>
      </c>
      <c r="E32" s="2625"/>
      <c r="F32" s="461">
        <f>SUMIF(100:100,E32,101:101)-SUMIF(100:100,C32,101:101)+100</f>
        <v>100</v>
      </c>
      <c r="G32" s="2624"/>
      <c r="H32" s="467">
        <f>SUMIF(100:100,G32,101:101)-SUMIF(100:100,C32,101:101)+100</f>
        <v>100</v>
      </c>
      <c r="I32" s="2625"/>
      <c r="J32" s="435">
        <f>SUMIF(100:100,I32,101:101)-SUMIF(100:100,C32,101:101)+100</f>
        <v>100</v>
      </c>
      <c r="K32" s="426"/>
      <c r="L32" s="1143"/>
      <c r="M32" s="1134"/>
      <c r="N32" s="1134"/>
      <c r="O32" s="1134"/>
      <c r="P32" s="3206" t="s">
        <v>2568</v>
      </c>
      <c r="Q32" s="1813" t="str">
        <f t="shared" si="11"/>
        <v>建筑类型</v>
      </c>
      <c r="R32" s="774" t="s">
        <v>21</v>
      </c>
      <c r="S32" s="775">
        <f t="shared" si="12"/>
        <v>100</v>
      </c>
      <c r="T32" s="774" t="s">
        <v>21</v>
      </c>
      <c r="U32" s="775">
        <f t="shared" si="13"/>
        <v>100</v>
      </c>
      <c r="V32" s="774" t="s">
        <v>21</v>
      </c>
      <c r="W32" s="775">
        <f t="shared" si="14"/>
        <v>100</v>
      </c>
      <c r="X32" s="1816"/>
      <c r="Y32" s="3209" t="s">
        <v>2568</v>
      </c>
      <c r="Z32" s="1817" t="str">
        <f t="shared" si="18"/>
        <v>建筑类型</v>
      </c>
      <c r="AA32" s="1814">
        <f t="shared" si="15"/>
        <v>1</v>
      </c>
      <c r="AB32" s="1814">
        <f t="shared" si="16"/>
        <v>1</v>
      </c>
      <c r="AC32" s="1814">
        <f t="shared" si="17"/>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8"/>
      <c r="L33" s="1141"/>
      <c r="M33" s="1144"/>
      <c r="N33" s="1144"/>
      <c r="O33" s="1144"/>
      <c r="P33" s="3207"/>
      <c r="Q33" s="776" t="str">
        <f t="shared" si="11"/>
        <v>项目建筑规模</v>
      </c>
      <c r="R33" s="777" t="s">
        <v>21</v>
      </c>
      <c r="S33" s="778" t="e">
        <f t="shared" si="12"/>
        <v>#N/A</v>
      </c>
      <c r="T33" s="777" t="s">
        <v>21</v>
      </c>
      <c r="U33" s="778" t="e">
        <f t="shared" si="13"/>
        <v>#N/A</v>
      </c>
      <c r="V33" s="777" t="s">
        <v>21</v>
      </c>
      <c r="W33" s="778" t="e">
        <f t="shared" si="14"/>
        <v>#N/A</v>
      </c>
      <c r="X33" s="779"/>
      <c r="Y33" s="3209"/>
      <c r="Z33" s="780" t="str">
        <f t="shared" si="18"/>
        <v>项目建筑规模</v>
      </c>
      <c r="AA33" s="1814" t="e">
        <f t="shared" si="15"/>
        <v>#N/A</v>
      </c>
      <c r="AB33" s="1814" t="e">
        <f t="shared" si="16"/>
        <v>#N/A</v>
      </c>
      <c r="AC33" s="1814" t="e">
        <f t="shared" si="17"/>
        <v>#N/A</v>
      </c>
    </row>
    <row r="34" spans="1:29" ht="15">
      <c r="A34" s="472"/>
      <c r="B34" s="422" t="s">
        <v>2570</v>
      </c>
      <c r="C34" s="2626"/>
      <c r="D34" s="435">
        <v>100</v>
      </c>
      <c r="E34" s="2627"/>
      <c r="F34" s="461">
        <f>SUMIF(105:105,E34,106:106)-SUMIF(105:105,C34,106:106)+100</f>
        <v>100</v>
      </c>
      <c r="G34" s="2626"/>
      <c r="H34" s="435">
        <f>SUMIF(105:105,G34,106:106)-SUMIF(105:105,C34,106:106)+100</f>
        <v>100</v>
      </c>
      <c r="I34" s="2627"/>
      <c r="J34" s="435">
        <f>SUMIF(105:105,I34,106:106)-SUMIF(105:105,C34,106:106)+100</f>
        <v>100</v>
      </c>
      <c r="K34" s="426"/>
      <c r="L34" s="1143"/>
      <c r="M34" s="1134"/>
      <c r="N34" s="1134"/>
      <c r="O34" s="1134"/>
      <c r="P34" s="3207"/>
      <c r="Q34" s="1813" t="str">
        <f t="shared" si="11"/>
        <v>建筑结构</v>
      </c>
      <c r="R34" s="774" t="s">
        <v>21</v>
      </c>
      <c r="S34" s="775">
        <f t="shared" si="12"/>
        <v>100</v>
      </c>
      <c r="T34" s="774" t="s">
        <v>21</v>
      </c>
      <c r="U34" s="775">
        <f t="shared" si="13"/>
        <v>100</v>
      </c>
      <c r="V34" s="774" t="s">
        <v>21</v>
      </c>
      <c r="W34" s="775">
        <f t="shared" si="14"/>
        <v>100</v>
      </c>
      <c r="X34" s="1816"/>
      <c r="Y34" s="3209"/>
      <c r="Z34" s="1817" t="str">
        <f t="shared" si="18"/>
        <v>建筑结构</v>
      </c>
      <c r="AA34" s="1814">
        <f t="shared" si="15"/>
        <v>1</v>
      </c>
      <c r="AB34" s="1814">
        <f t="shared" si="16"/>
        <v>1</v>
      </c>
      <c r="AC34" s="1814">
        <f t="shared" si="17"/>
        <v>1</v>
      </c>
    </row>
    <row r="35" spans="1:29" ht="15">
      <c r="A35" s="472"/>
      <c r="B35" s="422" t="s">
        <v>2571</v>
      </c>
      <c r="C35" s="2620"/>
      <c r="D35" s="435">
        <v>100</v>
      </c>
      <c r="E35" s="2621"/>
      <c r="F35" s="461">
        <f>SUMIF(107:107,E35,108:108)-SUMIF(107:107,C35,108:108)+100</f>
        <v>100</v>
      </c>
      <c r="G35" s="2620"/>
      <c r="H35" s="435">
        <f>SUMIF(107:107,G35,108:108)-SUMIF(107:107,C35,108:108)+100</f>
        <v>100</v>
      </c>
      <c r="I35" s="2621"/>
      <c r="J35" s="435">
        <f>SUMIF(107:107,I35,108:108)-SUMIF(107:107,C35,108:108)+100</f>
        <v>100</v>
      </c>
      <c r="K35" s="426"/>
      <c r="L35" s="1143"/>
      <c r="M35" s="1134"/>
      <c r="N35" s="1134"/>
      <c r="O35" s="1134"/>
      <c r="P35" s="3207"/>
      <c r="Q35" s="1813" t="str">
        <f t="shared" si="11"/>
        <v>建筑品质</v>
      </c>
      <c r="R35" s="774" t="s">
        <v>21</v>
      </c>
      <c r="S35" s="775">
        <f t="shared" si="12"/>
        <v>100</v>
      </c>
      <c r="T35" s="774" t="s">
        <v>21</v>
      </c>
      <c r="U35" s="775">
        <f t="shared" si="13"/>
        <v>100</v>
      </c>
      <c r="V35" s="774" t="s">
        <v>21</v>
      </c>
      <c r="W35" s="775">
        <f t="shared" si="14"/>
        <v>100</v>
      </c>
      <c r="X35" s="1816"/>
      <c r="Y35" s="3209"/>
      <c r="Z35" s="1817" t="str">
        <f t="shared" si="18"/>
        <v>建筑品质</v>
      </c>
      <c r="AA35" s="1814">
        <f t="shared" si="15"/>
        <v>1</v>
      </c>
      <c r="AB35" s="1814">
        <f t="shared" si="16"/>
        <v>1</v>
      </c>
      <c r="AC35" s="1814">
        <f t="shared" si="17"/>
        <v>1</v>
      </c>
    </row>
    <row r="36" spans="1:29" ht="15">
      <c r="A36" s="472"/>
      <c r="B36" s="422" t="s">
        <v>2572</v>
      </c>
      <c r="C36" s="2620"/>
      <c r="D36" s="435">
        <v>100</v>
      </c>
      <c r="E36" s="2621"/>
      <c r="F36" s="461">
        <f>SUMIF(109:109,E36,110:110)-SUMIF(109:109,C36,110:110)+100</f>
        <v>100</v>
      </c>
      <c r="G36" s="2620"/>
      <c r="H36" s="435">
        <f>SUMIF(109:109,G36,110:110)-SUMIF(109:109,C36,110:110)+100</f>
        <v>100</v>
      </c>
      <c r="I36" s="2621"/>
      <c r="J36" s="435">
        <f>SUMIF(109:109,I36,110:110)-SUMIF(109:109,C36,110:110)+100</f>
        <v>100</v>
      </c>
      <c r="K36" s="426"/>
      <c r="L36" s="1143"/>
      <c r="M36" s="1134"/>
      <c r="N36" s="1134"/>
      <c r="O36" s="1134"/>
      <c r="P36" s="3207"/>
      <c r="Q36" s="1813" t="str">
        <f t="shared" si="11"/>
        <v>公共部分装修</v>
      </c>
      <c r="R36" s="774" t="s">
        <v>21</v>
      </c>
      <c r="S36" s="775">
        <f t="shared" si="12"/>
        <v>100</v>
      </c>
      <c r="T36" s="774" t="s">
        <v>21</v>
      </c>
      <c r="U36" s="775">
        <f t="shared" si="13"/>
        <v>100</v>
      </c>
      <c r="V36" s="774" t="s">
        <v>21</v>
      </c>
      <c r="W36" s="775">
        <f t="shared" si="14"/>
        <v>100</v>
      </c>
      <c r="X36" s="1816"/>
      <c r="Y36" s="3209"/>
      <c r="Z36" s="1817" t="str">
        <f t="shared" si="18"/>
        <v>公共部分装修</v>
      </c>
      <c r="AA36" s="1814">
        <f t="shared" si="15"/>
        <v>1</v>
      </c>
      <c r="AB36" s="1814">
        <f t="shared" si="16"/>
        <v>1</v>
      </c>
      <c r="AC36" s="1814">
        <f t="shared" si="17"/>
        <v>1</v>
      </c>
    </row>
    <row r="37" spans="1:29" s="117" customFormat="1" ht="15">
      <c r="A37" s="473"/>
      <c r="B37" s="422" t="s">
        <v>2573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07"/>
      <c r="Q37" s="1798" t="str">
        <f t="shared" si="11"/>
        <v>成新度</v>
      </c>
      <c r="R37" s="770" t="s">
        <v>21</v>
      </c>
      <c r="S37" s="771" t="e">
        <f t="shared" si="12"/>
        <v>#N/A</v>
      </c>
      <c r="T37" s="770" t="s">
        <v>21</v>
      </c>
      <c r="U37" s="771" t="e">
        <f t="shared" si="13"/>
        <v>#N/A</v>
      </c>
      <c r="V37" s="770" t="s">
        <v>21</v>
      </c>
      <c r="W37" s="771" t="e">
        <f t="shared" si="14"/>
        <v>#N/A</v>
      </c>
      <c r="X37" s="772"/>
      <c r="Y37" s="3209"/>
      <c r="Z37" s="55" t="str">
        <f t="shared" si="18"/>
        <v>成新度</v>
      </c>
      <c r="AA37" s="773" t="e">
        <f t="shared" si="15"/>
        <v>#N/A</v>
      </c>
      <c r="AB37" s="773" t="e">
        <f t="shared" si="16"/>
        <v>#N/A</v>
      </c>
      <c r="AC37" s="773" t="e">
        <f t="shared" si="17"/>
        <v>#N/A</v>
      </c>
    </row>
    <row r="38" spans="1:29" ht="15">
      <c r="A38" s="472"/>
      <c r="B38" s="422" t="s">
        <v>2574</v>
      </c>
      <c r="C38" s="2620"/>
      <c r="D38" s="435">
        <v>100</v>
      </c>
      <c r="E38" s="2621"/>
      <c r="F38" s="461">
        <f>SUMIF(114:114,E38,115:115)-SUMIF(114:114,C38,115:115)+100</f>
        <v>100</v>
      </c>
      <c r="G38" s="2620"/>
      <c r="H38" s="435">
        <f>SUMIF(114:114,G38,115:115)-SUMIF(114:114,C38,115:115)+100</f>
        <v>100</v>
      </c>
      <c r="I38" s="2621"/>
      <c r="J38" s="435">
        <f>SUMIF(114:114,I38,115:115)-SUMIF(114:114,C38,115:115)+100</f>
        <v>100</v>
      </c>
      <c r="K38" s="426"/>
      <c r="L38" s="1143"/>
      <c r="M38" s="1134"/>
      <c r="N38" s="1134"/>
      <c r="O38" s="1134"/>
      <c r="P38" s="3207" t="s">
        <v>2568</v>
      </c>
      <c r="Q38" s="1813" t="str">
        <f t="shared" si="11"/>
        <v>物业管理</v>
      </c>
      <c r="R38" s="774" t="s">
        <v>21</v>
      </c>
      <c r="S38" s="775">
        <f t="shared" si="12"/>
        <v>100</v>
      </c>
      <c r="T38" s="774" t="s">
        <v>21</v>
      </c>
      <c r="U38" s="775">
        <f t="shared" si="13"/>
        <v>100</v>
      </c>
      <c r="V38" s="774" t="s">
        <v>21</v>
      </c>
      <c r="W38" s="775">
        <f t="shared" si="14"/>
        <v>100</v>
      </c>
      <c r="X38" s="1816"/>
      <c r="Y38" s="3209" t="s">
        <v>2568</v>
      </c>
      <c r="Z38" s="1817" t="str">
        <f t="shared" si="18"/>
        <v>物业管理</v>
      </c>
      <c r="AA38" s="1814">
        <f t="shared" si="15"/>
        <v>1</v>
      </c>
      <c r="AB38" s="1814">
        <f t="shared" si="16"/>
        <v>1</v>
      </c>
      <c r="AC38" s="1814">
        <f t="shared" si="17"/>
        <v>1</v>
      </c>
    </row>
    <row r="39" spans="1:29" ht="15">
      <c r="A39" s="472"/>
      <c r="B39" s="422" t="s">
        <v>2575</v>
      </c>
      <c r="C39" s="2620"/>
      <c r="D39" s="435">
        <v>100</v>
      </c>
      <c r="E39" s="2621"/>
      <c r="F39" s="461">
        <f>SUMIF(116:116,E39,117:117)-SUMIF(116:116,C39,117:117)+100</f>
        <v>100</v>
      </c>
      <c r="G39" s="2620"/>
      <c r="H39" s="435">
        <f>SUMIF(116:116,G39,117:117)-SUMIF(116:116,C39,117:117)+100</f>
        <v>100</v>
      </c>
      <c r="I39" s="2621"/>
      <c r="J39" s="435">
        <f>SUMIF(116:116,I39,117:117)-SUMIF(116:116,C39,117:117)+100</f>
        <v>100</v>
      </c>
      <c r="K39" s="426"/>
      <c r="L39" s="1143"/>
      <c r="M39" s="1134"/>
      <c r="N39" s="1134"/>
      <c r="O39" s="1134"/>
      <c r="P39" s="3207"/>
      <c r="Q39" s="1813" t="str">
        <f t="shared" si="11"/>
        <v>市政基础设施</v>
      </c>
      <c r="R39" s="774" t="s">
        <v>21</v>
      </c>
      <c r="S39" s="775">
        <f t="shared" si="12"/>
        <v>100</v>
      </c>
      <c r="T39" s="774" t="s">
        <v>21</v>
      </c>
      <c r="U39" s="775">
        <f t="shared" si="13"/>
        <v>100</v>
      </c>
      <c r="V39" s="774" t="s">
        <v>21</v>
      </c>
      <c r="W39" s="775">
        <f t="shared" si="14"/>
        <v>100</v>
      </c>
      <c r="X39" s="1816"/>
      <c r="Y39" s="3209"/>
      <c r="Z39" s="1817" t="str">
        <f t="shared" si="18"/>
        <v>市政基础设施</v>
      </c>
      <c r="AA39" s="1814">
        <f t="shared" si="15"/>
        <v>1</v>
      </c>
      <c r="AB39" s="1814">
        <f t="shared" si="16"/>
        <v>1</v>
      </c>
      <c r="AC39" s="1814">
        <f t="shared" si="17"/>
        <v>1</v>
      </c>
    </row>
    <row r="40" spans="1:29" ht="15">
      <c r="A40" s="472"/>
      <c r="B40" s="422" t="s">
        <v>2576</v>
      </c>
      <c r="C40" s="2620"/>
      <c r="D40" s="435">
        <v>100</v>
      </c>
      <c r="E40" s="2621"/>
      <c r="F40" s="461">
        <f>SUMIF(118:118,E40,119:119)-SUMIF(118:118,C40,119:119)+100</f>
        <v>100</v>
      </c>
      <c r="G40" s="2620"/>
      <c r="H40" s="435">
        <f>SUMIF(118:118,G40,119:119)-SUMIF(118:118,C40,119:119)+100</f>
        <v>100</v>
      </c>
      <c r="I40" s="2621"/>
      <c r="J40" s="435">
        <f>SUMIF(118:118,I40,119:119)-SUMIF(118:118,C40,119:119)+100</f>
        <v>100</v>
      </c>
      <c r="K40" s="426"/>
      <c r="L40" s="1143"/>
      <c r="M40" s="1134"/>
      <c r="N40" s="1134"/>
      <c r="O40" s="1134"/>
      <c r="P40" s="3207"/>
      <c r="Q40" s="1813" t="str">
        <f t="shared" si="11"/>
        <v>房型</v>
      </c>
      <c r="R40" s="774" t="s">
        <v>21</v>
      </c>
      <c r="S40" s="775">
        <f t="shared" si="12"/>
        <v>100</v>
      </c>
      <c r="T40" s="774" t="s">
        <v>21</v>
      </c>
      <c r="U40" s="775">
        <f t="shared" si="13"/>
        <v>100</v>
      </c>
      <c r="V40" s="774" t="s">
        <v>21</v>
      </c>
      <c r="W40" s="775">
        <f t="shared" si="14"/>
        <v>100</v>
      </c>
      <c r="X40" s="1816"/>
      <c r="Y40" s="3209"/>
      <c r="Z40" s="1817" t="str">
        <f t="shared" si="18"/>
        <v>房型</v>
      </c>
      <c r="AA40" s="1814">
        <f t="shared" si="15"/>
        <v>1</v>
      </c>
      <c r="AB40" s="1814">
        <f t="shared" si="16"/>
        <v>1</v>
      </c>
      <c r="AC40" s="1814">
        <f t="shared" si="17"/>
        <v>1</v>
      </c>
    </row>
    <row r="41" spans="1:29" s="471" customFormat="1" ht="28.5">
      <c r="A41" s="468"/>
      <c r="B41" s="422" t="s">
        <v>2577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8"/>
      <c r="L41" s="1141"/>
      <c r="M41" s="1144"/>
      <c r="N41" s="1144"/>
      <c r="O41" s="1144"/>
      <c r="P41" s="3207"/>
      <c r="Q41" s="776" t="str">
        <f t="shared" si="11"/>
        <v>单套/主力户型建筑面积</v>
      </c>
      <c r="R41" s="777" t="s">
        <v>21</v>
      </c>
      <c r="S41" s="778">
        <f t="shared" si="12"/>
        <v>100</v>
      </c>
      <c r="T41" s="777" t="s">
        <v>21</v>
      </c>
      <c r="U41" s="778">
        <f t="shared" si="13"/>
        <v>100</v>
      </c>
      <c r="V41" s="777" t="s">
        <v>21</v>
      </c>
      <c r="W41" s="778">
        <f t="shared" si="14"/>
        <v>100</v>
      </c>
      <c r="X41" s="779"/>
      <c r="Y41" s="3209"/>
      <c r="Z41" s="780" t="str">
        <f t="shared" si="18"/>
        <v>单套/主力户型建筑面积</v>
      </c>
      <c r="AA41" s="1814">
        <f t="shared" si="15"/>
        <v>1</v>
      </c>
      <c r="AB41" s="1814">
        <f t="shared" si="16"/>
        <v>1</v>
      </c>
      <c r="AC41" s="1814">
        <f t="shared" si="17"/>
        <v>1</v>
      </c>
    </row>
    <row r="42" spans="1:29" ht="15">
      <c r="A42" s="472"/>
      <c r="B42" s="422" t="s">
        <v>2578</v>
      </c>
      <c r="C42" s="2620"/>
      <c r="D42" s="435">
        <v>100</v>
      </c>
      <c r="E42" s="2621"/>
      <c r="F42" s="461">
        <f>SUMIF(122:122,E42,123:123)-SUMIF(122:122,C42,123:123)+100</f>
        <v>100</v>
      </c>
      <c r="G42" s="2620"/>
      <c r="H42" s="435">
        <f>SUMIF(122:122,G42,123:123)-SUMIF(122:122,C42,123:123)+100</f>
        <v>100</v>
      </c>
      <c r="I42" s="2621"/>
      <c r="J42" s="435">
        <f>SUMIF(122:122,I42,123:123)-SUMIF(122:122,C42,123:123)+100</f>
        <v>100</v>
      </c>
      <c r="K42" s="426"/>
      <c r="L42" s="1143"/>
      <c r="M42" s="1134"/>
      <c r="N42" s="1134"/>
      <c r="O42" s="1134"/>
      <c r="P42" s="3207"/>
      <c r="Q42" s="1813" t="str">
        <f t="shared" si="11"/>
        <v>内部装修</v>
      </c>
      <c r="R42" s="774" t="s">
        <v>21</v>
      </c>
      <c r="S42" s="775">
        <f t="shared" si="12"/>
        <v>100</v>
      </c>
      <c r="T42" s="774" t="s">
        <v>21</v>
      </c>
      <c r="U42" s="775">
        <f t="shared" si="13"/>
        <v>100</v>
      </c>
      <c r="V42" s="774" t="s">
        <v>21</v>
      </c>
      <c r="W42" s="775">
        <f t="shared" si="14"/>
        <v>100</v>
      </c>
      <c r="X42" s="1816"/>
      <c r="Y42" s="3209"/>
      <c r="Z42" s="1817" t="str">
        <f t="shared" si="18"/>
        <v>内部装修</v>
      </c>
      <c r="AA42" s="1814">
        <f t="shared" si="15"/>
        <v>1</v>
      </c>
      <c r="AB42" s="1814">
        <f t="shared" si="16"/>
        <v>1</v>
      </c>
      <c r="AC42" s="1814">
        <f t="shared" si="17"/>
        <v>1</v>
      </c>
    </row>
    <row r="43" spans="1:29" ht="15">
      <c r="A43" s="472"/>
      <c r="B43" s="422" t="s">
        <v>2579</v>
      </c>
      <c r="C43" s="2620"/>
      <c r="D43" s="435">
        <v>100</v>
      </c>
      <c r="E43" s="2621"/>
      <c r="F43" s="461">
        <f>SUMIF(124:124,E43,125:125)-SUMIF(124:124,C43,125:125)+100</f>
        <v>100</v>
      </c>
      <c r="G43" s="2620"/>
      <c r="H43" s="435">
        <f>SUMIF(124:124,G43,125:125)-SUMIF(124:124,C43,125:125)+100</f>
        <v>100</v>
      </c>
      <c r="I43" s="2621"/>
      <c r="J43" s="435">
        <f>SUMIF(124:124,I43,125:125)-SUMIF(124:124,C43,125:125)+100</f>
        <v>100</v>
      </c>
      <c r="K43" s="426"/>
      <c r="L43" s="1143"/>
      <c r="M43" s="1134"/>
      <c r="N43" s="1134"/>
      <c r="O43" s="1134"/>
      <c r="P43" s="3207"/>
      <c r="Q43" s="1813" t="str">
        <f t="shared" si="11"/>
        <v>内部装修维护情况</v>
      </c>
      <c r="R43" s="774" t="s">
        <v>21</v>
      </c>
      <c r="S43" s="775">
        <f t="shared" si="12"/>
        <v>100</v>
      </c>
      <c r="T43" s="774" t="s">
        <v>21</v>
      </c>
      <c r="U43" s="775">
        <f t="shared" si="13"/>
        <v>100</v>
      </c>
      <c r="V43" s="774" t="s">
        <v>21</v>
      </c>
      <c r="W43" s="775">
        <f t="shared" si="14"/>
        <v>100</v>
      </c>
      <c r="X43" s="1816"/>
      <c r="Y43" s="3209"/>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8"/>
      <c r="L44" s="1135"/>
      <c r="M44" s="1136"/>
      <c r="N44" s="1136"/>
      <c r="O44" s="1136"/>
      <c r="P44" s="3207"/>
      <c r="Q44" s="1798">
        <f t="shared" si="11"/>
        <v>111</v>
      </c>
      <c r="R44" s="770" t="s">
        <v>21</v>
      </c>
      <c r="S44" s="771">
        <f t="shared" si="12"/>
        <v>100</v>
      </c>
      <c r="T44" s="770" t="s">
        <v>21</v>
      </c>
      <c r="U44" s="771">
        <f t="shared" si="13"/>
        <v>100</v>
      </c>
      <c r="V44" s="770" t="s">
        <v>21</v>
      </c>
      <c r="W44" s="771">
        <f t="shared" si="14"/>
        <v>100</v>
      </c>
      <c r="X44" s="772"/>
      <c r="Y44" s="3209"/>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207"/>
      <c r="Q45" s="1813">
        <f t="shared" si="11"/>
        <v>111</v>
      </c>
      <c r="R45" s="774" t="s">
        <v>21</v>
      </c>
      <c r="S45" s="775">
        <f t="shared" si="12"/>
        <v>100</v>
      </c>
      <c r="T45" s="774" t="s">
        <v>21</v>
      </c>
      <c r="U45" s="775">
        <f t="shared" si="13"/>
        <v>100</v>
      </c>
      <c r="V45" s="774" t="s">
        <v>21</v>
      </c>
      <c r="W45" s="775">
        <f t="shared" si="14"/>
        <v>100</v>
      </c>
      <c r="X45" s="1816"/>
      <c r="Y45" s="3209"/>
      <c r="Z45" s="1817">
        <f t="shared" si="18"/>
        <v>111</v>
      </c>
      <c r="AA45" s="1814">
        <f t="shared" si="15"/>
        <v>1</v>
      </c>
      <c r="AB45" s="1814">
        <f t="shared" si="16"/>
        <v>1</v>
      </c>
      <c r="AC45" s="1814">
        <f t="shared" si="17"/>
        <v>1</v>
      </c>
    </row>
    <row r="46" spans="1:29" ht="15.75"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208"/>
      <c r="Q46" s="1813">
        <f t="shared" si="11"/>
        <v>111</v>
      </c>
      <c r="R46" s="774" t="s">
        <v>20</v>
      </c>
      <c r="S46" s="775">
        <f t="shared" si="12"/>
        <v>100</v>
      </c>
      <c r="T46" s="774" t="s">
        <v>20</v>
      </c>
      <c r="U46" s="775">
        <f t="shared" si="13"/>
        <v>100</v>
      </c>
      <c r="V46" s="774" t="s">
        <v>20</v>
      </c>
      <c r="W46" s="775">
        <f t="shared" si="14"/>
        <v>100</v>
      </c>
      <c r="X46" s="1816"/>
      <c r="Y46" s="3210"/>
      <c r="Z46" s="1817">
        <f t="shared" si="18"/>
        <v>111</v>
      </c>
      <c r="AA46" s="1814">
        <f t="shared" si="15"/>
        <v>1</v>
      </c>
      <c r="AB46" s="1814">
        <f t="shared" si="16"/>
        <v>1</v>
      </c>
      <c r="AC46" s="1814">
        <f t="shared" si="17"/>
        <v>1</v>
      </c>
    </row>
    <row r="47" spans="1:29" ht="15">
      <c r="A47" s="479" t="s">
        <v>2580</v>
      </c>
      <c r="B47" s="480"/>
      <c r="C47" s="1410" t="s">
        <v>19</v>
      </c>
      <c r="D47" s="1411"/>
      <c r="E47" s="1412"/>
      <c r="F47" s="1413"/>
      <c r="G47" s="1414"/>
      <c r="H47" s="1415"/>
      <c r="I47" s="1412"/>
      <c r="J47" s="1415"/>
      <c r="K47" s="2628"/>
      <c r="L47" s="1146"/>
      <c r="M47" s="1147"/>
      <c r="N47" s="1134"/>
      <c r="O47" s="1147"/>
      <c r="P47" s="3202" t="str">
        <f>A47</f>
        <v>成交单价（元/平方米）</v>
      </c>
      <c r="Q47" s="3202"/>
      <c r="R47" s="3203">
        <f>E47</f>
        <v>0</v>
      </c>
      <c r="S47" s="3203"/>
      <c r="T47" s="3203">
        <f>G47</f>
        <v>0</v>
      </c>
      <c r="U47" s="3203"/>
      <c r="V47" s="3203">
        <f>I47</f>
        <v>0</v>
      </c>
      <c r="W47" s="3203"/>
      <c r="X47" s="759"/>
      <c r="Y47" s="781"/>
      <c r="Z47" s="759"/>
      <c r="AA47" s="759"/>
      <c r="AB47" s="759"/>
      <c r="AC47" s="759"/>
    </row>
    <row r="48" spans="1:29" ht="15.75" thickBot="1">
      <c r="A48" s="486" t="s">
        <v>2581</v>
      </c>
      <c r="B48" s="487"/>
      <c r="C48" s="1416" t="e">
        <f>R49</f>
        <v>#DIV/0!</v>
      </c>
      <c r="D48" s="1417"/>
      <c r="E48" s="1418" t="e">
        <f>R48</f>
        <v>#DIV/0!</v>
      </c>
      <c r="F48" s="1418"/>
      <c r="G48" s="1416" t="e">
        <f>T48</f>
        <v>#DIV/0!</v>
      </c>
      <c r="H48" s="1417"/>
      <c r="I48" s="1418" t="e">
        <f>V48</f>
        <v>#DIV/0!</v>
      </c>
      <c r="J48" s="1417"/>
      <c r="K48" s="2629"/>
      <c r="L48" s="1146"/>
      <c r="M48" s="1147"/>
      <c r="N48" s="1147"/>
      <c r="O48" s="1147"/>
      <c r="P48" s="3202" t="str">
        <f>A48</f>
        <v>比较价值（元/平方米）</v>
      </c>
      <c r="Q48" s="3202"/>
      <c r="R48" s="3203" t="e">
        <f>IF(F1="售价",ROUND(PRODUCT(R47,AA7:AA46),0),ROUND(PRODUCT(R47,AA7:AA46),1))</f>
        <v>#DIV/0!</v>
      </c>
      <c r="S48" s="3203"/>
      <c r="T48" s="3203" t="e">
        <f>IF(F1="售价",ROUND(PRODUCT(T47,AB7:AB46),0),ROUND(PRODUCT(T47,AB7:AB46),1))</f>
        <v>#DIV/0!</v>
      </c>
      <c r="U48" s="3203"/>
      <c r="V48" s="3203" t="e">
        <f>IF(F1="售价",ROUND(PRODUCT(V47,AC7:AC46),0),ROUND(PRODUCT(V47,AC7:AC46),1))</f>
        <v>#DIV/0!</v>
      </c>
      <c r="W48" s="3203"/>
      <c r="X48" s="759"/>
      <c r="Y48" s="759"/>
      <c r="Z48" s="759"/>
      <c r="AA48" s="759"/>
      <c r="AB48" s="759"/>
      <c r="AC48" s="759"/>
    </row>
    <row r="49" spans="1:29" ht="15.75" thickBot="1">
      <c r="A49" s="492" t="s">
        <v>2582</v>
      </c>
      <c r="B49" s="493"/>
      <c r="C49" s="1419" t="e">
        <f>R49</f>
        <v>#DIV/0!</v>
      </c>
      <c r="D49" s="1420"/>
      <c r="E49" s="1420"/>
      <c r="F49" s="1420"/>
      <c r="G49" s="1420"/>
      <c r="H49" s="1420"/>
      <c r="I49" s="1420"/>
      <c r="J49" s="1420"/>
      <c r="K49" s="2630"/>
      <c r="L49" s="1146"/>
      <c r="M49" s="1147"/>
      <c r="N49" s="1147"/>
      <c r="O49" s="1147"/>
      <c r="P49" s="3199" t="str">
        <f>A49</f>
        <v>估价对象XX用房的比较价值（楼面单价，元/平方米）</v>
      </c>
      <c r="Q49" s="3200"/>
      <c r="R49" s="3201" t="e">
        <f>IF(F1="售价",ROUND(AVERAGE(R48:V48),0),ROUND(AVERAGE(R48:V48),1))</f>
        <v>#DIV/0!</v>
      </c>
      <c r="S49" s="3201"/>
      <c r="T49" s="3201"/>
      <c r="U49" s="3201"/>
      <c r="V49" s="3201"/>
      <c r="W49" s="320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2"/>
    </row>
    <row r="55" spans="1:29" s="502" customFormat="1">
      <c r="A55" s="1148"/>
      <c r="B55" s="1149"/>
      <c r="C55" s="1153"/>
      <c r="D55" s="1148"/>
      <c r="E55" s="1148"/>
      <c r="F55" s="1148"/>
      <c r="G55" s="1148"/>
      <c r="H55" s="1148"/>
      <c r="I55" s="1148"/>
      <c r="J55" s="1148"/>
      <c r="K55" s="1151"/>
      <c r="L55" s="1152"/>
      <c r="M55" s="1148"/>
      <c r="N55" s="1148"/>
      <c r="O55" s="1148"/>
      <c r="P55" s="2632"/>
    </row>
    <row r="56" spans="1:29">
      <c r="A56" s="1147"/>
      <c r="B56" s="1149"/>
      <c r="C56" s="1153"/>
      <c r="D56" s="1147"/>
      <c r="E56" s="1147"/>
      <c r="F56" s="1147"/>
      <c r="G56" s="1147"/>
      <c r="H56" s="1147"/>
      <c r="I56" s="1147"/>
      <c r="J56" s="1147"/>
      <c r="K56" s="1108"/>
      <c r="L56" s="1109"/>
      <c r="M56" s="1147"/>
      <c r="N56" s="1147"/>
      <c r="O56" s="1147"/>
    </row>
    <row r="57" spans="1:29" ht="21.75" thickBot="1">
      <c r="A57" s="763" t="s">
        <v>2586</v>
      </c>
      <c r="B57" s="759"/>
      <c r="C57" s="764"/>
      <c r="D57" s="764"/>
      <c r="E57" s="764"/>
      <c r="F57" s="765"/>
      <c r="G57" s="765"/>
      <c r="H57" s="764"/>
      <c r="I57" s="764"/>
      <c r="J57" s="764"/>
      <c r="K57" s="1163"/>
      <c r="L57" s="1164"/>
      <c r="M57" s="1162"/>
      <c r="N57" s="1162"/>
      <c r="O57" s="1162"/>
      <c r="P57" s="2633"/>
      <c r="Q57" s="504"/>
    </row>
    <row r="58" spans="1:29" s="508" customFormat="1" ht="15">
      <c r="A58" s="505" t="s">
        <v>2587</v>
      </c>
      <c r="B58" s="506"/>
      <c r="C58" s="1579" t="str">
        <f>YEAR(C7)&amp;"-"&amp;MONTH(C7)</f>
        <v>2018-11</v>
      </c>
      <c r="D58" s="1578">
        <f>EDATE(C58,-1)</f>
        <v>43374</v>
      </c>
      <c r="E58" s="1578">
        <f>EDATE(D58,-1)</f>
        <v>43344</v>
      </c>
      <c r="F58" s="1578">
        <f t="shared" ref="F58:O58" si="19">EDATE(E58,-1)</f>
        <v>43313</v>
      </c>
      <c r="G58" s="1578">
        <f t="shared" si="19"/>
        <v>43282</v>
      </c>
      <c r="H58" s="1578">
        <f t="shared" si="19"/>
        <v>43252</v>
      </c>
      <c r="I58" s="1578">
        <f t="shared" si="19"/>
        <v>43221</v>
      </c>
      <c r="J58" s="1578">
        <f t="shared" si="19"/>
        <v>43191</v>
      </c>
      <c r="K58" s="1578">
        <f t="shared" si="19"/>
        <v>43160</v>
      </c>
      <c r="L58" s="1578">
        <f t="shared" si="19"/>
        <v>43132</v>
      </c>
      <c r="M58" s="1578">
        <f t="shared" si="19"/>
        <v>43101</v>
      </c>
      <c r="N58" s="1578">
        <f t="shared" si="19"/>
        <v>43070</v>
      </c>
      <c r="O58" s="1578">
        <f t="shared" si="19"/>
        <v>43040</v>
      </c>
      <c r="P58" s="1573"/>
    </row>
    <row r="59" spans="1:29" s="117" customFormat="1" ht="15">
      <c r="A59" s="509"/>
      <c r="B59" s="2634"/>
      <c r="C59" s="1576">
        <v>100</v>
      </c>
      <c r="D59" s="511"/>
      <c r="E59" s="512"/>
      <c r="F59" s="512"/>
      <c r="G59" s="512"/>
      <c r="H59" s="512"/>
      <c r="I59" s="512"/>
      <c r="J59" s="512"/>
      <c r="K59" s="512"/>
      <c r="L59" s="512"/>
      <c r="M59" s="513"/>
      <c r="N59" s="512"/>
      <c r="O59" s="513"/>
      <c r="P59" s="2635"/>
    </row>
    <row r="60" spans="1:29" s="117" customFormat="1" ht="15.75" thickBot="1">
      <c r="A60" s="515" t="s">
        <v>2588</v>
      </c>
      <c r="B60" s="516"/>
      <c r="C60" s="517"/>
      <c r="D60" s="518"/>
      <c r="E60" s="518"/>
      <c r="F60" s="518"/>
      <c r="G60" s="518"/>
      <c r="H60" s="518"/>
      <c r="I60" s="518"/>
      <c r="J60" s="518"/>
      <c r="K60" s="518"/>
      <c r="L60" s="518"/>
      <c r="M60" s="519"/>
      <c r="N60" s="518"/>
      <c r="O60" s="519"/>
      <c r="P60" s="2635"/>
      <c r="Q60" s="504"/>
    </row>
    <row r="61" spans="1:29" s="117" customFormat="1" ht="15">
      <c r="A61" s="521" t="s">
        <v>2589</v>
      </c>
      <c r="B61" s="510"/>
      <c r="C61" s="522" t="s">
        <v>2590</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2591</v>
      </c>
      <c r="B63" s="528" t="s">
        <v>2557</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5"/>
      <c r="O65" s="1155"/>
      <c r="P65" s="263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7"/>
      <c r="Q66" s="504"/>
    </row>
    <row r="67" spans="1:17" ht="15.75" thickTop="1">
      <c r="A67" s="534"/>
      <c r="B67" s="546" t="s">
        <v>2561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60"/>
      <c r="E73" s="560"/>
      <c r="F73" s="560"/>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2100</v>
      </c>
      <c r="C82" s="539" t="s">
        <v>2607</v>
      </c>
      <c r="D82" s="539" t="s">
        <v>2608</v>
      </c>
      <c r="E82" s="539" t="s">
        <v>2609</v>
      </c>
      <c r="F82" s="539" t="s">
        <v>2610</v>
      </c>
      <c r="G82" s="539" t="s">
        <v>2611</v>
      </c>
      <c r="H82" s="539"/>
      <c r="I82" s="539"/>
      <c r="J82" s="539"/>
      <c r="K82" s="539"/>
      <c r="L82" s="539"/>
      <c r="M82" s="1385"/>
      <c r="N82" s="1156"/>
      <c r="O82" s="1156"/>
      <c r="P82" s="263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7"/>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2613</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7"/>
      <c r="Q87" s="504"/>
    </row>
    <row r="88" spans="1:17" s="117" customFormat="1" ht="15.75" thickTop="1">
      <c r="A88" s="579"/>
      <c r="B88" s="538" t="s">
        <v>2614</v>
      </c>
      <c r="C88" s="554"/>
      <c r="D88" s="554"/>
      <c r="E88" s="554"/>
      <c r="F88" s="2642"/>
      <c r="G88" s="554"/>
      <c r="H88" s="554"/>
      <c r="I88" s="554"/>
      <c r="J88" s="554"/>
      <c r="K88" s="554"/>
      <c r="L88" s="554"/>
      <c r="M88" s="581"/>
      <c r="N88" s="1154"/>
      <c r="O88" s="1154"/>
      <c r="P88" s="263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7"/>
      <c r="Q89" s="504"/>
    </row>
    <row r="90" spans="1:17" s="471" customFormat="1" ht="15.75" thickTop="1">
      <c r="A90" s="553"/>
      <c r="B90" s="538">
        <f>B27</f>
        <v>111</v>
      </c>
      <c r="C90" s="554"/>
      <c r="D90" s="554"/>
      <c r="E90" s="554"/>
      <c r="F90" s="554"/>
      <c r="G90" s="554"/>
      <c r="H90" s="555"/>
      <c r="I90" s="555"/>
      <c r="J90" s="555"/>
      <c r="K90" s="555"/>
      <c r="L90" s="556"/>
      <c r="M90" s="557"/>
      <c r="N90" s="1157"/>
      <c r="O90" s="1157"/>
      <c r="P90" s="2638"/>
      <c r="Q90" s="559"/>
    </row>
    <row r="91" spans="1:17" s="471" customFormat="1" ht="15.75" thickBot="1">
      <c r="A91" s="553"/>
      <c r="B91" s="543"/>
      <c r="C91" s="560"/>
      <c r="D91" s="560"/>
      <c r="E91" s="560"/>
      <c r="F91" s="560"/>
      <c r="G91" s="560"/>
      <c r="H91" s="562"/>
      <c r="I91" s="562"/>
      <c r="J91" s="562"/>
      <c r="K91" s="562"/>
      <c r="L91" s="562"/>
      <c r="M91" s="563"/>
      <c r="N91" s="1157"/>
      <c r="O91" s="1157"/>
      <c r="P91" s="2638"/>
      <c r="Q91" s="559"/>
    </row>
    <row r="92" spans="1:17" ht="15.75" thickTop="1">
      <c r="A92" s="534"/>
      <c r="B92" s="538">
        <f>B28</f>
        <v>111</v>
      </c>
      <c r="C92" s="554"/>
      <c r="D92" s="554"/>
      <c r="E92" s="554"/>
      <c r="F92" s="554"/>
      <c r="G92" s="583"/>
      <c r="H92" s="583"/>
      <c r="I92" s="583"/>
      <c r="J92" s="583"/>
      <c r="K92" s="584"/>
      <c r="L92" s="585"/>
      <c r="M92" s="586"/>
      <c r="N92" s="1155"/>
      <c r="O92" s="1155"/>
      <c r="P92" s="2637"/>
      <c r="Q92" s="504"/>
    </row>
    <row r="93" spans="1:17" ht="15.75" thickBot="1">
      <c r="A93" s="534"/>
      <c r="B93" s="543"/>
      <c r="C93" s="560"/>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60"/>
      <c r="E95" s="560"/>
      <c r="F95" s="560"/>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70"/>
      <c r="D97" s="570"/>
      <c r="E97" s="570"/>
      <c r="F97" s="570"/>
      <c r="G97" s="536"/>
      <c r="H97" s="536"/>
      <c r="I97" s="536"/>
      <c r="J97" s="536"/>
      <c r="K97" s="536"/>
      <c r="L97" s="536"/>
      <c r="M97" s="537"/>
      <c r="N97" s="1156"/>
      <c r="O97" s="1156"/>
      <c r="P97" s="2637"/>
      <c r="Q97" s="504"/>
    </row>
    <row r="98" spans="1:17" ht="15.75" thickTop="1">
      <c r="A98" s="534"/>
      <c r="B98" s="546">
        <f>B31</f>
        <v>111</v>
      </c>
      <c r="C98" s="587"/>
      <c r="D98" s="587"/>
      <c r="E98" s="587"/>
      <c r="F98" s="587"/>
      <c r="G98" s="587"/>
      <c r="H98" s="587"/>
      <c r="I98" s="587"/>
      <c r="J98" s="587"/>
      <c r="K98" s="588"/>
      <c r="L98" s="589"/>
      <c r="M98" s="590"/>
      <c r="N98" s="1155"/>
      <c r="O98" s="1155"/>
      <c r="P98" s="2637"/>
      <c r="Q98" s="504"/>
    </row>
    <row r="99" spans="1:17" ht="15.75" thickBot="1">
      <c r="A99" s="2643"/>
      <c r="B99" s="569"/>
      <c r="C99" s="591"/>
      <c r="D99" s="591"/>
      <c r="E99" s="591"/>
      <c r="F99" s="591"/>
      <c r="G99" s="591"/>
      <c r="H99" s="591"/>
      <c r="I99" s="591"/>
      <c r="J99" s="591"/>
      <c r="K99" s="591"/>
      <c r="L99" s="591"/>
      <c r="M99" s="592"/>
      <c r="N99" s="1156"/>
      <c r="O99" s="1156"/>
      <c r="P99" s="2637"/>
      <c r="Q99" s="504"/>
    </row>
    <row r="100" spans="1:17">
      <c r="A100" s="527" t="s">
        <v>2566</v>
      </c>
      <c r="B100" s="528" t="s">
        <v>2615</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7"/>
      <c r="Q101" s="504"/>
    </row>
    <row r="102" spans="1:17" ht="15.75" thickTop="1">
      <c r="A102" s="534"/>
      <c r="B102" s="538" t="s">
        <v>2616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8"/>
      <c r="Q104" s="559"/>
    </row>
    <row r="105" spans="1:17" ht="15" thickTop="1">
      <c r="A105" s="599"/>
      <c r="B105" s="538" t="s">
        <v>2617</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7"/>
      <c r="Q106" s="504"/>
    </row>
    <row r="107" spans="1:17" ht="15" thickTop="1">
      <c r="A107" s="599"/>
      <c r="B107" s="538" t="s">
        <v>2618</v>
      </c>
      <c r="C107" s="583"/>
      <c r="D107" s="583"/>
      <c r="E107" s="583"/>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7"/>
      <c r="Q108" s="504"/>
    </row>
    <row r="109" spans="1:17" ht="15" thickTop="1">
      <c r="A109" s="599"/>
      <c r="B109" s="538" t="s">
        <v>2619</v>
      </c>
      <c r="C109" s="554"/>
      <c r="D109" s="554"/>
      <c r="E109" s="554"/>
      <c r="F109" s="583"/>
      <c r="G109" s="583"/>
      <c r="H109" s="583"/>
      <c r="I109" s="583"/>
      <c r="J109" s="583"/>
      <c r="K109" s="584"/>
      <c r="L109" s="585"/>
      <c r="M109" s="586"/>
      <c r="N109" s="1155"/>
      <c r="O109" s="1155"/>
      <c r="P109" s="263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7"/>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8"/>
      <c r="Q113" s="559"/>
    </row>
    <row r="114" spans="1:17" ht="15" thickTop="1">
      <c r="A114" s="599"/>
      <c r="B114" s="538" t="s">
        <v>2620</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7"/>
      <c r="Q115" s="504"/>
    </row>
    <row r="116" spans="1:17" ht="15" thickTop="1">
      <c r="A116" s="599"/>
      <c r="B116" s="538" t="s">
        <v>2621</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2622</v>
      </c>
      <c r="C118" s="583"/>
      <c r="D118" s="583"/>
      <c r="E118" s="583"/>
      <c r="F118" s="583"/>
      <c r="G118" s="583"/>
      <c r="H118" s="583"/>
      <c r="I118" s="583"/>
      <c r="J118" s="583"/>
      <c r="K118" s="584"/>
      <c r="L118" s="585"/>
      <c r="M118" s="586"/>
      <c r="N118" s="1155"/>
      <c r="O118" s="1155"/>
      <c r="P118" s="263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7"/>
      <c r="Q119" s="504"/>
    </row>
    <row r="120" spans="1:17" s="471" customFormat="1" ht="28.5" thickTop="1">
      <c r="A120" s="593"/>
      <c r="B120" s="538" t="s">
        <v>2577</v>
      </c>
      <c r="C120" s="554"/>
      <c r="D120" s="554"/>
      <c r="E120" s="554"/>
      <c r="F120" s="554"/>
      <c r="G120" s="554"/>
      <c r="H120" s="554"/>
      <c r="I120" s="554"/>
      <c r="J120" s="554"/>
      <c r="K120" s="554"/>
      <c r="L120" s="580"/>
      <c r="M120" s="581"/>
      <c r="N120" s="1157"/>
      <c r="O120" s="1157"/>
      <c r="P120" s="263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8"/>
      <c r="Q121" s="559"/>
    </row>
    <row r="122" spans="1:17" ht="15" thickTop="1">
      <c r="A122" s="599"/>
      <c r="B122" s="538" t="s">
        <v>2623</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7"/>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60"/>
      <c r="E129" s="560"/>
      <c r="F129" s="560"/>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row r="136" spans="1:17" ht="15" thickBot="1">
      <c r="B136" s="2644" t="s">
        <v>2625</v>
      </c>
    </row>
    <row r="137" spans="1:17" ht="15">
      <c r="B137" s="2645" t="s">
        <v>2626</v>
      </c>
      <c r="C137" s="2646"/>
      <c r="D137" s="2646"/>
      <c r="E137" s="2646"/>
      <c r="F137" s="2646"/>
      <c r="G137" s="2647"/>
      <c r="H137" s="2648"/>
      <c r="I137" s="2649" t="s">
        <v>2627</v>
      </c>
      <c r="J137" s="2646"/>
      <c r="K137" s="2650"/>
    </row>
    <row r="138" spans="1:17" ht="15">
      <c r="B138" s="2651"/>
      <c r="C138" s="146" t="s">
        <v>2628</v>
      </c>
      <c r="D138" s="146" t="s">
        <v>2629</v>
      </c>
      <c r="E138" s="2652" t="s">
        <v>2630</v>
      </c>
      <c r="F138" s="2653" t="s">
        <v>2631</v>
      </c>
      <c r="G138" s="146" t="s">
        <v>2629</v>
      </c>
      <c r="H138" s="147" t="s">
        <v>2630</v>
      </c>
      <c r="I138" s="2654"/>
      <c r="J138" s="146" t="s">
        <v>2632</v>
      </c>
      <c r="K138" s="147" t="s">
        <v>2633</v>
      </c>
    </row>
    <row r="139" spans="1:17" ht="15">
      <c r="B139" s="1087">
        <v>6</v>
      </c>
      <c r="C139" s="1088">
        <v>96</v>
      </c>
      <c r="D139" s="2655" t="s">
        <v>2634</v>
      </c>
      <c r="E139" s="1089">
        <v>100</v>
      </c>
      <c r="F139" s="1090">
        <v>102.5</v>
      </c>
      <c r="G139" s="2655" t="s">
        <v>2634</v>
      </c>
      <c r="H139" s="1091">
        <v>105</v>
      </c>
      <c r="I139" s="2656" t="s">
        <v>2635</v>
      </c>
      <c r="J139" s="1088">
        <v>20</v>
      </c>
      <c r="K139" s="1092">
        <f>C145/(J139-2)</f>
        <v>4.0555555555555553E-3</v>
      </c>
    </row>
    <row r="140" spans="1:17" ht="15">
      <c r="B140" s="1093">
        <v>5</v>
      </c>
      <c r="C140" s="1094">
        <v>100</v>
      </c>
      <c r="D140" s="1094"/>
      <c r="E140" s="1095"/>
      <c r="F140" s="1096">
        <v>102</v>
      </c>
      <c r="G140" s="1094"/>
      <c r="H140" s="1097"/>
      <c r="I140" s="2657" t="s">
        <v>2636</v>
      </c>
      <c r="J140" s="315">
        <f>ROUNDUP((J139-1)/2,0)</f>
        <v>10</v>
      </c>
      <c r="K140" s="1098">
        <v>100</v>
      </c>
    </row>
    <row r="141" spans="1:17" ht="15">
      <c r="B141" s="1093">
        <v>4</v>
      </c>
      <c r="C141" s="1094">
        <v>102</v>
      </c>
      <c r="D141" s="1094"/>
      <c r="E141" s="1095"/>
      <c r="F141" s="1096">
        <v>101.5</v>
      </c>
      <c r="G141" s="1094"/>
      <c r="H141" s="1097"/>
      <c r="I141" s="2657" t="s">
        <v>2637</v>
      </c>
      <c r="J141" s="315">
        <v>1</v>
      </c>
      <c r="K141" s="1099">
        <f>ROUND(100+(J141-J140)*K139*100,1)</f>
        <v>96.4</v>
      </c>
    </row>
    <row r="142" spans="1:17" ht="15">
      <c r="B142" s="1093">
        <v>3</v>
      </c>
      <c r="C142" s="1094">
        <v>103</v>
      </c>
      <c r="D142" s="1094"/>
      <c r="E142" s="1095"/>
      <c r="F142" s="1096">
        <v>101</v>
      </c>
      <c r="G142" s="1094"/>
      <c r="H142" s="1097"/>
      <c r="I142" s="2657" t="s">
        <v>2638</v>
      </c>
      <c r="J142" s="315">
        <f>J139</f>
        <v>20</v>
      </c>
      <c r="K142" s="1100">
        <v>95</v>
      </c>
    </row>
    <row r="143" spans="1:17" ht="15">
      <c r="B143" s="1093">
        <v>2</v>
      </c>
      <c r="C143" s="1094">
        <v>100</v>
      </c>
      <c r="D143" s="1094"/>
      <c r="E143" s="1095"/>
      <c r="F143" s="1096">
        <v>100.5</v>
      </c>
      <c r="G143" s="1094"/>
      <c r="H143" s="1097"/>
      <c r="I143" s="2657" t="s">
        <v>2639</v>
      </c>
      <c r="J143" s="1094">
        <v>15</v>
      </c>
      <c r="K143" s="1099">
        <f>ROUND(100+(J143-J140)*K139*100,1)</f>
        <v>102</v>
      </c>
    </row>
    <row r="144" spans="1:17" ht="15">
      <c r="B144" s="1093">
        <v>1</v>
      </c>
      <c r="C144" s="1094">
        <v>98</v>
      </c>
      <c r="D144" s="2658" t="s">
        <v>2640</v>
      </c>
      <c r="E144" s="1095">
        <v>102</v>
      </c>
      <c r="F144" s="1101">
        <v>100</v>
      </c>
      <c r="G144" s="2658" t="s">
        <v>2640</v>
      </c>
      <c r="H144" s="1097">
        <v>105</v>
      </c>
      <c r="I144" s="2657" t="s">
        <v>2639</v>
      </c>
      <c r="J144" s="1094">
        <v>18</v>
      </c>
      <c r="K144" s="1099">
        <f>ROUND(100+(J144-J140)*K139*100,1)</f>
        <v>103.2</v>
      </c>
    </row>
    <row r="145" spans="2:11" ht="15.75" thickBot="1">
      <c r="B145" s="2659" t="s">
        <v>2641</v>
      </c>
      <c r="C145" s="1102">
        <f>ROUND(MAX(C139:C144)/MIN(C139:C144)-1,3)</f>
        <v>7.2999999999999995E-2</v>
      </c>
      <c r="D145" s="1103"/>
      <c r="E145" s="1103"/>
      <c r="F145" s="2660" t="s">
        <v>2642</v>
      </c>
      <c r="G145" s="2661"/>
      <c r="H145" s="2662"/>
      <c r="I145" s="2663" t="s">
        <v>2639</v>
      </c>
      <c r="J145" s="1104">
        <v>8</v>
      </c>
      <c r="K145" s="1105">
        <f>ROUND(100+(J145-J140)*K139*100,1)</f>
        <v>99.2</v>
      </c>
    </row>
    <row r="147" spans="2:11">
      <c r="B147" s="2644" t="s">
        <v>2643</v>
      </c>
    </row>
    <row r="148" spans="2:11">
      <c r="B148" s="2644" t="s">
        <v>2644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2531</v>
      </c>
      <c r="B1" s="2589" t="s">
        <v>2645</v>
      </c>
      <c r="C1" s="1637" t="s">
        <v>2533</v>
      </c>
      <c r="D1" s="1624"/>
      <c r="E1" s="2664"/>
      <c r="F1" s="2591"/>
      <c r="G1" s="1634" t="s">
        <v>2646</v>
      </c>
      <c r="H1" s="1633"/>
      <c r="I1" s="1633"/>
      <c r="J1" s="1633"/>
      <c r="K1" s="1635"/>
      <c r="L1" s="1636"/>
      <c r="M1" s="1637"/>
      <c r="N1" s="1637"/>
      <c r="O1" s="1637"/>
      <c r="P1" s="2665"/>
      <c r="Q1" s="2666"/>
      <c r="R1" s="2666"/>
      <c r="S1" s="2666"/>
      <c r="T1" s="2666"/>
      <c r="U1" s="2666"/>
      <c r="V1" s="2666"/>
      <c r="W1" s="2666"/>
      <c r="X1" s="2666"/>
      <c r="Y1" s="2666"/>
      <c r="Z1" s="2666"/>
      <c r="AA1" s="2666"/>
      <c r="AB1" s="2666"/>
      <c r="AC1" s="2667"/>
    </row>
    <row r="2" spans="1:29" s="398" customFormat="1" ht="28.5" customHeight="1" thickTop="1">
      <c r="A2" s="1620" t="s">
        <v>2330</v>
      </c>
      <c r="B2" s="1421" t="e">
        <f ca="1">IF(C2="——",ROUND(C49*D3/10000,0),ROUND(C49*D3/10000,0)-D2)</f>
        <v>#DIV/0!</v>
      </c>
      <c r="C2" s="2593"/>
      <c r="D2" s="1368" t="e">
        <f ca="1">SUMIF(INDIRECT("'"&amp;F2&amp;"'"&amp;"!A:A"),"承租人权益价值",INDIRECT("'"&amp;F2&amp;"'"&amp;"!c:c"))</f>
        <v>#REF!</v>
      </c>
      <c r="E2" s="2594" t="s">
        <v>2331</v>
      </c>
      <c r="F2" s="2595"/>
      <c r="G2" s="1128"/>
      <c r="H2" s="1128"/>
      <c r="I2" s="1128"/>
      <c r="J2" s="1128"/>
      <c r="K2" s="1128"/>
      <c r="L2" s="1131"/>
      <c r="M2" s="1132"/>
      <c r="N2" s="1132"/>
      <c r="O2" s="1132"/>
      <c r="P2" s="2668"/>
      <c r="Q2" s="1132"/>
      <c r="R2" s="1132"/>
      <c r="S2" s="1132"/>
      <c r="T2" s="1132"/>
      <c r="U2" s="1132"/>
      <c r="V2" s="1132"/>
      <c r="W2" s="1132"/>
      <c r="X2" s="1132"/>
      <c r="Y2" s="1132"/>
      <c r="Z2" s="1132"/>
      <c r="AA2" s="1132"/>
      <c r="AB2" s="1132"/>
      <c r="AC2" s="2669"/>
    </row>
    <row r="3" spans="1:29" s="398" customFormat="1" ht="28.5" customHeight="1" thickBot="1">
      <c r="A3" s="247" t="s">
        <v>2332</v>
      </c>
      <c r="B3" s="609" t="e">
        <f ca="1">IF(C2="——",C49,ROUND(B2*10000/D3,0))</f>
        <v>#DIV/0!</v>
      </c>
      <c r="C3" s="400" t="s">
        <v>2647</v>
      </c>
      <c r="D3" s="399">
        <f>IF(D1="",'数据-汇总表'!E3,SUMIF('数据-汇总表'!$C19:$C33,D1,'数据-汇总表'!$E19:$E33))</f>
        <v>57947.42</v>
      </c>
      <c r="E3" s="2670"/>
      <c r="F3" s="1129"/>
      <c r="G3" s="1128"/>
      <c r="H3" s="1128"/>
      <c r="I3" s="1128"/>
      <c r="J3" s="1128"/>
      <c r="K3" s="1130"/>
      <c r="L3" s="1131"/>
      <c r="M3" s="1132"/>
      <c r="N3" s="1132"/>
      <c r="O3" s="1132"/>
      <c r="P3" s="2668"/>
      <c r="Q3" s="1132"/>
      <c r="R3" s="1132"/>
      <c r="S3" s="1132"/>
      <c r="T3" s="1132"/>
      <c r="U3" s="1132"/>
      <c r="V3" s="1132"/>
      <c r="W3" s="1132"/>
      <c r="X3" s="1132"/>
      <c r="Y3" s="1132"/>
      <c r="Z3" s="1132"/>
      <c r="AA3" s="1132"/>
      <c r="AB3" s="1132"/>
      <c r="AC3" s="2670"/>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97" t="s">
        <v>2651</v>
      </c>
      <c r="AC4" s="3167" t="s">
        <v>2652</v>
      </c>
    </row>
    <row r="5" spans="1:29" ht="15">
      <c r="A5" s="404"/>
      <c r="B5" s="405"/>
      <c r="C5" s="3178" t="s">
        <v>2545</v>
      </c>
      <c r="D5" s="3179"/>
      <c r="E5" s="3176" t="s">
        <v>2546</v>
      </c>
      <c r="F5" s="3177"/>
      <c r="G5" s="3178" t="s">
        <v>2547</v>
      </c>
      <c r="H5" s="3179"/>
      <c r="I5" s="3178" t="s">
        <v>2548</v>
      </c>
      <c r="J5" s="3179"/>
      <c r="K5" s="610"/>
      <c r="L5" s="1133"/>
      <c r="M5" s="1134"/>
      <c r="N5" s="1134"/>
      <c r="O5" s="1134"/>
      <c r="P5" s="3191"/>
      <c r="Q5" s="3192"/>
      <c r="R5" s="3174"/>
      <c r="S5" s="3175"/>
      <c r="T5" s="3174"/>
      <c r="U5" s="3175"/>
      <c r="V5" s="3197"/>
      <c r="W5" s="3197"/>
      <c r="X5" s="1816"/>
      <c r="Y5" s="3174"/>
      <c r="Z5" s="3175"/>
      <c r="AA5" s="3168"/>
      <c r="AB5" s="3197"/>
      <c r="AC5" s="3168"/>
    </row>
    <row r="6" spans="1:29" ht="15.75" thickBot="1">
      <c r="A6" s="406"/>
      <c r="B6" s="407"/>
      <c r="C6" s="3180" t="s">
        <v>2549</v>
      </c>
      <c r="D6" s="3181"/>
      <c r="E6" s="3182" t="s">
        <v>2549</v>
      </c>
      <c r="F6" s="3183"/>
      <c r="G6" s="3180" t="s">
        <v>2549</v>
      </c>
      <c r="H6" s="3181"/>
      <c r="I6" s="3180" t="s">
        <v>2549</v>
      </c>
      <c r="J6" s="3181"/>
      <c r="K6" s="610" t="s">
        <v>2550</v>
      </c>
      <c r="L6" s="1133"/>
      <c r="M6" s="1134"/>
      <c r="N6" s="1134"/>
      <c r="O6" s="1134"/>
      <c r="P6" s="3193"/>
      <c r="Q6" s="3194"/>
      <c r="R6" s="3174"/>
      <c r="S6" s="3175"/>
      <c r="T6" s="3195"/>
      <c r="U6" s="3196"/>
      <c r="V6" s="3197"/>
      <c r="W6" s="3197"/>
      <c r="X6" s="1816"/>
      <c r="Y6" s="3195"/>
      <c r="Z6" s="3196"/>
      <c r="AA6" s="3169"/>
      <c r="AB6" s="3197"/>
      <c r="AC6" s="3169"/>
    </row>
    <row r="7" spans="1:29" s="117" customFormat="1" ht="15.75" thickBot="1">
      <c r="A7" s="408" t="s">
        <v>2551</v>
      </c>
      <c r="B7" s="409"/>
      <c r="C7" s="410">
        <f>'数据-取费表'!B2</f>
        <v>43423</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70" t="s">
        <v>2552</v>
      </c>
      <c r="Q7" s="3198"/>
      <c r="R7" s="770" t="s">
        <v>17</v>
      </c>
      <c r="S7" s="771">
        <f t="shared" ref="S7:S15" si="0">F7</f>
        <v>0</v>
      </c>
      <c r="T7" s="770" t="s">
        <v>17</v>
      </c>
      <c r="U7" s="771">
        <f t="shared" ref="U7:U15" si="1">H7</f>
        <v>0</v>
      </c>
      <c r="V7" s="770" t="s">
        <v>17</v>
      </c>
      <c r="W7" s="771">
        <f t="shared" ref="W7:W15" si="2">J7</f>
        <v>0</v>
      </c>
      <c r="X7" s="772"/>
      <c r="Y7" s="3170" t="s">
        <v>2552</v>
      </c>
      <c r="Z7" s="3171"/>
      <c r="AA7" s="773" t="e">
        <f>D7/F7</f>
        <v>#DIV/0!</v>
      </c>
      <c r="AB7" s="773" t="e">
        <f>D7/H7</f>
        <v>#DIV/0!</v>
      </c>
      <c r="AC7" s="773" t="e">
        <f>D7/J7</f>
        <v>#DIV/0!</v>
      </c>
    </row>
    <row r="8" spans="1:29" s="117" customFormat="1" ht="15.75" thickBot="1">
      <c r="A8" s="408" t="s">
        <v>2553</v>
      </c>
      <c r="B8" s="409"/>
      <c r="C8" s="414" t="s">
        <v>2655</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70" t="s">
        <v>2555</v>
      </c>
      <c r="Q8" s="3171"/>
      <c r="R8" s="770" t="s">
        <v>17</v>
      </c>
      <c r="S8" s="771">
        <f t="shared" si="0"/>
        <v>0</v>
      </c>
      <c r="T8" s="770" t="s">
        <v>17</v>
      </c>
      <c r="U8" s="771">
        <f t="shared" si="1"/>
        <v>0</v>
      </c>
      <c r="V8" s="770" t="s">
        <v>17</v>
      </c>
      <c r="W8" s="771">
        <f t="shared" si="2"/>
        <v>0</v>
      </c>
      <c r="X8" s="772"/>
      <c r="Y8" s="3170" t="s">
        <v>2555</v>
      </c>
      <c r="Z8" s="3171"/>
      <c r="AA8" s="773" t="e">
        <f t="shared" ref="AA8:AA46" si="3">D8/F8</f>
        <v>#DIV/0!</v>
      </c>
      <c r="AB8" s="773" t="e">
        <f t="shared" ref="AB8:AB46" si="4">D8/H8</f>
        <v>#DIV/0!</v>
      </c>
      <c r="AC8" s="773" t="e">
        <f t="shared" ref="AC8:AC46" si="5">D8/J8</f>
        <v>#DIV/0!</v>
      </c>
    </row>
    <row r="9" spans="1:29" s="117" customFormat="1">
      <c r="A9" s="415" t="s">
        <v>2556</v>
      </c>
      <c r="B9" s="71" t="s">
        <v>2557</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84"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773">
        <f t="shared" si="5"/>
        <v>1</v>
      </c>
    </row>
    <row r="10" spans="1:29" s="427" customFormat="1" ht="27">
      <c r="A10" s="421"/>
      <c r="B10" s="422" t="s">
        <v>2560</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17"/>
      <c r="Z10" s="55" t="str">
        <f t="shared" si="7"/>
        <v>土地使用年限（年）</v>
      </c>
      <c r="AA10" s="773">
        <f t="shared" si="3"/>
        <v>1</v>
      </c>
      <c r="AB10" s="773">
        <f t="shared" si="4"/>
        <v>1</v>
      </c>
      <c r="AC10" s="773">
        <f t="shared" si="5"/>
        <v>1</v>
      </c>
    </row>
    <row r="11" spans="1:29" ht="15">
      <c r="A11" s="428"/>
      <c r="B11" s="422" t="s">
        <v>2561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17"/>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17"/>
      <c r="Z14" s="55">
        <f t="shared" si="7"/>
        <v>111</v>
      </c>
      <c r="AA14" s="773">
        <f t="shared" si="3"/>
        <v>1</v>
      </c>
      <c r="AB14" s="773">
        <f t="shared" si="4"/>
        <v>1</v>
      </c>
      <c r="AC14" s="773">
        <f t="shared" si="5"/>
        <v>1</v>
      </c>
    </row>
    <row r="15" spans="1:29" ht="71.25">
      <c r="A15" s="440" t="s">
        <v>2562</v>
      </c>
      <c r="B15" s="69" t="s">
        <v>2656</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11" t="s">
        <v>2563</v>
      </c>
      <c r="Q15" s="1813" t="str">
        <f t="shared" si="6"/>
        <v>商业繁华度</v>
      </c>
      <c r="R15" s="774" t="s">
        <v>17</v>
      </c>
      <c r="S15" s="775">
        <f t="shared" si="0"/>
        <v>100</v>
      </c>
      <c r="T15" s="774" t="s">
        <v>17</v>
      </c>
      <c r="U15" s="775">
        <f t="shared" si="1"/>
        <v>100</v>
      </c>
      <c r="V15" s="774" t="s">
        <v>17</v>
      </c>
      <c r="W15" s="775">
        <f t="shared" si="2"/>
        <v>100</v>
      </c>
      <c r="X15" s="1816"/>
      <c r="Y15" s="3204" t="s">
        <v>2563</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12"/>
      <c r="Q16" s="1813"/>
      <c r="R16" s="774"/>
      <c r="S16" s="775"/>
      <c r="T16" s="774"/>
      <c r="U16" s="775"/>
      <c r="V16" s="774"/>
      <c r="W16" s="775"/>
      <c r="X16" s="1816"/>
      <c r="Y16" s="3205"/>
      <c r="Z16" s="1817"/>
      <c r="AA16" s="1814">
        <v>1</v>
      </c>
      <c r="AB16" s="1814">
        <v>1</v>
      </c>
      <c r="AC16" s="1814">
        <v>1</v>
      </c>
    </row>
    <row r="17" spans="1:29" ht="85.5">
      <c r="A17" s="428"/>
      <c r="B17" s="451" t="s">
        <v>2099</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12"/>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212"/>
      <c r="Q18" s="1813"/>
      <c r="R18" s="774"/>
      <c r="S18" s="775"/>
      <c r="T18" s="774"/>
      <c r="U18" s="775"/>
      <c r="V18" s="774"/>
      <c r="W18" s="775"/>
      <c r="X18" s="1816"/>
      <c r="Y18" s="3205"/>
      <c r="Z18" s="1817"/>
      <c r="AA18" s="1814">
        <v>1</v>
      </c>
      <c r="AB18" s="1814">
        <v>1</v>
      </c>
      <c r="AC18" s="1814">
        <v>1</v>
      </c>
    </row>
    <row r="19" spans="1:29" ht="42.75">
      <c r="A19" s="428"/>
      <c r="B19" s="451" t="s">
        <v>2657</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12"/>
      <c r="Q19" s="1813" t="str">
        <f>B19</f>
        <v>公共配套设施</v>
      </c>
      <c r="R19" s="774" t="s">
        <v>17</v>
      </c>
      <c r="S19" s="775">
        <f>F19</f>
        <v>100</v>
      </c>
      <c r="T19" s="774" t="s">
        <v>17</v>
      </c>
      <c r="U19" s="775">
        <f>H19</f>
        <v>100</v>
      </c>
      <c r="V19" s="774" t="s">
        <v>17</v>
      </c>
      <c r="W19" s="775">
        <f>J19</f>
        <v>100</v>
      </c>
      <c r="X19" s="1816"/>
      <c r="Y19" s="3205"/>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212"/>
      <c r="Q20" s="1813"/>
      <c r="R20" s="774"/>
      <c r="S20" s="775"/>
      <c r="T20" s="774"/>
      <c r="U20" s="775"/>
      <c r="V20" s="774"/>
      <c r="W20" s="775"/>
      <c r="X20" s="1816"/>
      <c r="Y20" s="3205"/>
      <c r="Z20" s="1817"/>
      <c r="AA20" s="1814">
        <v>1</v>
      </c>
      <c r="AB20" s="1814">
        <v>1</v>
      </c>
      <c r="AC20" s="1814">
        <v>1</v>
      </c>
    </row>
    <row r="21" spans="1:29" ht="28.5">
      <c r="A21" s="428"/>
      <c r="B21" s="1387" t="s">
        <v>2658</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212"/>
      <c r="Q22" s="1813"/>
      <c r="R22" s="774"/>
      <c r="S22" s="775"/>
      <c r="T22" s="774"/>
      <c r="U22" s="775"/>
      <c r="V22" s="774"/>
      <c r="W22" s="775"/>
      <c r="X22" s="1816"/>
      <c r="Y22" s="3205"/>
      <c r="Z22" s="1817"/>
      <c r="AA22" s="1814">
        <v>1</v>
      </c>
      <c r="AB22" s="1814">
        <v>1</v>
      </c>
      <c r="AC22" s="1814">
        <v>1</v>
      </c>
    </row>
    <row r="23" spans="1:29" ht="57">
      <c r="A23" s="428"/>
      <c r="B23" s="451" t="s">
        <v>2104</v>
      </c>
      <c r="C23" s="267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12"/>
      <c r="Q23" s="1813" t="str">
        <f>B23</f>
        <v>自然及人文环境</v>
      </c>
      <c r="R23" s="774" t="s">
        <v>17</v>
      </c>
      <c r="S23" s="775">
        <f>F23</f>
        <v>100</v>
      </c>
      <c r="T23" s="774" t="s">
        <v>17</v>
      </c>
      <c r="U23" s="775">
        <f>H23</f>
        <v>100</v>
      </c>
      <c r="V23" s="774" t="s">
        <v>17</v>
      </c>
      <c r="W23" s="775">
        <f>J23</f>
        <v>100</v>
      </c>
      <c r="X23" s="1816"/>
      <c r="Y23" s="3205"/>
      <c r="Z23" s="1817" t="str">
        <f>Q23</f>
        <v>自然及人文环境</v>
      </c>
      <c r="AA23" s="1814">
        <f t="shared" si="3"/>
        <v>1</v>
      </c>
      <c r="AB23" s="1814">
        <f t="shared" si="4"/>
        <v>1</v>
      </c>
      <c r="AC23" s="1814">
        <f t="shared" si="5"/>
        <v>1</v>
      </c>
    </row>
    <row r="24" spans="1:29" ht="15">
      <c r="A24" s="428"/>
      <c r="B24" s="456"/>
      <c r="C24" s="447"/>
      <c r="D24" s="448"/>
      <c r="E24" s="2612"/>
      <c r="F24" s="449"/>
      <c r="G24" s="2611"/>
      <c r="H24" s="448"/>
      <c r="I24" s="2612"/>
      <c r="J24" s="448"/>
      <c r="K24" s="615"/>
      <c r="L24" s="1143"/>
      <c r="M24" s="1134"/>
      <c r="N24" s="1134"/>
      <c r="O24" s="1134"/>
      <c r="P24" s="3212"/>
      <c r="Q24" s="1813"/>
      <c r="R24" s="774"/>
      <c r="S24" s="775"/>
      <c r="T24" s="774"/>
      <c r="U24" s="775"/>
      <c r="V24" s="774"/>
      <c r="W24" s="775"/>
      <c r="X24" s="1816"/>
      <c r="Y24" s="3205"/>
      <c r="Z24" s="1817"/>
      <c r="AA24" s="1814">
        <v>1</v>
      </c>
      <c r="AB24" s="1814">
        <v>1</v>
      </c>
      <c r="AC24" s="1814">
        <v>1</v>
      </c>
    </row>
    <row r="25" spans="1:29" ht="15">
      <c r="A25" s="428"/>
      <c r="B25" s="422" t="s">
        <v>2659</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12"/>
      <c r="Q25" s="1813" t="str">
        <f t="shared" ref="Q25:Q46" si="11">B25</f>
        <v>临街状况</v>
      </c>
      <c r="R25" s="774" t="s">
        <v>17</v>
      </c>
      <c r="S25" s="775">
        <f>F25</f>
        <v>100</v>
      </c>
      <c r="T25" s="774" t="s">
        <v>17</v>
      </c>
      <c r="U25" s="775">
        <f>H25</f>
        <v>100</v>
      </c>
      <c r="V25" s="774" t="s">
        <v>17</v>
      </c>
      <c r="W25" s="775">
        <f>J25</f>
        <v>100</v>
      </c>
      <c r="X25" s="1816"/>
      <c r="Y25" s="3205"/>
      <c r="Z25" s="1817" t="str">
        <f>Q25</f>
        <v>临街状况</v>
      </c>
      <c r="AA25" s="1814">
        <f t="shared" si="3"/>
        <v>1</v>
      </c>
      <c r="AB25" s="1814">
        <f t="shared" si="4"/>
        <v>1</v>
      </c>
      <c r="AC25" s="1814">
        <f t="shared" si="5"/>
        <v>1</v>
      </c>
    </row>
    <row r="26" spans="1:29" ht="15">
      <c r="A26" s="428"/>
      <c r="B26" s="1389" t="s">
        <v>2660</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12"/>
      <c r="Q26" s="1813" t="str">
        <f t="shared" si="11"/>
        <v>平面位置/可视性</v>
      </c>
      <c r="R26" s="774" t="s">
        <v>17</v>
      </c>
      <c r="S26" s="775">
        <f>F26</f>
        <v>100</v>
      </c>
      <c r="T26" s="774" t="s">
        <v>17</v>
      </c>
      <c r="U26" s="775">
        <f>H26</f>
        <v>100</v>
      </c>
      <c r="V26" s="774" t="s">
        <v>17</v>
      </c>
      <c r="W26" s="775">
        <f>J26</f>
        <v>100</v>
      </c>
      <c r="X26" s="1816"/>
      <c r="Y26" s="3205"/>
      <c r="Z26" s="1817" t="str">
        <f>Q26</f>
        <v>平面位置/可视性</v>
      </c>
      <c r="AA26" s="1814">
        <f t="shared" si="3"/>
        <v>1</v>
      </c>
      <c r="AB26" s="1814">
        <f t="shared" si="4"/>
        <v>1</v>
      </c>
      <c r="AC26" s="1814">
        <f t="shared" si="5"/>
        <v>1</v>
      </c>
    </row>
    <row r="27" spans="1:29" s="117" customFormat="1" ht="15">
      <c r="A27" s="431"/>
      <c r="B27" s="451" t="s">
        <v>2661</v>
      </c>
      <c r="C27" s="2672"/>
      <c r="D27" s="462">
        <v>100</v>
      </c>
      <c r="E27" s="2672"/>
      <c r="F27" s="464">
        <f>SUMIF(90:90,E27,91:91)-SUMIF(90:90,C27,91:91)+100</f>
        <v>100</v>
      </c>
      <c r="G27" s="2672"/>
      <c r="H27" s="462">
        <f>SUMIF(90:90,G27,91:91)-SUMIF(90:90,C27,91:91)+100</f>
        <v>100</v>
      </c>
      <c r="I27" s="2672"/>
      <c r="J27" s="462">
        <f>SUMIF(90:90,I27,91:91)-SUMIF(90:90,C27,91:91)+100</f>
        <v>100</v>
      </c>
      <c r="K27" s="612"/>
      <c r="L27" s="1135"/>
      <c r="M27" s="1136"/>
      <c r="N27" s="1136"/>
      <c r="O27" s="1136"/>
      <c r="P27" s="3212"/>
      <c r="Q27" s="1798" t="str">
        <f t="shared" si="11"/>
        <v>人流量</v>
      </c>
      <c r="R27" s="770" t="s">
        <v>17</v>
      </c>
      <c r="S27" s="771">
        <f>F27</f>
        <v>100</v>
      </c>
      <c r="T27" s="770" t="s">
        <v>17</v>
      </c>
      <c r="U27" s="771">
        <f>H27</f>
        <v>100</v>
      </c>
      <c r="V27" s="770" t="s">
        <v>17</v>
      </c>
      <c r="W27" s="771">
        <f>J27</f>
        <v>100</v>
      </c>
      <c r="X27" s="772"/>
      <c r="Y27" s="3205"/>
      <c r="Z27" s="55" t="str">
        <f>Q27</f>
        <v>人流量</v>
      </c>
      <c r="AA27" s="1814">
        <f>D27/F27</f>
        <v>1</v>
      </c>
      <c r="AB27" s="1814">
        <f>D27/H27</f>
        <v>1</v>
      </c>
      <c r="AC27" s="1814">
        <f>D27/J27</f>
        <v>1</v>
      </c>
    </row>
    <row r="28" spans="1:29" ht="15">
      <c r="A28" s="428"/>
      <c r="B28" s="422" t="s">
        <v>2662</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12"/>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05"/>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12"/>
      <c r="Q29" s="1813">
        <f t="shared" si="11"/>
        <v>111</v>
      </c>
      <c r="R29" s="774" t="s">
        <v>17</v>
      </c>
      <c r="S29" s="775">
        <f t="shared" si="12"/>
        <v>100</v>
      </c>
      <c r="T29" s="774" t="s">
        <v>17</v>
      </c>
      <c r="U29" s="775">
        <f t="shared" si="13"/>
        <v>100</v>
      </c>
      <c r="V29" s="774" t="s">
        <v>17</v>
      </c>
      <c r="W29" s="775">
        <f t="shared" si="14"/>
        <v>100</v>
      </c>
      <c r="X29" s="1816"/>
      <c r="Y29" s="3205"/>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12"/>
      <c r="Q30" s="1813">
        <f t="shared" si="11"/>
        <v>111</v>
      </c>
      <c r="R30" s="774" t="s">
        <v>17</v>
      </c>
      <c r="S30" s="775">
        <f t="shared" si="12"/>
        <v>100</v>
      </c>
      <c r="T30" s="774" t="s">
        <v>17</v>
      </c>
      <c r="U30" s="775">
        <f t="shared" si="13"/>
        <v>100</v>
      </c>
      <c r="V30" s="774" t="s">
        <v>17</v>
      </c>
      <c r="W30" s="775">
        <f t="shared" si="14"/>
        <v>100</v>
      </c>
      <c r="X30" s="1816"/>
      <c r="Y30" s="3205"/>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12"/>
      <c r="Q31" s="1813">
        <f t="shared" si="11"/>
        <v>111</v>
      </c>
      <c r="R31" s="774" t="s">
        <v>17</v>
      </c>
      <c r="S31" s="775">
        <f t="shared" si="12"/>
        <v>100</v>
      </c>
      <c r="T31" s="774" t="s">
        <v>17</v>
      </c>
      <c r="U31" s="775">
        <f t="shared" si="13"/>
        <v>100</v>
      </c>
      <c r="V31" s="774" t="s">
        <v>17</v>
      </c>
      <c r="W31" s="775">
        <f t="shared" si="14"/>
        <v>100</v>
      </c>
      <c r="X31" s="1816"/>
      <c r="Y31" s="3205"/>
      <c r="Z31" s="1817">
        <f t="shared" si="15"/>
        <v>111</v>
      </c>
      <c r="AA31" s="1814">
        <f t="shared" si="3"/>
        <v>1</v>
      </c>
      <c r="AB31" s="1814">
        <f t="shared" si="4"/>
        <v>1</v>
      </c>
      <c r="AC31" s="1814">
        <f t="shared" si="5"/>
        <v>1</v>
      </c>
    </row>
    <row r="32" spans="1:29" ht="15">
      <c r="A32" s="440" t="s">
        <v>2566</v>
      </c>
      <c r="B32" s="71" t="s">
        <v>2663</v>
      </c>
      <c r="C32" s="2624"/>
      <c r="D32" s="467">
        <v>100</v>
      </c>
      <c r="E32" s="2624"/>
      <c r="F32" s="461">
        <f>SUMIF(100:100,E32,101:101)-SUMIF(100:100,C32,101:101)+100</f>
        <v>100</v>
      </c>
      <c r="G32" s="2624"/>
      <c r="H32" s="435">
        <f>SUMIF(100:100,G32,101:101)-SUMIF(100:100,C32,101:101)+100</f>
        <v>100</v>
      </c>
      <c r="I32" s="2624"/>
      <c r="J32" s="467">
        <f>SUMIF(100:100,I32,101:101)-SUMIF(100:100,C32,101:101)+100</f>
        <v>100</v>
      </c>
      <c r="K32" s="612"/>
      <c r="L32" s="1143"/>
      <c r="M32" s="1134"/>
      <c r="N32" s="1134"/>
      <c r="O32" s="1134"/>
      <c r="P32" s="3206" t="s">
        <v>2568</v>
      </c>
      <c r="Q32" s="1813" t="str">
        <f t="shared" si="11"/>
        <v>商业类型</v>
      </c>
      <c r="R32" s="774" t="s">
        <v>17</v>
      </c>
      <c r="S32" s="775">
        <f t="shared" si="12"/>
        <v>100</v>
      </c>
      <c r="T32" s="774" t="s">
        <v>17</v>
      </c>
      <c r="U32" s="775">
        <f t="shared" si="13"/>
        <v>100</v>
      </c>
      <c r="V32" s="774" t="s">
        <v>17</v>
      </c>
      <c r="W32" s="775">
        <f t="shared" si="14"/>
        <v>100</v>
      </c>
      <c r="X32" s="1816"/>
      <c r="Y32" s="3209" t="s">
        <v>2568</v>
      </c>
      <c r="Z32" s="1817" t="str">
        <f t="shared" si="15"/>
        <v>商业类型</v>
      </c>
      <c r="AA32" s="1814">
        <f t="shared" si="3"/>
        <v>1</v>
      </c>
      <c r="AB32" s="1814">
        <f t="shared" si="4"/>
        <v>1</v>
      </c>
      <c r="AC32" s="1814">
        <f t="shared" si="5"/>
        <v>1</v>
      </c>
    </row>
    <row r="33" spans="1:29" s="471" customFormat="1" ht="15">
      <c r="A33" s="468"/>
      <c r="B33" s="422" t="s">
        <v>2569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07"/>
      <c r="Q33" s="776" t="str">
        <f t="shared" si="11"/>
        <v>项目建筑规模</v>
      </c>
      <c r="R33" s="777" t="s">
        <v>17</v>
      </c>
      <c r="S33" s="778" t="e">
        <f t="shared" si="12"/>
        <v>#N/A</v>
      </c>
      <c r="T33" s="777" t="s">
        <v>17</v>
      </c>
      <c r="U33" s="778" t="e">
        <f t="shared" si="13"/>
        <v>#N/A</v>
      </c>
      <c r="V33" s="777" t="s">
        <v>17</v>
      </c>
      <c r="W33" s="778" t="e">
        <f t="shared" si="14"/>
        <v>#N/A</v>
      </c>
      <c r="X33" s="779"/>
      <c r="Y33" s="3209"/>
      <c r="Z33" s="780" t="str">
        <f t="shared" si="15"/>
        <v>项目建筑规模</v>
      </c>
      <c r="AA33" s="1814" t="e">
        <f t="shared" si="3"/>
        <v>#N/A</v>
      </c>
      <c r="AB33" s="1814" t="e">
        <f t="shared" si="4"/>
        <v>#N/A</v>
      </c>
      <c r="AC33" s="1814" t="e">
        <f t="shared" si="5"/>
        <v>#N/A</v>
      </c>
    </row>
    <row r="34" spans="1:29" ht="15">
      <c r="A34" s="472"/>
      <c r="B34" s="422" t="s">
        <v>2570</v>
      </c>
      <c r="C34" s="2626"/>
      <c r="D34" s="435">
        <v>100</v>
      </c>
      <c r="E34" s="2626"/>
      <c r="F34" s="461">
        <f>SUMIF(105:105,E34,106:106)-SUMIF(105:105,C34,106:106)+100</f>
        <v>100</v>
      </c>
      <c r="G34" s="2626"/>
      <c r="H34" s="435">
        <f>SUMIF(105:105,G34,106:106)-SUMIF(105:105,C34,106:106)+100</f>
        <v>100</v>
      </c>
      <c r="I34" s="2626"/>
      <c r="J34" s="435">
        <f>SUMIF(105:105,I34,106:106)-SUMIF(105:105,C34,106:106)+100</f>
        <v>100</v>
      </c>
      <c r="K34" s="612"/>
      <c r="L34" s="1143"/>
      <c r="M34" s="1134"/>
      <c r="N34" s="1134"/>
      <c r="O34" s="1134"/>
      <c r="P34" s="3207"/>
      <c r="Q34" s="1813" t="str">
        <f t="shared" si="11"/>
        <v>建筑结构</v>
      </c>
      <c r="R34" s="774" t="s">
        <v>17</v>
      </c>
      <c r="S34" s="775">
        <f t="shared" si="12"/>
        <v>100</v>
      </c>
      <c r="T34" s="774" t="s">
        <v>17</v>
      </c>
      <c r="U34" s="775">
        <f t="shared" si="13"/>
        <v>100</v>
      </c>
      <c r="V34" s="774" t="s">
        <v>17</v>
      </c>
      <c r="W34" s="775">
        <f t="shared" si="14"/>
        <v>100</v>
      </c>
      <c r="X34" s="1816"/>
      <c r="Y34" s="3209"/>
      <c r="Z34" s="1817" t="str">
        <f t="shared" si="15"/>
        <v>建筑结构</v>
      </c>
      <c r="AA34" s="1814">
        <f t="shared" si="3"/>
        <v>1</v>
      </c>
      <c r="AB34" s="1814">
        <f t="shared" si="4"/>
        <v>1</v>
      </c>
      <c r="AC34" s="1814">
        <f t="shared" si="5"/>
        <v>1</v>
      </c>
    </row>
    <row r="35" spans="1:29" ht="15">
      <c r="A35" s="472"/>
      <c r="B35" s="422" t="s">
        <v>2664</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207"/>
      <c r="Q35" s="1813" t="str">
        <f t="shared" si="11"/>
        <v>公共部分装修</v>
      </c>
      <c r="R35" s="774" t="s">
        <v>17</v>
      </c>
      <c r="S35" s="775">
        <f t="shared" si="12"/>
        <v>100</v>
      </c>
      <c r="T35" s="774" t="s">
        <v>17</v>
      </c>
      <c r="U35" s="775">
        <f t="shared" si="13"/>
        <v>100</v>
      </c>
      <c r="V35" s="774" t="s">
        <v>17</v>
      </c>
      <c r="W35" s="775">
        <f t="shared" si="14"/>
        <v>100</v>
      </c>
      <c r="X35" s="1816"/>
      <c r="Y35" s="3209"/>
      <c r="Z35" s="1817" t="str">
        <f t="shared" si="15"/>
        <v>公共部分装修</v>
      </c>
      <c r="AA35" s="1814">
        <f t="shared" si="3"/>
        <v>1</v>
      </c>
      <c r="AB35" s="1814">
        <f t="shared" si="4"/>
        <v>1</v>
      </c>
      <c r="AC35" s="1814">
        <f t="shared" si="5"/>
        <v>1</v>
      </c>
    </row>
    <row r="36" spans="1:29" ht="15">
      <c r="A36" s="472"/>
      <c r="B36" s="422" t="s">
        <v>2665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07"/>
      <c r="Q36" s="1813" t="str">
        <f t="shared" si="11"/>
        <v>成新度</v>
      </c>
      <c r="R36" s="774" t="s">
        <v>17</v>
      </c>
      <c r="S36" s="775" t="e">
        <f t="shared" si="12"/>
        <v>#N/A</v>
      </c>
      <c r="T36" s="774" t="s">
        <v>17</v>
      </c>
      <c r="U36" s="775" t="e">
        <f t="shared" si="13"/>
        <v>#N/A</v>
      </c>
      <c r="V36" s="774" t="s">
        <v>17</v>
      </c>
      <c r="W36" s="775" t="e">
        <f t="shared" si="14"/>
        <v>#N/A</v>
      </c>
      <c r="X36" s="1816"/>
      <c r="Y36" s="3209"/>
      <c r="Z36" s="1817" t="str">
        <f t="shared" si="15"/>
        <v>成新度</v>
      </c>
      <c r="AA36" s="1814" t="e">
        <f t="shared" si="3"/>
        <v>#N/A</v>
      </c>
      <c r="AB36" s="1814" t="e">
        <f t="shared" si="4"/>
        <v>#N/A</v>
      </c>
      <c r="AC36" s="1814" t="e">
        <f t="shared" si="5"/>
        <v>#N/A</v>
      </c>
    </row>
    <row r="37" spans="1:29" s="117" customFormat="1" ht="15">
      <c r="A37" s="473"/>
      <c r="B37" s="422" t="s">
        <v>2666</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207"/>
      <c r="Q37" s="1798" t="str">
        <f t="shared" si="11"/>
        <v>市政基础设施</v>
      </c>
      <c r="R37" s="770" t="s">
        <v>17</v>
      </c>
      <c r="S37" s="771">
        <f t="shared" si="12"/>
        <v>100</v>
      </c>
      <c r="T37" s="770" t="s">
        <v>17</v>
      </c>
      <c r="U37" s="771">
        <f t="shared" si="13"/>
        <v>100</v>
      </c>
      <c r="V37" s="770" t="s">
        <v>17</v>
      </c>
      <c r="W37" s="771">
        <f t="shared" si="14"/>
        <v>100</v>
      </c>
      <c r="X37" s="772"/>
      <c r="Y37" s="3209"/>
      <c r="Z37" s="55" t="str">
        <f t="shared" si="15"/>
        <v>市政基础设施</v>
      </c>
      <c r="AA37" s="773">
        <f t="shared" si="3"/>
        <v>1</v>
      </c>
      <c r="AB37" s="773">
        <f t="shared" si="4"/>
        <v>1</v>
      </c>
      <c r="AC37" s="773">
        <f t="shared" si="5"/>
        <v>1</v>
      </c>
    </row>
    <row r="38" spans="1:29" ht="15">
      <c r="A38" s="472"/>
      <c r="B38" s="422" t="s">
        <v>2667</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207" t="s">
        <v>2568</v>
      </c>
      <c r="Q38" s="1813" t="str">
        <f t="shared" si="11"/>
        <v>业态</v>
      </c>
      <c r="R38" s="774" t="s">
        <v>17</v>
      </c>
      <c r="S38" s="775">
        <f t="shared" si="12"/>
        <v>100</v>
      </c>
      <c r="T38" s="774" t="s">
        <v>17</v>
      </c>
      <c r="U38" s="775">
        <f t="shared" si="13"/>
        <v>100</v>
      </c>
      <c r="V38" s="774" t="s">
        <v>17</v>
      </c>
      <c r="W38" s="775">
        <f t="shared" si="14"/>
        <v>100</v>
      </c>
      <c r="X38" s="1816"/>
      <c r="Y38" s="3209" t="s">
        <v>2568</v>
      </c>
      <c r="Z38" s="1817" t="str">
        <f t="shared" si="15"/>
        <v>业态</v>
      </c>
      <c r="AA38" s="1814">
        <f t="shared" si="3"/>
        <v>1</v>
      </c>
      <c r="AB38" s="1814">
        <f t="shared" si="4"/>
        <v>1</v>
      </c>
      <c r="AC38" s="1814">
        <f t="shared" si="5"/>
        <v>1</v>
      </c>
    </row>
    <row r="39" spans="1:29" ht="15">
      <c r="A39" s="472"/>
      <c r="B39" s="422" t="s">
        <v>2668</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207"/>
      <c r="Q39" s="1813" t="str">
        <f t="shared" si="11"/>
        <v>层高</v>
      </c>
      <c r="R39" s="774" t="s">
        <v>17</v>
      </c>
      <c r="S39" s="775">
        <f t="shared" si="12"/>
        <v>100</v>
      </c>
      <c r="T39" s="774" t="s">
        <v>17</v>
      </c>
      <c r="U39" s="775">
        <f t="shared" si="13"/>
        <v>100</v>
      </c>
      <c r="V39" s="774" t="s">
        <v>17</v>
      </c>
      <c r="W39" s="775">
        <f t="shared" si="14"/>
        <v>100</v>
      </c>
      <c r="X39" s="1816"/>
      <c r="Y39" s="3209"/>
      <c r="Z39" s="1817" t="str">
        <f t="shared" si="15"/>
        <v>层高</v>
      </c>
      <c r="AA39" s="1814">
        <f t="shared" si="3"/>
        <v>1</v>
      </c>
      <c r="AB39" s="1814">
        <f t="shared" si="4"/>
        <v>1</v>
      </c>
      <c r="AC39" s="1814">
        <f t="shared" si="5"/>
        <v>1</v>
      </c>
    </row>
    <row r="40" spans="1:29" ht="15">
      <c r="A40" s="472"/>
      <c r="B40" s="422" t="s">
        <v>2669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07"/>
      <c r="Q40" s="1813" t="str">
        <f t="shared" si="11"/>
        <v>单套建筑面积</v>
      </c>
      <c r="R40" s="774" t="s">
        <v>17</v>
      </c>
      <c r="S40" s="775">
        <f t="shared" si="12"/>
        <v>100</v>
      </c>
      <c r="T40" s="774" t="s">
        <v>17</v>
      </c>
      <c r="U40" s="775">
        <f t="shared" si="13"/>
        <v>100</v>
      </c>
      <c r="V40" s="774" t="s">
        <v>17</v>
      </c>
      <c r="W40" s="775">
        <f t="shared" si="14"/>
        <v>100</v>
      </c>
      <c r="X40" s="1816"/>
      <c r="Y40" s="3209"/>
      <c r="Z40" s="1817" t="str">
        <f t="shared" si="15"/>
        <v>单套建筑面积</v>
      </c>
      <c r="AA40" s="1814">
        <f t="shared" si="3"/>
        <v>1</v>
      </c>
      <c r="AB40" s="1814">
        <f t="shared" si="4"/>
        <v>1</v>
      </c>
      <c r="AC40" s="1814">
        <f t="shared" si="5"/>
        <v>1</v>
      </c>
    </row>
    <row r="41" spans="1:29" s="471" customFormat="1" ht="15">
      <c r="A41" s="468"/>
      <c r="B41" s="1815" t="s">
        <v>2670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07"/>
      <c r="Q41" s="776" t="str">
        <f t="shared" si="11"/>
        <v>进深比</v>
      </c>
      <c r="R41" s="777" t="s">
        <v>17</v>
      </c>
      <c r="S41" s="778">
        <f t="shared" si="12"/>
        <v>100</v>
      </c>
      <c r="T41" s="777" t="s">
        <v>17</v>
      </c>
      <c r="U41" s="778">
        <f t="shared" si="13"/>
        <v>100</v>
      </c>
      <c r="V41" s="777" t="s">
        <v>17</v>
      </c>
      <c r="W41" s="778">
        <f t="shared" si="14"/>
        <v>100</v>
      </c>
      <c r="X41" s="779"/>
      <c r="Y41" s="3209"/>
      <c r="Z41" s="780" t="str">
        <f t="shared" si="15"/>
        <v>进深比</v>
      </c>
      <c r="AA41" s="1814">
        <f t="shared" si="3"/>
        <v>1</v>
      </c>
      <c r="AB41" s="1814">
        <f t="shared" si="4"/>
        <v>1</v>
      </c>
      <c r="AC41" s="1814">
        <f t="shared" si="5"/>
        <v>1</v>
      </c>
    </row>
    <row r="42" spans="1:29" ht="15">
      <c r="A42" s="472"/>
      <c r="B42" s="422" t="s">
        <v>2671</v>
      </c>
      <c r="C42" s="2620"/>
      <c r="D42" s="435">
        <v>100</v>
      </c>
      <c r="E42" s="2620"/>
      <c r="F42" s="461">
        <f>SUMIF(122:122,E42,123:123)-SUMIF(122:122,C42,123:123)+100</f>
        <v>100</v>
      </c>
      <c r="G42" s="2620"/>
      <c r="H42" s="435">
        <f>SUMIF(122:122,G42,123:123)-SUMIF(122:122,C42,123:123)+100</f>
        <v>100</v>
      </c>
      <c r="I42" s="2620"/>
      <c r="J42" s="435">
        <f>SUMIF(122:122,I42,123:123)-SUMIF(122:122,C42,123:123)+100</f>
        <v>100</v>
      </c>
      <c r="K42" s="612"/>
      <c r="L42" s="1143"/>
      <c r="M42" s="1134"/>
      <c r="N42" s="1134"/>
      <c r="O42" s="1134"/>
      <c r="P42" s="3207"/>
      <c r="Q42" s="1813" t="str">
        <f t="shared" si="11"/>
        <v>内部装修</v>
      </c>
      <c r="R42" s="774" t="s">
        <v>17</v>
      </c>
      <c r="S42" s="775">
        <f t="shared" si="12"/>
        <v>100</v>
      </c>
      <c r="T42" s="774" t="s">
        <v>17</v>
      </c>
      <c r="U42" s="775">
        <f t="shared" si="13"/>
        <v>100</v>
      </c>
      <c r="V42" s="774" t="s">
        <v>17</v>
      </c>
      <c r="W42" s="775">
        <f t="shared" si="14"/>
        <v>100</v>
      </c>
      <c r="X42" s="1816"/>
      <c r="Y42" s="3209"/>
      <c r="Z42" s="1817" t="str">
        <f t="shared" si="15"/>
        <v>内部装修</v>
      </c>
      <c r="AA42" s="1814">
        <f t="shared" si="3"/>
        <v>1</v>
      </c>
      <c r="AB42" s="1814">
        <f t="shared" si="4"/>
        <v>1</v>
      </c>
      <c r="AC42" s="1814">
        <f t="shared" si="5"/>
        <v>1</v>
      </c>
    </row>
    <row r="43" spans="1:29" ht="15">
      <c r="A43" s="472"/>
      <c r="B43" s="422" t="s">
        <v>2579</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207"/>
      <c r="Q43" s="1813" t="str">
        <f t="shared" si="11"/>
        <v>内部装修维护情况</v>
      </c>
      <c r="R43" s="774" t="s">
        <v>17</v>
      </c>
      <c r="S43" s="775">
        <f t="shared" si="12"/>
        <v>100</v>
      </c>
      <c r="T43" s="774" t="s">
        <v>17</v>
      </c>
      <c r="U43" s="775">
        <f t="shared" si="13"/>
        <v>100</v>
      </c>
      <c r="V43" s="774" t="s">
        <v>17</v>
      </c>
      <c r="W43" s="775">
        <f t="shared" si="14"/>
        <v>100</v>
      </c>
      <c r="X43" s="1816"/>
      <c r="Y43" s="3209"/>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07"/>
      <c r="Q44" s="1798">
        <f t="shared" si="11"/>
        <v>111</v>
      </c>
      <c r="R44" s="770" t="s">
        <v>17</v>
      </c>
      <c r="S44" s="771">
        <f t="shared" si="12"/>
        <v>100</v>
      </c>
      <c r="T44" s="770" t="s">
        <v>17</v>
      </c>
      <c r="U44" s="771">
        <f t="shared" si="13"/>
        <v>100</v>
      </c>
      <c r="V44" s="770" t="s">
        <v>17</v>
      </c>
      <c r="W44" s="771">
        <f t="shared" si="14"/>
        <v>100</v>
      </c>
      <c r="X44" s="772"/>
      <c r="Y44" s="3209"/>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07"/>
      <c r="Q45" s="1813">
        <f t="shared" si="11"/>
        <v>111</v>
      </c>
      <c r="R45" s="774" t="s">
        <v>17</v>
      </c>
      <c r="S45" s="775">
        <f t="shared" si="12"/>
        <v>100</v>
      </c>
      <c r="T45" s="774" t="s">
        <v>17</v>
      </c>
      <c r="U45" s="775">
        <f t="shared" si="13"/>
        <v>100</v>
      </c>
      <c r="V45" s="774" t="s">
        <v>17</v>
      </c>
      <c r="W45" s="775">
        <f t="shared" si="14"/>
        <v>100</v>
      </c>
      <c r="X45" s="1816"/>
      <c r="Y45" s="3209"/>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08"/>
      <c r="Q46" s="1813">
        <f t="shared" si="11"/>
        <v>111</v>
      </c>
      <c r="R46" s="774" t="s">
        <v>17</v>
      </c>
      <c r="S46" s="775">
        <f t="shared" si="12"/>
        <v>100</v>
      </c>
      <c r="T46" s="774" t="s">
        <v>17</v>
      </c>
      <c r="U46" s="775">
        <f t="shared" si="13"/>
        <v>100</v>
      </c>
      <c r="V46" s="774" t="s">
        <v>17</v>
      </c>
      <c r="W46" s="775">
        <f t="shared" si="14"/>
        <v>100</v>
      </c>
      <c r="X46" s="1816"/>
      <c r="Y46" s="3210"/>
      <c r="Z46" s="1817">
        <f t="shared" si="15"/>
        <v>111</v>
      </c>
      <c r="AA46" s="1814">
        <f t="shared" si="3"/>
        <v>1</v>
      </c>
      <c r="AB46" s="1814">
        <f t="shared" si="4"/>
        <v>1</v>
      </c>
      <c r="AC46" s="1814">
        <f t="shared" si="5"/>
        <v>1</v>
      </c>
    </row>
    <row r="47" spans="1:29" ht="15">
      <c r="A47" s="479" t="s">
        <v>2580</v>
      </c>
      <c r="B47" s="480"/>
      <c r="C47" s="1410" t="s">
        <v>1</v>
      </c>
      <c r="D47" s="1411"/>
      <c r="E47" s="1412"/>
      <c r="F47" s="1413"/>
      <c r="G47" s="1414"/>
      <c r="H47" s="1415"/>
      <c r="I47" s="1412"/>
      <c r="J47" s="1415"/>
      <c r="K47" s="783"/>
      <c r="L47" s="1146"/>
      <c r="M47" s="1147"/>
      <c r="N47" s="1134"/>
      <c r="O47" s="1147"/>
      <c r="P47" s="3202" t="str">
        <f>A47</f>
        <v>成交单价（元/平方米）</v>
      </c>
      <c r="Q47" s="3202"/>
      <c r="R47" s="3197">
        <f>E47</f>
        <v>0</v>
      </c>
      <c r="S47" s="3197"/>
      <c r="T47" s="3197">
        <f>G47</f>
        <v>0</v>
      </c>
      <c r="U47" s="3197"/>
      <c r="V47" s="3197">
        <f>I47</f>
        <v>0</v>
      </c>
      <c r="W47" s="3197"/>
      <c r="X47" s="759"/>
      <c r="Y47" s="781"/>
      <c r="Z47" s="759"/>
      <c r="AA47" s="759"/>
      <c r="AB47" s="759"/>
      <c r="AC47" s="759"/>
    </row>
    <row r="48" spans="1:29" ht="15.75" thickBot="1">
      <c r="A48" s="486" t="s">
        <v>2672</v>
      </c>
      <c r="B48" s="487"/>
      <c r="C48" s="1416" t="e">
        <f>R49</f>
        <v>#DIV/0!</v>
      </c>
      <c r="D48" s="1417"/>
      <c r="E48" s="1418" t="e">
        <f>R48</f>
        <v>#DIV/0!</v>
      </c>
      <c r="F48" s="1418"/>
      <c r="G48" s="1416" t="e">
        <f>T48</f>
        <v>#DIV/0!</v>
      </c>
      <c r="H48" s="1417"/>
      <c r="I48" s="1418" t="e">
        <f>V48</f>
        <v>#DIV/0!</v>
      </c>
      <c r="J48" s="1417"/>
      <c r="K48" s="784"/>
      <c r="L48" s="1146"/>
      <c r="M48" s="1147"/>
      <c r="N48" s="1134"/>
      <c r="O48" s="1147"/>
      <c r="P48" s="3202" t="str">
        <f>A48</f>
        <v>比较价值（元/平方米）</v>
      </c>
      <c r="Q48" s="3202"/>
      <c r="R48" s="3203" t="e">
        <f>IF(F1="售价",ROUND(PRODUCT(R47,AA7:AA46),0),ROUND(PRODUCT(R47,AA7:AA46),1))</f>
        <v>#DIV/0!</v>
      </c>
      <c r="S48" s="3203"/>
      <c r="T48" s="3203" t="e">
        <f>IF(F1="售价",ROUND(PRODUCT(T47,AB7:AB46),0),ROUND(PRODUCT(T47,AB7:AB46),1))</f>
        <v>#DIV/0!</v>
      </c>
      <c r="U48" s="3203"/>
      <c r="V48" s="3203" t="e">
        <f>IF(F1="售价",ROUND(PRODUCT(V47,AC7:AC46),0),ROUND(PRODUCT(V47,AC7:AC46),1))</f>
        <v>#DIV/0!</v>
      </c>
      <c r="W48" s="3203"/>
      <c r="X48" s="759"/>
      <c r="Y48" s="759"/>
      <c r="Z48" s="759"/>
      <c r="AA48" s="759"/>
      <c r="AB48" s="759"/>
      <c r="AC48" s="759"/>
    </row>
    <row r="49" spans="1:29" ht="15.75" thickBot="1">
      <c r="A49" s="492" t="s">
        <v>2673</v>
      </c>
      <c r="B49" s="493"/>
      <c r="C49" s="1420" t="e">
        <f>R49</f>
        <v>#DIV/0!</v>
      </c>
      <c r="D49" s="1420"/>
      <c r="E49" s="1420"/>
      <c r="F49" s="1420"/>
      <c r="G49" s="1420"/>
      <c r="H49" s="1420"/>
      <c r="I49" s="1420"/>
      <c r="J49" s="1420"/>
      <c r="K49" s="785"/>
      <c r="L49" s="1146"/>
      <c r="M49" s="1147"/>
      <c r="N49" s="1134"/>
      <c r="O49" s="1147"/>
      <c r="P49" s="3199" t="str">
        <f>A49</f>
        <v>估价对象XX用房的比较价值（楼面单价，元/平方米）</v>
      </c>
      <c r="Q49" s="3200"/>
      <c r="R49" s="3201" t="e">
        <f>IF(F1="售价",ROUND(AVERAGE(R48:V48),0),ROUND(AVERAGE(R48:V48),1))</f>
        <v>#DIV/0!</v>
      </c>
      <c r="S49" s="3201"/>
      <c r="T49" s="3201"/>
      <c r="U49" s="3201"/>
      <c r="V49" s="3201"/>
      <c r="W49" s="320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2677</v>
      </c>
      <c r="B57" s="759"/>
      <c r="C57" s="764"/>
      <c r="D57" s="764"/>
      <c r="E57" s="764"/>
      <c r="F57" s="765"/>
      <c r="G57" s="765"/>
      <c r="H57" s="764"/>
      <c r="I57" s="764"/>
      <c r="J57" s="764"/>
      <c r="K57" s="766"/>
      <c r="L57" s="1164"/>
      <c r="M57" s="1162"/>
      <c r="N57" s="1162"/>
      <c r="O57" s="1162"/>
      <c r="P57" s="2674"/>
      <c r="Q57" s="2675"/>
      <c r="R57" s="759"/>
      <c r="S57" s="759"/>
      <c r="T57" s="759"/>
      <c r="U57" s="759"/>
      <c r="V57" s="759"/>
      <c r="W57" s="759"/>
      <c r="X57" s="759"/>
      <c r="Y57" s="759"/>
      <c r="Z57" s="759"/>
      <c r="AA57" s="759"/>
      <c r="AB57" s="759"/>
      <c r="AC57" s="759"/>
    </row>
    <row r="58" spans="1:29" s="508" customFormat="1" ht="15">
      <c r="A58" s="505" t="s">
        <v>2551</v>
      </c>
      <c r="B58" s="506"/>
      <c r="C58" s="1577" t="str">
        <f>YEAR(C7)&amp;"-"&amp;MONTH(C7)</f>
        <v>2018-11</v>
      </c>
      <c r="D58" s="1578">
        <f>EDATE(C58,-1)</f>
        <v>43374</v>
      </c>
      <c r="E58" s="1578">
        <f t="shared" ref="E58:N58" si="16">EDATE(D58,-1)</f>
        <v>43344</v>
      </c>
      <c r="F58" s="1578">
        <f t="shared" si="16"/>
        <v>43313</v>
      </c>
      <c r="G58" s="1578">
        <f t="shared" si="16"/>
        <v>43282</v>
      </c>
      <c r="H58" s="1578">
        <f t="shared" si="16"/>
        <v>43252</v>
      </c>
      <c r="I58" s="1578">
        <f t="shared" si="16"/>
        <v>43221</v>
      </c>
      <c r="J58" s="1578">
        <f t="shared" si="16"/>
        <v>43191</v>
      </c>
      <c r="K58" s="1578">
        <f t="shared" si="16"/>
        <v>43160</v>
      </c>
      <c r="L58" s="1578">
        <f t="shared" si="16"/>
        <v>43132</v>
      </c>
      <c r="M58" s="1578">
        <f t="shared" si="16"/>
        <v>43101</v>
      </c>
      <c r="N58" s="1578">
        <f t="shared" si="16"/>
        <v>43070</v>
      </c>
      <c r="O58" s="1578">
        <f>EDATE(N58,-1)</f>
        <v>43040</v>
      </c>
      <c r="P58" s="1573"/>
    </row>
    <row r="59" spans="1:29" s="117" customFormat="1" ht="15">
      <c r="A59" s="509"/>
      <c r="B59" s="510"/>
      <c r="C59" s="1576">
        <v>100</v>
      </c>
      <c r="D59" s="512"/>
      <c r="E59" s="512"/>
      <c r="F59" s="512"/>
      <c r="G59" s="512"/>
      <c r="H59" s="512"/>
      <c r="I59" s="512"/>
      <c r="J59" s="512"/>
      <c r="K59" s="512"/>
      <c r="L59" s="512"/>
      <c r="M59" s="513"/>
      <c r="N59" s="512"/>
      <c r="O59" s="513"/>
      <c r="P59" s="2635"/>
    </row>
    <row r="60" spans="1:29" s="117" customFormat="1" ht="15.75" thickBot="1">
      <c r="A60" s="515" t="s">
        <v>2588</v>
      </c>
      <c r="B60" s="516"/>
      <c r="C60" s="517"/>
      <c r="D60" s="518"/>
      <c r="E60" s="518"/>
      <c r="F60" s="518"/>
      <c r="G60" s="518"/>
      <c r="H60" s="518"/>
      <c r="I60" s="518"/>
      <c r="J60" s="518"/>
      <c r="K60" s="518"/>
      <c r="L60" s="518"/>
      <c r="M60" s="519"/>
      <c r="N60" s="518"/>
      <c r="O60" s="519"/>
      <c r="P60" s="2635"/>
      <c r="Q60" s="504"/>
    </row>
    <row r="61" spans="1:29" s="117" customFormat="1" ht="15">
      <c r="A61" s="521" t="s">
        <v>2553</v>
      </c>
      <c r="B61" s="510"/>
      <c r="C61" s="522" t="s">
        <v>2655</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2591</v>
      </c>
      <c r="B63" s="528" t="s">
        <v>2557</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2560</v>
      </c>
      <c r="C65" s="539" t="s">
        <v>2592</v>
      </c>
      <c r="D65" s="539" t="s">
        <v>2593</v>
      </c>
      <c r="E65" s="539" t="s">
        <v>2594</v>
      </c>
      <c r="F65" s="539" t="s">
        <v>2595</v>
      </c>
      <c r="G65" s="539" t="s">
        <v>2596</v>
      </c>
      <c r="H65" s="539" t="s">
        <v>2597</v>
      </c>
      <c r="I65" s="539" t="s">
        <v>2598</v>
      </c>
      <c r="J65" s="539"/>
      <c r="K65" s="540"/>
      <c r="L65" s="541"/>
      <c r="M65" s="542"/>
      <c r="N65" s="1155"/>
      <c r="O65" s="1155"/>
      <c r="P65" s="263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7"/>
      <c r="Q66" s="504"/>
    </row>
    <row r="67" spans="1:17" ht="15.75" thickTop="1">
      <c r="A67" s="534"/>
      <c r="B67" s="546" t="s">
        <v>2561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36"/>
      <c r="E73" s="536"/>
      <c r="F73" s="536"/>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2562</v>
      </c>
      <c r="B76" s="528" t="s">
        <v>2599</v>
      </c>
      <c r="C76" s="573" t="s">
        <v>2600</v>
      </c>
      <c r="D76" s="573" t="s">
        <v>2601</v>
      </c>
      <c r="E76" s="573" t="s">
        <v>2602</v>
      </c>
      <c r="F76" s="573" t="s">
        <v>2603</v>
      </c>
      <c r="G76" s="573" t="s">
        <v>2604</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2605</v>
      </c>
      <c r="C78" s="578" t="s">
        <v>2600</v>
      </c>
      <c r="D78" s="578" t="s">
        <v>2601</v>
      </c>
      <c r="E78" s="578" t="s">
        <v>2602</v>
      </c>
      <c r="F78" s="578" t="s">
        <v>2603</v>
      </c>
      <c r="G78" s="578" t="s">
        <v>2604</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2606</v>
      </c>
      <c r="C80" s="578" t="s">
        <v>2600</v>
      </c>
      <c r="D80" s="578" t="s">
        <v>2601</v>
      </c>
      <c r="E80" s="578" t="s">
        <v>2602</v>
      </c>
      <c r="F80" s="578" t="s">
        <v>2603</v>
      </c>
      <c r="G80" s="578" t="s">
        <v>2604</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2658</v>
      </c>
      <c r="C82" s="660" t="s">
        <v>2678</v>
      </c>
      <c r="D82" s="660" t="s">
        <v>2679</v>
      </c>
      <c r="E82" s="660" t="s">
        <v>2680</v>
      </c>
      <c r="F82" s="660" t="s">
        <v>2681</v>
      </c>
      <c r="G82" s="660" t="s">
        <v>2682</v>
      </c>
      <c r="H82" s="539"/>
      <c r="I82" s="539"/>
      <c r="J82" s="539"/>
      <c r="K82" s="539"/>
      <c r="L82" s="539"/>
      <c r="M82" s="1385"/>
      <c r="N82" s="1156"/>
      <c r="O82" s="1156"/>
      <c r="P82" s="263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7"/>
      <c r="Q83" s="504"/>
    </row>
    <row r="84" spans="1:17" ht="15.75" thickTop="1">
      <c r="A84" s="534"/>
      <c r="B84" s="538" t="s">
        <v>2612</v>
      </c>
      <c r="C84" s="578" t="s">
        <v>2600</v>
      </c>
      <c r="D84" s="578" t="s">
        <v>2601</v>
      </c>
      <c r="E84" s="578" t="s">
        <v>2602</v>
      </c>
      <c r="F84" s="578" t="s">
        <v>2603</v>
      </c>
      <c r="G84" s="578" t="s">
        <v>2604</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2683</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7"/>
      <c r="Q87" s="504"/>
    </row>
    <row r="88" spans="1:17" s="117" customFormat="1" ht="15.75" thickTop="1">
      <c r="A88" s="579"/>
      <c r="B88" s="538" t="str">
        <f>B26</f>
        <v>平面位置/可视性</v>
      </c>
      <c r="C88" s="554"/>
      <c r="D88" s="554"/>
      <c r="E88" s="554"/>
      <c r="F88" s="2642"/>
      <c r="G88" s="554"/>
      <c r="H88" s="554"/>
      <c r="I88" s="554"/>
      <c r="J88" s="554"/>
      <c r="K88" s="554"/>
      <c r="L88" s="554"/>
      <c r="M88" s="581"/>
      <c r="N88" s="1154"/>
      <c r="O88" s="1154"/>
      <c r="P88" s="2637"/>
      <c r="Q88" s="504"/>
    </row>
    <row r="89" spans="1:17" s="117" customFormat="1" ht="15.75" thickBot="1">
      <c r="A89" s="579"/>
      <c r="B89" s="543"/>
      <c r="C89" s="560"/>
      <c r="D89" s="536"/>
      <c r="E89" s="536"/>
      <c r="F89" s="536"/>
      <c r="G89" s="536"/>
      <c r="H89" s="536"/>
      <c r="I89" s="536"/>
      <c r="J89" s="536"/>
      <c r="K89" s="536"/>
      <c r="L89" s="536"/>
      <c r="M89" s="536"/>
      <c r="N89" s="1156"/>
      <c r="O89" s="1156"/>
      <c r="P89" s="263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8"/>
      <c r="Q91" s="559"/>
    </row>
    <row r="92" spans="1:17" ht="15.75" thickTop="1">
      <c r="A92" s="534"/>
      <c r="B92" s="538" t="str">
        <f>B28</f>
        <v>楼层</v>
      </c>
      <c r="C92" s="554"/>
      <c r="D92" s="554"/>
      <c r="E92" s="554"/>
      <c r="F92" s="554"/>
      <c r="G92" s="554"/>
      <c r="H92" s="554"/>
      <c r="I92" s="554"/>
      <c r="J92" s="554"/>
      <c r="K92" s="554"/>
      <c r="L92" s="580"/>
      <c r="M92" s="581"/>
      <c r="N92" s="1155"/>
      <c r="O92" s="1155"/>
      <c r="P92" s="2637"/>
      <c r="Q92" s="504"/>
    </row>
    <row r="93" spans="1:17" ht="15.75" thickBot="1">
      <c r="A93" s="534"/>
      <c r="B93" s="543"/>
      <c r="C93" s="536"/>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36"/>
      <c r="E95" s="536"/>
      <c r="F95" s="536"/>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60"/>
      <c r="D97" s="536"/>
      <c r="E97" s="536"/>
      <c r="F97" s="536"/>
      <c r="G97" s="536"/>
      <c r="H97" s="536"/>
      <c r="I97" s="536"/>
      <c r="J97" s="536"/>
      <c r="K97" s="536"/>
      <c r="L97" s="536"/>
      <c r="M97" s="537"/>
      <c r="N97" s="1156"/>
      <c r="O97" s="1156"/>
      <c r="P97" s="2637"/>
      <c r="Q97" s="504"/>
    </row>
    <row r="98" spans="1:17" ht="15.75" thickTop="1">
      <c r="A98" s="534"/>
      <c r="B98" s="546">
        <f>B31</f>
        <v>111</v>
      </c>
      <c r="C98" s="554"/>
      <c r="D98" s="554"/>
      <c r="E98" s="554"/>
      <c r="F98" s="554"/>
      <c r="G98" s="587"/>
      <c r="H98" s="587"/>
      <c r="I98" s="587"/>
      <c r="J98" s="587"/>
      <c r="K98" s="588"/>
      <c r="L98" s="589"/>
      <c r="M98" s="590"/>
      <c r="N98" s="1155"/>
      <c r="O98" s="1155"/>
      <c r="P98" s="2637"/>
      <c r="Q98" s="504"/>
    </row>
    <row r="99" spans="1:17" ht="15.75" thickBot="1">
      <c r="A99" s="2643"/>
      <c r="B99" s="569"/>
      <c r="C99" s="570"/>
      <c r="D99" s="570"/>
      <c r="E99" s="570"/>
      <c r="F99" s="570"/>
      <c r="G99" s="591"/>
      <c r="H99" s="591"/>
      <c r="I99" s="591"/>
      <c r="J99" s="591"/>
      <c r="K99" s="591"/>
      <c r="L99" s="591"/>
      <c r="M99" s="592"/>
      <c r="N99" s="1156"/>
      <c r="O99" s="1156"/>
      <c r="P99" s="2637"/>
      <c r="Q99" s="504"/>
    </row>
    <row r="100" spans="1:17">
      <c r="A100" s="527" t="s">
        <v>2566</v>
      </c>
      <c r="B100" s="528" t="s">
        <v>2684</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7"/>
      <c r="Q101" s="504"/>
    </row>
    <row r="102" spans="1:17" ht="15.75" thickTop="1">
      <c r="A102" s="534"/>
      <c r="B102" s="538" t="s">
        <v>2616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8"/>
      <c r="Q104" s="559"/>
    </row>
    <row r="105" spans="1:17" ht="15" thickTop="1">
      <c r="A105" s="599"/>
      <c r="B105" s="538" t="s">
        <v>2617</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7"/>
      <c r="Q106" s="504"/>
    </row>
    <row r="107" spans="1:17" ht="15" thickTop="1">
      <c r="A107" s="599"/>
      <c r="B107" s="538" t="s">
        <v>2619</v>
      </c>
      <c r="C107" s="554"/>
      <c r="D107" s="554"/>
      <c r="E107" s="554"/>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7"/>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7"/>
      <c r="Q111" s="504"/>
    </row>
    <row r="112" spans="1:17" s="471" customFormat="1" ht="15" thickTop="1">
      <c r="A112" s="593"/>
      <c r="B112" s="538" t="s">
        <v>2621</v>
      </c>
      <c r="C112" s="554"/>
      <c r="D112" s="554"/>
      <c r="E112" s="554"/>
      <c r="F112" s="554"/>
      <c r="G112" s="554"/>
      <c r="H112" s="583"/>
      <c r="I112" s="583"/>
      <c r="J112" s="583"/>
      <c r="K112" s="584"/>
      <c r="L112" s="585"/>
      <c r="M112" s="586"/>
      <c r="N112" s="1157"/>
      <c r="O112" s="1157"/>
      <c r="P112" s="263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8"/>
      <c r="Q113" s="559"/>
    </row>
    <row r="114" spans="1:17" ht="15" thickTop="1">
      <c r="A114" s="599"/>
      <c r="B114" s="538" t="s">
        <v>2685</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7"/>
      <c r="Q115" s="504"/>
    </row>
    <row r="116" spans="1:17" ht="15" thickTop="1">
      <c r="A116" s="599"/>
      <c r="B116" s="538" t="s">
        <v>2686</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2687</v>
      </c>
      <c r="C118" s="627"/>
      <c r="D118" s="627"/>
      <c r="E118" s="627"/>
      <c r="F118" s="627"/>
      <c r="G118" s="627"/>
      <c r="H118" s="555"/>
      <c r="I118" s="555"/>
      <c r="J118" s="555"/>
      <c r="K118" s="555"/>
      <c r="L118" s="556"/>
      <c r="M118" s="557"/>
      <c r="N118" s="1155"/>
      <c r="O118" s="1155"/>
      <c r="P118" s="2637"/>
      <c r="Q118" s="504"/>
    </row>
    <row r="119" spans="1:17" ht="15.75" thickBot="1">
      <c r="A119" s="534"/>
      <c r="B119" s="543"/>
      <c r="C119" s="560"/>
      <c r="D119" s="536"/>
      <c r="E119" s="536"/>
      <c r="F119" s="536"/>
      <c r="G119" s="536"/>
      <c r="H119" s="536"/>
      <c r="I119" s="536"/>
      <c r="J119" s="536"/>
      <c r="K119" s="536"/>
      <c r="L119" s="536"/>
      <c r="M119" s="537"/>
      <c r="N119" s="1156"/>
      <c r="O119" s="1156"/>
      <c r="P119" s="2637"/>
      <c r="Q119" s="504"/>
    </row>
    <row r="120" spans="1:17" s="471" customFormat="1" ht="15" thickTop="1">
      <c r="A120" s="593"/>
      <c r="B120" s="538" t="s">
        <v>2688</v>
      </c>
      <c r="C120" s="583"/>
      <c r="D120" s="583"/>
      <c r="E120" s="583"/>
      <c r="F120" s="583"/>
      <c r="G120" s="555"/>
      <c r="H120" s="555"/>
      <c r="I120" s="555"/>
      <c r="J120" s="555"/>
      <c r="K120" s="555"/>
      <c r="L120" s="556"/>
      <c r="M120" s="557"/>
      <c r="N120" s="1157"/>
      <c r="O120" s="1157"/>
      <c r="P120" s="263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8"/>
      <c r="Q121" s="559"/>
    </row>
    <row r="122" spans="1:17" ht="15" thickTop="1">
      <c r="A122" s="599"/>
      <c r="B122" s="538" t="s">
        <v>2623</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7"/>
      <c r="Q123" s="504"/>
    </row>
    <row r="124" spans="1:17" ht="15" thickTop="1">
      <c r="A124" s="599"/>
      <c r="B124" s="538" t="s">
        <v>2624</v>
      </c>
      <c r="C124" s="578" t="s">
        <v>2600</v>
      </c>
      <c r="D124" s="578" t="s">
        <v>2601</v>
      </c>
      <c r="E124" s="578" t="s">
        <v>2602</v>
      </c>
      <c r="F124" s="578" t="s">
        <v>2603</v>
      </c>
      <c r="G124" s="578" t="s">
        <v>2604</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36"/>
      <c r="E129" s="536"/>
      <c r="F129" s="536"/>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2531</v>
      </c>
      <c r="B1" s="2676" t="s">
        <v>2689</v>
      </c>
      <c r="C1" s="1623" t="s">
        <v>2533</v>
      </c>
      <c r="D1" s="1624"/>
      <c r="E1" s="1633"/>
      <c r="F1" s="2591"/>
      <c r="G1" s="1634" t="s">
        <v>2646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t="e">
        <f ca="1">IF(C2="——",ROUND(C50*D3/10000,0),ROUND(C50*D3/10000,0)-D2)</f>
        <v>#DIV/0!</v>
      </c>
      <c r="C2" s="2593"/>
      <c r="D2" s="1368" t="e">
        <f ca="1">SUMIF(INDIRECT("'"&amp;F2&amp;"'"&amp;"!A:A"),"承租人权益价值",INDIRECT("'"&amp;F2&amp;"'"&amp;"!c:c"))</f>
        <v>#REF!</v>
      </c>
      <c r="E2" s="2594" t="s">
        <v>2331</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IF(C2="——",C50,ROUND(B2*10000/D3,0))</f>
        <v>#DIV/0!</v>
      </c>
      <c r="C3" s="400" t="s">
        <v>2647</v>
      </c>
      <c r="D3" s="399">
        <f>IF(D1="",'数据-汇总表'!E3,SUMIF('数据-汇总表'!$C19:$C33,D1,'数据-汇总表'!$E19:$E33))</f>
        <v>57947.42</v>
      </c>
      <c r="E3" s="267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219" t="s">
        <v>2654</v>
      </c>
      <c r="Q4" s="3220"/>
      <c r="R4" s="3214" t="s">
        <v>2650</v>
      </c>
      <c r="S4" s="3215"/>
      <c r="T4" s="3214" t="s">
        <v>2651</v>
      </c>
      <c r="U4" s="3215"/>
      <c r="V4" s="3223" t="s">
        <v>2652</v>
      </c>
      <c r="W4" s="3223"/>
      <c r="X4" s="2677"/>
      <c r="Y4" s="3214" t="s">
        <v>2654</v>
      </c>
      <c r="Z4" s="3215"/>
      <c r="AA4" s="3213" t="s">
        <v>2650</v>
      </c>
      <c r="AB4" s="3213" t="s">
        <v>2651</v>
      </c>
      <c r="AC4" s="3216" t="s">
        <v>2652</v>
      </c>
    </row>
    <row r="5" spans="1:29" ht="15">
      <c r="A5" s="404"/>
      <c r="B5" s="405"/>
      <c r="C5" s="3178" t="s">
        <v>2545</v>
      </c>
      <c r="D5" s="3179"/>
      <c r="E5" s="3176" t="s">
        <v>2546</v>
      </c>
      <c r="F5" s="3177"/>
      <c r="G5" s="3178" t="s">
        <v>2547</v>
      </c>
      <c r="H5" s="3179"/>
      <c r="I5" s="3178" t="s">
        <v>2548</v>
      </c>
      <c r="J5" s="3179"/>
      <c r="K5" s="610"/>
      <c r="L5" s="1133"/>
      <c r="M5" s="1134"/>
      <c r="N5" s="1134"/>
      <c r="O5" s="1134"/>
      <c r="P5" s="3221"/>
      <c r="Q5" s="3192"/>
      <c r="R5" s="3174"/>
      <c r="S5" s="3175"/>
      <c r="T5" s="3174"/>
      <c r="U5" s="3175"/>
      <c r="V5" s="3197"/>
      <c r="W5" s="3197"/>
      <c r="X5" s="1816"/>
      <c r="Y5" s="3174"/>
      <c r="Z5" s="3175"/>
      <c r="AA5" s="3168"/>
      <c r="AB5" s="3168"/>
      <c r="AC5" s="3217"/>
    </row>
    <row r="6" spans="1:29" ht="15.75" thickBot="1">
      <c r="A6" s="406"/>
      <c r="B6" s="407"/>
      <c r="C6" s="3180" t="s">
        <v>2549</v>
      </c>
      <c r="D6" s="3181"/>
      <c r="E6" s="3182" t="s">
        <v>2549</v>
      </c>
      <c r="F6" s="3183"/>
      <c r="G6" s="3180" t="s">
        <v>2549</v>
      </c>
      <c r="H6" s="3181"/>
      <c r="I6" s="3180" t="s">
        <v>2549</v>
      </c>
      <c r="J6" s="3181"/>
      <c r="K6" s="610" t="s">
        <v>2550</v>
      </c>
      <c r="L6" s="1133"/>
      <c r="M6" s="1134"/>
      <c r="N6" s="1134"/>
      <c r="O6" s="1134"/>
      <c r="P6" s="3222"/>
      <c r="Q6" s="3194"/>
      <c r="R6" s="3174"/>
      <c r="S6" s="3175"/>
      <c r="T6" s="3195"/>
      <c r="U6" s="3196"/>
      <c r="V6" s="3197"/>
      <c r="W6" s="3197"/>
      <c r="X6" s="1816"/>
      <c r="Y6" s="3195"/>
      <c r="Z6" s="3196"/>
      <c r="AA6" s="3169"/>
      <c r="AB6" s="3169"/>
      <c r="AC6" s="3218"/>
    </row>
    <row r="7" spans="1:29" s="117" customFormat="1" ht="15.75" thickBot="1">
      <c r="A7" s="408" t="s">
        <v>2551</v>
      </c>
      <c r="B7" s="409"/>
      <c r="C7" s="410">
        <f>'数据-取费表'!B2</f>
        <v>43423</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24" t="s">
        <v>2552</v>
      </c>
      <c r="Q7" s="3198"/>
      <c r="R7" s="770" t="s">
        <v>17</v>
      </c>
      <c r="S7" s="771">
        <f t="shared" ref="S7:S15" si="0">F7</f>
        <v>0</v>
      </c>
      <c r="T7" s="770" t="s">
        <v>17</v>
      </c>
      <c r="U7" s="771">
        <f t="shared" ref="U7:U15" si="1">H7</f>
        <v>0</v>
      </c>
      <c r="V7" s="770" t="s">
        <v>17</v>
      </c>
      <c r="W7" s="771">
        <f t="shared" ref="W7:W15" si="2">J7</f>
        <v>0</v>
      </c>
      <c r="X7" s="772"/>
      <c r="Y7" s="3170" t="s">
        <v>2552</v>
      </c>
      <c r="Z7" s="3171"/>
      <c r="AA7" s="773" t="e">
        <f>D7/F7</f>
        <v>#DIV/0!</v>
      </c>
      <c r="AB7" s="773" t="e">
        <f>D7/H7</f>
        <v>#DIV/0!</v>
      </c>
      <c r="AC7" s="2678" t="e">
        <f>D7/J7</f>
        <v>#DIV/0!</v>
      </c>
    </row>
    <row r="8" spans="1:29" s="117" customFormat="1" ht="15.75" thickBot="1">
      <c r="A8" s="408" t="s">
        <v>2553</v>
      </c>
      <c r="B8" s="409"/>
      <c r="C8" s="414" t="s">
        <v>2655</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24" t="s">
        <v>2555</v>
      </c>
      <c r="Q8" s="3171"/>
      <c r="R8" s="770" t="s">
        <v>17</v>
      </c>
      <c r="S8" s="771">
        <f t="shared" si="0"/>
        <v>0</v>
      </c>
      <c r="T8" s="770" t="s">
        <v>17</v>
      </c>
      <c r="U8" s="771">
        <f t="shared" si="1"/>
        <v>0</v>
      </c>
      <c r="V8" s="770" t="s">
        <v>17</v>
      </c>
      <c r="W8" s="771">
        <f t="shared" si="2"/>
        <v>0</v>
      </c>
      <c r="X8" s="772"/>
      <c r="Y8" s="3170" t="s">
        <v>2555</v>
      </c>
      <c r="Z8" s="3171"/>
      <c r="AA8" s="773" t="e">
        <f t="shared" ref="AA8:AA47" si="3">D8/F8</f>
        <v>#DIV/0!</v>
      </c>
      <c r="AB8" s="773" t="e">
        <f t="shared" ref="AB8:AB47" si="4">D8/H8</f>
        <v>#DIV/0!</v>
      </c>
      <c r="AC8" s="2678" t="e">
        <f t="shared" ref="AC8:AC47" si="5">D8/J8</f>
        <v>#DIV/0!</v>
      </c>
    </row>
    <row r="9" spans="1:29" s="117" customFormat="1">
      <c r="A9" s="415" t="s">
        <v>2556</v>
      </c>
      <c r="B9" s="71" t="s">
        <v>2557</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84"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2678">
        <f t="shared" si="5"/>
        <v>1</v>
      </c>
    </row>
    <row r="10" spans="1:29" s="427" customFormat="1" ht="27">
      <c r="A10" s="421"/>
      <c r="B10" s="422" t="s">
        <v>2560</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84"/>
      <c r="Q10" s="1798" t="str">
        <f t="shared" si="6"/>
        <v>土地使用年限（年）</v>
      </c>
      <c r="R10" s="770" t="s">
        <v>17</v>
      </c>
      <c r="S10" s="771">
        <f t="shared" si="0"/>
        <v>100</v>
      </c>
      <c r="T10" s="770" t="s">
        <v>17</v>
      </c>
      <c r="U10" s="771">
        <f t="shared" si="1"/>
        <v>100</v>
      </c>
      <c r="V10" s="770" t="s">
        <v>17</v>
      </c>
      <c r="W10" s="771">
        <f t="shared" si="2"/>
        <v>100</v>
      </c>
      <c r="X10" s="772"/>
      <c r="Y10" s="3017"/>
      <c r="Z10" s="55" t="str">
        <f t="shared" si="7"/>
        <v>土地使用年限（年）</v>
      </c>
      <c r="AA10" s="773">
        <f t="shared" si="3"/>
        <v>1</v>
      </c>
      <c r="AB10" s="773">
        <f t="shared" si="4"/>
        <v>1</v>
      </c>
      <c r="AC10" s="2678">
        <f t="shared" si="5"/>
        <v>1</v>
      </c>
    </row>
    <row r="11" spans="1:29" ht="15">
      <c r="A11" s="428"/>
      <c r="B11" s="422" t="s">
        <v>2561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84"/>
      <c r="Q11" s="1798" t="str">
        <f t="shared" si="6"/>
        <v>容积率</v>
      </c>
      <c r="R11" s="770" t="s">
        <v>17</v>
      </c>
      <c r="S11" s="771" t="e">
        <f t="shared" si="0"/>
        <v>#N/A</v>
      </c>
      <c r="T11" s="770" t="s">
        <v>17</v>
      </c>
      <c r="U11" s="771" t="e">
        <f t="shared" si="1"/>
        <v>#N/A</v>
      </c>
      <c r="V11" s="770" t="s">
        <v>17</v>
      </c>
      <c r="W11" s="771" t="e">
        <f t="shared" si="2"/>
        <v>#N/A</v>
      </c>
      <c r="X11" s="772"/>
      <c r="Y11" s="3017"/>
      <c r="Z11" s="55" t="str">
        <f t="shared" si="7"/>
        <v>容积率</v>
      </c>
      <c r="AA11" s="773" t="e">
        <f t="shared" si="3"/>
        <v>#N/A</v>
      </c>
      <c r="AB11" s="773" t="e">
        <f t="shared" si="4"/>
        <v>#N/A</v>
      </c>
      <c r="AC11" s="2678" t="e">
        <f t="shared" si="5"/>
        <v>#N/A</v>
      </c>
    </row>
    <row r="12" spans="1:29" s="117" customFormat="1" ht="15">
      <c r="A12" s="431"/>
      <c r="B12" s="2607">
        <v>111</v>
      </c>
      <c r="C12" s="432"/>
      <c r="D12" s="433">
        <v>100</v>
      </c>
      <c r="E12" s="432"/>
      <c r="F12" s="136">
        <f>SUMIF(71:71,E12,72:72)-SUMIF(71:71,C12,72:72)+100</f>
        <v>100</v>
      </c>
      <c r="G12" s="2679"/>
      <c r="H12" s="136">
        <f>SUMIF(71:71,G12,72:72)-SUMIF(71:71,C12,72:72)+100</f>
        <v>100</v>
      </c>
      <c r="I12" s="432"/>
      <c r="J12" s="136">
        <f>SUMIF(71:71,I12,72:72)-SUMIF(71:71,C12,72:72)+100</f>
        <v>100</v>
      </c>
      <c r="K12" s="613"/>
      <c r="L12" s="1135"/>
      <c r="M12" s="1136"/>
      <c r="N12" s="1136"/>
      <c r="O12" s="1136"/>
      <c r="P12" s="3184"/>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2678">
        <f>D12/J12</f>
        <v>1</v>
      </c>
    </row>
    <row r="13" spans="1:29" ht="15">
      <c r="A13" s="428"/>
      <c r="B13" s="2607">
        <v>111</v>
      </c>
      <c r="C13" s="434"/>
      <c r="D13" s="435">
        <v>100</v>
      </c>
      <c r="E13" s="432"/>
      <c r="F13" s="136">
        <f>SUMIF(73:73,E13,74:74)-SUMIF(73:73,C13,74:74)+100</f>
        <v>100</v>
      </c>
      <c r="G13" s="2679"/>
      <c r="H13" s="435">
        <f>SUMIF(73:73,G13,74:74)-SUMIF(73:73,C13,74:74)+100</f>
        <v>100</v>
      </c>
      <c r="I13" s="432"/>
      <c r="J13" s="435">
        <f>SUMIF(73:73,I13,74:74)-SUMIF(73:73,C13,74:74)+100</f>
        <v>100</v>
      </c>
      <c r="K13" s="613"/>
      <c r="L13" s="1143"/>
      <c r="M13" s="1134"/>
      <c r="N13" s="1134"/>
      <c r="O13" s="1134"/>
      <c r="P13" s="3184"/>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2678">
        <f t="shared" si="5"/>
        <v>1</v>
      </c>
    </row>
    <row r="14" spans="1:29" ht="15.75" thickBot="1">
      <c r="A14" s="436"/>
      <c r="B14" s="2609">
        <v>111</v>
      </c>
      <c r="C14" s="437"/>
      <c r="D14" s="438">
        <v>100</v>
      </c>
      <c r="E14" s="628"/>
      <c r="F14" s="438">
        <f>SUMIF(75:75,E14,76:76)-SUMIF(75:75,C14,76:76)+100</f>
        <v>100</v>
      </c>
      <c r="G14" s="2679"/>
      <c r="H14" s="438">
        <f>SUMIF(75:75,G14,76:76)-SUMIF(75:75,C14,76:76)+100</f>
        <v>100</v>
      </c>
      <c r="I14" s="432"/>
      <c r="J14" s="438">
        <f>SUMIF(75:75,I14,76:76)-SUMIF(75:75,C14,76:76)+100</f>
        <v>100</v>
      </c>
      <c r="K14" s="613"/>
      <c r="L14" s="1143"/>
      <c r="M14" s="1134"/>
      <c r="N14" s="1134"/>
      <c r="O14" s="1134"/>
      <c r="P14" s="3184"/>
      <c r="Q14" s="1798">
        <f t="shared" si="6"/>
        <v>111</v>
      </c>
      <c r="R14" s="770" t="s">
        <v>17</v>
      </c>
      <c r="S14" s="771">
        <f t="shared" si="0"/>
        <v>100</v>
      </c>
      <c r="T14" s="770" t="s">
        <v>17</v>
      </c>
      <c r="U14" s="771">
        <f t="shared" si="1"/>
        <v>100</v>
      </c>
      <c r="V14" s="770" t="s">
        <v>17</v>
      </c>
      <c r="W14" s="771">
        <f t="shared" si="2"/>
        <v>100</v>
      </c>
      <c r="X14" s="772"/>
      <c r="Y14" s="3017"/>
      <c r="Z14" s="55">
        <f t="shared" si="7"/>
        <v>111</v>
      </c>
      <c r="AA14" s="773">
        <f t="shared" si="3"/>
        <v>1</v>
      </c>
      <c r="AB14" s="773">
        <f t="shared" si="4"/>
        <v>1</v>
      </c>
      <c r="AC14" s="2678">
        <f t="shared" si="5"/>
        <v>1</v>
      </c>
    </row>
    <row r="15" spans="1:29" ht="71.25">
      <c r="A15" s="440" t="s">
        <v>2562</v>
      </c>
      <c r="B15" s="629" t="s">
        <v>2690</v>
      </c>
      <c r="C15" s="268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11" t="s">
        <v>2563</v>
      </c>
      <c r="Q15" s="1813" t="str">
        <f t="shared" si="6"/>
        <v>办公集聚程度</v>
      </c>
      <c r="R15" s="774" t="s">
        <v>17</v>
      </c>
      <c r="S15" s="775">
        <f t="shared" si="0"/>
        <v>100</v>
      </c>
      <c r="T15" s="774" t="s">
        <v>17</v>
      </c>
      <c r="U15" s="775">
        <f t="shared" si="1"/>
        <v>100</v>
      </c>
      <c r="V15" s="774" t="s">
        <v>17</v>
      </c>
      <c r="W15" s="775">
        <f t="shared" si="2"/>
        <v>100</v>
      </c>
      <c r="X15" s="1816"/>
      <c r="Y15" s="3204" t="s">
        <v>2563</v>
      </c>
      <c r="Z15" s="1817" t="str">
        <f t="shared" si="7"/>
        <v>办公集聚程度</v>
      </c>
      <c r="AA15" s="1814">
        <f t="shared" si="3"/>
        <v>1</v>
      </c>
      <c r="AB15" s="1814">
        <f t="shared" si="4"/>
        <v>1</v>
      </c>
      <c r="AC15" s="2681">
        <f t="shared" si="5"/>
        <v>1</v>
      </c>
    </row>
    <row r="16" spans="1:29" ht="15">
      <c r="A16" s="428"/>
      <c r="B16" s="630"/>
      <c r="C16" s="2618"/>
      <c r="D16" s="448"/>
      <c r="E16" s="447"/>
      <c r="F16" s="448"/>
      <c r="G16" s="2618"/>
      <c r="H16" s="450"/>
      <c r="I16" s="447"/>
      <c r="J16" s="448"/>
      <c r="K16" s="615"/>
      <c r="L16" s="1143"/>
      <c r="M16" s="1134"/>
      <c r="N16" s="1134"/>
      <c r="O16" s="1134"/>
      <c r="P16" s="3212"/>
      <c r="Q16" s="1813"/>
      <c r="R16" s="774"/>
      <c r="S16" s="775"/>
      <c r="T16" s="774"/>
      <c r="U16" s="775"/>
      <c r="V16" s="774"/>
      <c r="W16" s="775"/>
      <c r="X16" s="1816"/>
      <c r="Y16" s="3205"/>
      <c r="Z16" s="1817"/>
      <c r="AA16" s="1814">
        <v>1</v>
      </c>
      <c r="AB16" s="1814">
        <v>1</v>
      </c>
      <c r="AC16" s="2681">
        <v>1</v>
      </c>
    </row>
    <row r="17" spans="1:29" ht="71.25">
      <c r="A17" s="428"/>
      <c r="B17" s="631" t="s">
        <v>2099</v>
      </c>
      <c r="C17" s="268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12"/>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2681">
        <f t="shared" si="5"/>
        <v>1</v>
      </c>
    </row>
    <row r="18" spans="1:29" ht="15">
      <c r="A18" s="428"/>
      <c r="B18" s="632"/>
      <c r="C18" s="2683"/>
      <c r="D18" s="450"/>
      <c r="E18" s="2616"/>
      <c r="F18" s="450"/>
      <c r="G18" s="2617"/>
      <c r="H18" s="448"/>
      <c r="I18" s="2617"/>
      <c r="J18" s="448"/>
      <c r="K18" s="615"/>
      <c r="L18" s="1143"/>
      <c r="M18" s="1134"/>
      <c r="N18" s="1134"/>
      <c r="O18" s="1134"/>
      <c r="P18" s="3212"/>
      <c r="Q18" s="1813"/>
      <c r="R18" s="774"/>
      <c r="S18" s="775"/>
      <c r="T18" s="774"/>
      <c r="U18" s="775"/>
      <c r="V18" s="774"/>
      <c r="W18" s="775"/>
      <c r="X18" s="1816"/>
      <c r="Y18" s="3205"/>
      <c r="Z18" s="1817"/>
      <c r="AA18" s="1814">
        <v>1</v>
      </c>
      <c r="AB18" s="1814">
        <v>1</v>
      </c>
      <c r="AC18" s="2681">
        <v>1</v>
      </c>
    </row>
    <row r="19" spans="1:29" ht="42.75">
      <c r="A19" s="428"/>
      <c r="B19" s="631" t="s">
        <v>2691</v>
      </c>
      <c r="C19" s="268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12"/>
      <c r="Q19" s="1813" t="str">
        <f>B19</f>
        <v>公共配套设施</v>
      </c>
      <c r="R19" s="774" t="s">
        <v>17</v>
      </c>
      <c r="S19" s="775">
        <f>F19</f>
        <v>100</v>
      </c>
      <c r="T19" s="774" t="s">
        <v>17</v>
      </c>
      <c r="U19" s="775">
        <f>H19</f>
        <v>100</v>
      </c>
      <c r="V19" s="774" t="s">
        <v>17</v>
      </c>
      <c r="W19" s="775">
        <f>J19</f>
        <v>100</v>
      </c>
      <c r="X19" s="1816"/>
      <c r="Y19" s="3205"/>
      <c r="Z19" s="1817" t="str">
        <f>Q19</f>
        <v>公共配套设施</v>
      </c>
      <c r="AA19" s="1814">
        <f t="shared" si="3"/>
        <v>1</v>
      </c>
      <c r="AB19" s="1814">
        <f t="shared" si="4"/>
        <v>1</v>
      </c>
      <c r="AC19" s="2681">
        <f t="shared" si="5"/>
        <v>1</v>
      </c>
    </row>
    <row r="20" spans="1:29" ht="15">
      <c r="A20" s="428"/>
      <c r="B20" s="632"/>
      <c r="C20" s="2618"/>
      <c r="D20" s="448"/>
      <c r="E20" s="2611"/>
      <c r="F20" s="448"/>
      <c r="G20" s="2612"/>
      <c r="H20" s="448"/>
      <c r="I20" s="2612"/>
      <c r="J20" s="448"/>
      <c r="K20" s="615"/>
      <c r="L20" s="1143"/>
      <c r="M20" s="1134"/>
      <c r="N20" s="1134"/>
      <c r="O20" s="1134"/>
      <c r="P20" s="3212"/>
      <c r="Q20" s="1813"/>
      <c r="R20" s="774"/>
      <c r="S20" s="775"/>
      <c r="T20" s="774"/>
      <c r="U20" s="775"/>
      <c r="V20" s="774"/>
      <c r="W20" s="775"/>
      <c r="X20" s="1816"/>
      <c r="Y20" s="3205"/>
      <c r="Z20" s="1817"/>
      <c r="AA20" s="1814">
        <v>1</v>
      </c>
      <c r="AB20" s="1814">
        <v>1</v>
      </c>
      <c r="AC20" s="2681">
        <v>1</v>
      </c>
    </row>
    <row r="21" spans="1:29" ht="28.5">
      <c r="A21" s="428"/>
      <c r="B21" s="633" t="s">
        <v>2692</v>
      </c>
      <c r="C21" s="268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12"/>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2681">
        <f t="shared" ref="AC21" si="10">D21/J21</f>
        <v>1</v>
      </c>
    </row>
    <row r="22" spans="1:29" ht="15">
      <c r="A22" s="428"/>
      <c r="B22" s="633"/>
      <c r="C22" s="2683"/>
      <c r="D22" s="448"/>
      <c r="E22" s="447"/>
      <c r="F22" s="448"/>
      <c r="G22" s="2618"/>
      <c r="H22" s="448"/>
      <c r="I22" s="2618"/>
      <c r="J22" s="448"/>
      <c r="K22" s="1386"/>
      <c r="L22" s="1143"/>
      <c r="M22" s="1134"/>
      <c r="N22" s="1134"/>
      <c r="O22" s="1134"/>
      <c r="P22" s="3212"/>
      <c r="Q22" s="1813"/>
      <c r="R22" s="774"/>
      <c r="S22" s="775"/>
      <c r="T22" s="774"/>
      <c r="U22" s="775"/>
      <c r="V22" s="774"/>
      <c r="W22" s="775"/>
      <c r="X22" s="1816"/>
      <c r="Y22" s="3205"/>
      <c r="Z22" s="1817"/>
      <c r="AA22" s="1814">
        <v>1</v>
      </c>
      <c r="AB22" s="1814">
        <v>1</v>
      </c>
      <c r="AC22" s="2681">
        <v>1</v>
      </c>
    </row>
    <row r="23" spans="1:29" ht="42.75">
      <c r="A23" s="428"/>
      <c r="B23" s="631" t="s">
        <v>2693</v>
      </c>
      <c r="C23" s="268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12"/>
      <c r="Q23" s="1813" t="str">
        <f>B23</f>
        <v>环境质量</v>
      </c>
      <c r="R23" s="774" t="s">
        <v>17</v>
      </c>
      <c r="S23" s="775">
        <f>F23</f>
        <v>100</v>
      </c>
      <c r="T23" s="774" t="s">
        <v>17</v>
      </c>
      <c r="U23" s="775">
        <f>H23</f>
        <v>100</v>
      </c>
      <c r="V23" s="774" t="s">
        <v>17</v>
      </c>
      <c r="W23" s="775">
        <f>J23</f>
        <v>100</v>
      </c>
      <c r="X23" s="1816"/>
      <c r="Y23" s="3205"/>
      <c r="Z23" s="1817" t="str">
        <f>Q23</f>
        <v>环境质量</v>
      </c>
      <c r="AA23" s="1814">
        <f t="shared" si="3"/>
        <v>1</v>
      </c>
      <c r="AB23" s="1814">
        <f t="shared" si="4"/>
        <v>1</v>
      </c>
      <c r="AC23" s="2681">
        <f t="shared" si="5"/>
        <v>1</v>
      </c>
    </row>
    <row r="24" spans="1:29" ht="15">
      <c r="A24" s="428"/>
      <c r="B24" s="633"/>
      <c r="C24" s="2618"/>
      <c r="D24" s="448"/>
      <c r="E24" s="2611"/>
      <c r="F24" s="448"/>
      <c r="G24" s="2612"/>
      <c r="H24" s="448"/>
      <c r="I24" s="2612"/>
      <c r="J24" s="448"/>
      <c r="K24" s="615"/>
      <c r="L24" s="1143"/>
      <c r="M24" s="1134"/>
      <c r="N24" s="1134"/>
      <c r="O24" s="1134"/>
      <c r="P24" s="3212"/>
      <c r="Q24" s="1813"/>
      <c r="R24" s="774"/>
      <c r="S24" s="775"/>
      <c r="T24" s="774"/>
      <c r="U24" s="775"/>
      <c r="V24" s="774"/>
      <c r="W24" s="775"/>
      <c r="X24" s="1816"/>
      <c r="Y24" s="3205"/>
      <c r="Z24" s="1817"/>
      <c r="AA24" s="1814">
        <v>1</v>
      </c>
      <c r="AB24" s="1814">
        <v>1</v>
      </c>
      <c r="AC24" s="2681">
        <v>1</v>
      </c>
    </row>
    <row r="25" spans="1:29" ht="27">
      <c r="A25" s="404"/>
      <c r="B25" s="631" t="s">
        <v>2694</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212"/>
      <c r="Q25" s="1813" t="str">
        <f>B25</f>
        <v>毗邻道路的类型与等级</v>
      </c>
      <c r="R25" s="774" t="s">
        <v>17</v>
      </c>
      <c r="S25" s="775">
        <f>F25</f>
        <v>100</v>
      </c>
      <c r="T25" s="774" t="s">
        <v>17</v>
      </c>
      <c r="U25" s="775">
        <f>H25</f>
        <v>100</v>
      </c>
      <c r="V25" s="774" t="s">
        <v>17</v>
      </c>
      <c r="W25" s="775">
        <f>J25</f>
        <v>100</v>
      </c>
      <c r="X25" s="1816"/>
      <c r="Y25" s="3205"/>
      <c r="Z25" s="1817" t="str">
        <f>Q25</f>
        <v>毗邻道路的类型与等级</v>
      </c>
      <c r="AA25" s="1814">
        <f t="shared" si="3"/>
        <v>1</v>
      </c>
      <c r="AB25" s="1814">
        <f t="shared" si="4"/>
        <v>1</v>
      </c>
      <c r="AC25" s="2681">
        <f t="shared" si="5"/>
        <v>1</v>
      </c>
    </row>
    <row r="26" spans="1:29" ht="15">
      <c r="A26" s="404"/>
      <c r="B26" s="632"/>
      <c r="C26" s="634"/>
      <c r="D26" s="435"/>
      <c r="E26" s="616"/>
      <c r="F26" s="435"/>
      <c r="G26" s="634"/>
      <c r="H26" s="435"/>
      <c r="I26" s="616"/>
      <c r="J26" s="435"/>
      <c r="K26" s="615"/>
      <c r="L26" s="1143"/>
      <c r="M26" s="1134"/>
      <c r="N26" s="1134"/>
      <c r="O26" s="1134"/>
      <c r="P26" s="3212"/>
      <c r="Q26" s="1813"/>
      <c r="R26" s="774"/>
      <c r="S26" s="775"/>
      <c r="T26" s="774"/>
      <c r="U26" s="775"/>
      <c r="V26" s="774"/>
      <c r="W26" s="775"/>
      <c r="X26" s="1816"/>
      <c r="Y26" s="3205"/>
      <c r="Z26" s="1817"/>
      <c r="AA26" s="1814">
        <v>1</v>
      </c>
      <c r="AB26" s="1814">
        <v>1</v>
      </c>
      <c r="AC26" s="2681">
        <v>1</v>
      </c>
    </row>
    <row r="27" spans="1:29" ht="15">
      <c r="A27" s="428"/>
      <c r="B27" s="632" t="s">
        <v>2662</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12"/>
      <c r="Q27" s="1813" t="str">
        <f t="shared" ref="Q27:Q47" si="11">B27</f>
        <v>楼层</v>
      </c>
      <c r="R27" s="774" t="s">
        <v>17</v>
      </c>
      <c r="S27" s="775">
        <f>F27</f>
        <v>100</v>
      </c>
      <c r="T27" s="774" t="s">
        <v>17</v>
      </c>
      <c r="U27" s="775">
        <f>H27</f>
        <v>100</v>
      </c>
      <c r="V27" s="774" t="s">
        <v>17</v>
      </c>
      <c r="W27" s="775">
        <f>J27</f>
        <v>100</v>
      </c>
      <c r="X27" s="1816"/>
      <c r="Y27" s="3205"/>
      <c r="Z27" s="1817" t="str">
        <f>Q27</f>
        <v>楼层</v>
      </c>
      <c r="AA27" s="1814">
        <f t="shared" si="3"/>
        <v>1</v>
      </c>
      <c r="AB27" s="1814">
        <f t="shared" si="4"/>
        <v>1</v>
      </c>
      <c r="AC27" s="2681">
        <f t="shared" si="5"/>
        <v>1</v>
      </c>
    </row>
    <row r="28" spans="1:29" s="117" customFormat="1" ht="15">
      <c r="A28" s="431"/>
      <c r="B28" s="631" t="s">
        <v>2695</v>
      </c>
      <c r="C28" s="2684"/>
      <c r="D28" s="462">
        <v>100</v>
      </c>
      <c r="E28" s="2672"/>
      <c r="F28" s="462">
        <f>SUMIF(91:91,E28,92:92)-SUMIF(91:91,C28,92:92)+100</f>
        <v>100</v>
      </c>
      <c r="G28" s="2684"/>
      <c r="H28" s="462">
        <f>SUMIF(91:91,G28,92:92)-SUMIF(91:91,C28,92:92)+100</f>
        <v>100</v>
      </c>
      <c r="I28" s="2672"/>
      <c r="J28" s="462">
        <f>SUMIF(91:91,I28,92:92)-SUMIF(91:91,C28,92:92)+100</f>
        <v>100</v>
      </c>
      <c r="K28" s="612"/>
      <c r="L28" s="1135"/>
      <c r="M28" s="1136"/>
      <c r="N28" s="1136"/>
      <c r="O28" s="1136"/>
      <c r="P28" s="3212"/>
      <c r="Q28" s="1798" t="str">
        <f t="shared" si="11"/>
        <v>朝向</v>
      </c>
      <c r="R28" s="770" t="s">
        <v>17</v>
      </c>
      <c r="S28" s="771">
        <f>F28</f>
        <v>100</v>
      </c>
      <c r="T28" s="770" t="s">
        <v>17</v>
      </c>
      <c r="U28" s="771">
        <f>H28</f>
        <v>100</v>
      </c>
      <c r="V28" s="770" t="s">
        <v>17</v>
      </c>
      <c r="W28" s="771">
        <f>J28</f>
        <v>100</v>
      </c>
      <c r="X28" s="772"/>
      <c r="Y28" s="3205"/>
      <c r="Z28" s="55" t="str">
        <f>Q28</f>
        <v>朝向</v>
      </c>
      <c r="AA28" s="1814">
        <f>D28/F28</f>
        <v>1</v>
      </c>
      <c r="AB28" s="1814">
        <f>D28/H28</f>
        <v>1</v>
      </c>
      <c r="AC28" s="2681">
        <f>D28/J28</f>
        <v>1</v>
      </c>
    </row>
    <row r="29" spans="1:29" ht="15">
      <c r="A29" s="428"/>
      <c r="B29" s="2685">
        <v>111</v>
      </c>
      <c r="C29" s="2622"/>
      <c r="D29" s="435">
        <v>100</v>
      </c>
      <c r="E29" s="432"/>
      <c r="F29" s="435">
        <f>SUMIF(93:93,E29,94:94)-SUMIF(93:93,C29,94:94)+100</f>
        <v>100</v>
      </c>
      <c r="G29" s="2679"/>
      <c r="H29" s="435">
        <f>SUMIF(93:93,G29,94:94)-SUMIF(93:93,C29,94:94)+100</f>
        <v>100</v>
      </c>
      <c r="I29" s="432"/>
      <c r="J29" s="435">
        <f>SUMIF(93:93,I29,94:94)-SUMIF(93:93,C29,94:94)+100</f>
        <v>100</v>
      </c>
      <c r="K29" s="613"/>
      <c r="L29" s="1143"/>
      <c r="M29" s="1134"/>
      <c r="N29" s="1134"/>
      <c r="O29" s="1134"/>
      <c r="P29" s="3212"/>
      <c r="Q29" s="1813">
        <f t="shared" si="11"/>
        <v>111</v>
      </c>
      <c r="R29" s="774" t="s">
        <v>17</v>
      </c>
      <c r="S29" s="775">
        <f t="shared" ref="S29:S47" si="12">F29</f>
        <v>100</v>
      </c>
      <c r="T29" s="774" t="s">
        <v>17</v>
      </c>
      <c r="U29" s="775">
        <f t="shared" ref="U29:U47" si="13">H29</f>
        <v>100</v>
      </c>
      <c r="V29" s="774" t="s">
        <v>17</v>
      </c>
      <c r="W29" s="775">
        <f t="shared" ref="W29:W47" si="14">J29</f>
        <v>100</v>
      </c>
      <c r="X29" s="1816"/>
      <c r="Y29" s="3205"/>
      <c r="Z29" s="1817">
        <f t="shared" ref="Z29:Z47" si="15">Q29</f>
        <v>111</v>
      </c>
      <c r="AA29" s="1814">
        <f t="shared" si="3"/>
        <v>1</v>
      </c>
      <c r="AB29" s="1814">
        <f t="shared" si="4"/>
        <v>1</v>
      </c>
      <c r="AC29" s="2681">
        <f t="shared" si="5"/>
        <v>1</v>
      </c>
    </row>
    <row r="30" spans="1:29" ht="15">
      <c r="A30" s="428"/>
      <c r="B30" s="2685">
        <v>111</v>
      </c>
      <c r="C30" s="2622"/>
      <c r="D30" s="435">
        <v>100</v>
      </c>
      <c r="E30" s="432"/>
      <c r="F30" s="435">
        <f>SUMIF(95:95,E30,96:96)-SUMIF(95:95,C30,96:96)+100</f>
        <v>100</v>
      </c>
      <c r="G30" s="2679"/>
      <c r="H30" s="435">
        <f>SUMIF(95:95,G30,96:96)-SUMIF(95:95,C30,96:96)+100</f>
        <v>100</v>
      </c>
      <c r="I30" s="432"/>
      <c r="J30" s="435">
        <f>SUMIF(95:95,I30,96:96)-SUMIF(95:95,C30,96:96)+100</f>
        <v>100</v>
      </c>
      <c r="K30" s="613"/>
      <c r="L30" s="1143"/>
      <c r="M30" s="1134"/>
      <c r="N30" s="1134"/>
      <c r="O30" s="1134"/>
      <c r="P30" s="3212"/>
      <c r="Q30" s="1813">
        <f t="shared" si="11"/>
        <v>111</v>
      </c>
      <c r="R30" s="774" t="s">
        <v>17</v>
      </c>
      <c r="S30" s="775">
        <f t="shared" si="12"/>
        <v>100</v>
      </c>
      <c r="T30" s="774" t="s">
        <v>17</v>
      </c>
      <c r="U30" s="775">
        <f t="shared" si="13"/>
        <v>100</v>
      </c>
      <c r="V30" s="774" t="s">
        <v>17</v>
      </c>
      <c r="W30" s="775">
        <f t="shared" si="14"/>
        <v>100</v>
      </c>
      <c r="X30" s="1816"/>
      <c r="Y30" s="3205"/>
      <c r="Z30" s="1817">
        <f t="shared" si="15"/>
        <v>111</v>
      </c>
      <c r="AA30" s="1814">
        <f t="shared" si="3"/>
        <v>1</v>
      </c>
      <c r="AB30" s="1814">
        <f t="shared" si="4"/>
        <v>1</v>
      </c>
      <c r="AC30" s="2681">
        <f t="shared" si="5"/>
        <v>1</v>
      </c>
    </row>
    <row r="31" spans="1:29" ht="15">
      <c r="A31" s="428"/>
      <c r="B31" s="2685">
        <v>111</v>
      </c>
      <c r="C31" s="2622"/>
      <c r="D31" s="435">
        <v>100</v>
      </c>
      <c r="E31" s="432"/>
      <c r="F31" s="435">
        <f>SUMIF(97:97,E31,98:98)-SUMIF(97:97,C31,98:98)+100</f>
        <v>100</v>
      </c>
      <c r="G31" s="2679"/>
      <c r="H31" s="435">
        <f>SUMIF(97:97,G31,98:98)-SUMIF(97:97,C31,98:98)+100</f>
        <v>100</v>
      </c>
      <c r="I31" s="432"/>
      <c r="J31" s="435">
        <f>SUMIF(97:97,I31,98:98)-SUMIF(97:97,C31,98:98)+100</f>
        <v>100</v>
      </c>
      <c r="K31" s="613"/>
      <c r="L31" s="1143"/>
      <c r="M31" s="1134"/>
      <c r="N31" s="1134"/>
      <c r="O31" s="1134"/>
      <c r="P31" s="3212"/>
      <c r="Q31" s="1813">
        <f t="shared" si="11"/>
        <v>111</v>
      </c>
      <c r="R31" s="774" t="s">
        <v>17</v>
      </c>
      <c r="S31" s="775">
        <f t="shared" si="12"/>
        <v>100</v>
      </c>
      <c r="T31" s="774" t="s">
        <v>17</v>
      </c>
      <c r="U31" s="775">
        <f t="shared" si="13"/>
        <v>100</v>
      </c>
      <c r="V31" s="774" t="s">
        <v>17</v>
      </c>
      <c r="W31" s="775">
        <f t="shared" si="14"/>
        <v>100</v>
      </c>
      <c r="X31" s="1816"/>
      <c r="Y31" s="3205"/>
      <c r="Z31" s="1817">
        <f t="shared" si="15"/>
        <v>111</v>
      </c>
      <c r="AA31" s="1814">
        <f t="shared" si="3"/>
        <v>1</v>
      </c>
      <c r="AB31" s="1814">
        <f t="shared" si="4"/>
        <v>1</v>
      </c>
      <c r="AC31" s="2681">
        <f t="shared" si="5"/>
        <v>1</v>
      </c>
    </row>
    <row r="32" spans="1:29" ht="15.75" thickBot="1">
      <c r="A32" s="436"/>
      <c r="B32" s="635">
        <v>111</v>
      </c>
      <c r="C32" s="2623"/>
      <c r="D32" s="438">
        <v>100</v>
      </c>
      <c r="E32" s="628"/>
      <c r="F32" s="438">
        <f>SUMIF(99:99,E32,100:100)-SUMIF(99:99,C32,100:100)+100</f>
        <v>100</v>
      </c>
      <c r="G32" s="2679"/>
      <c r="H32" s="438">
        <f>SUMIF(99:99,G32,100:100)-SUMIF(99:99,C32,100:100)+100</f>
        <v>100</v>
      </c>
      <c r="I32" s="432"/>
      <c r="J32" s="438">
        <f>SUMIF(99:99,I32,100:100)-SUMIF(99:99,C32,100:100)+100</f>
        <v>100</v>
      </c>
      <c r="K32" s="613"/>
      <c r="L32" s="1143"/>
      <c r="M32" s="1134"/>
      <c r="N32" s="1134"/>
      <c r="O32" s="1134"/>
      <c r="P32" s="3212"/>
      <c r="Q32" s="1813">
        <f t="shared" si="11"/>
        <v>111</v>
      </c>
      <c r="R32" s="774" t="s">
        <v>17</v>
      </c>
      <c r="S32" s="775">
        <f t="shared" si="12"/>
        <v>100</v>
      </c>
      <c r="T32" s="774" t="s">
        <v>17</v>
      </c>
      <c r="U32" s="775">
        <f t="shared" si="13"/>
        <v>100</v>
      </c>
      <c r="V32" s="774" t="s">
        <v>17</v>
      </c>
      <c r="W32" s="775">
        <f t="shared" si="14"/>
        <v>100</v>
      </c>
      <c r="X32" s="1816"/>
      <c r="Y32" s="3205"/>
      <c r="Z32" s="1817">
        <f t="shared" si="15"/>
        <v>111</v>
      </c>
      <c r="AA32" s="1814">
        <f t="shared" si="3"/>
        <v>1</v>
      </c>
      <c r="AB32" s="1814">
        <f t="shared" si="4"/>
        <v>1</v>
      </c>
      <c r="AC32" s="2681">
        <f t="shared" si="5"/>
        <v>1</v>
      </c>
    </row>
    <row r="33" spans="1:29" ht="15">
      <c r="A33" s="440" t="s">
        <v>2566</v>
      </c>
      <c r="B33" s="71" t="s">
        <v>2696</v>
      </c>
      <c r="C33" s="2686"/>
      <c r="D33" s="467">
        <v>100</v>
      </c>
      <c r="E33" s="2686"/>
      <c r="F33" s="461">
        <f>SUMIF(101:101,E33,102:102)-SUMIF(101:101,C33,102:102)+100</f>
        <v>100</v>
      </c>
      <c r="G33" s="2686"/>
      <c r="H33" s="435">
        <f>SUMIF(101:101,G33,102:102)-SUMIF(101:101,C33,102:102)+100</f>
        <v>100</v>
      </c>
      <c r="I33" s="2686"/>
      <c r="J33" s="467">
        <f>SUMIF(101:101,I33,102:102)-SUMIF(101:101,C33,102:102)+100</f>
        <v>100</v>
      </c>
      <c r="K33" s="612"/>
      <c r="L33" s="1143"/>
      <c r="M33" s="1134"/>
      <c r="N33" s="1134"/>
      <c r="O33" s="1134"/>
      <c r="P33" s="3206" t="s">
        <v>2568</v>
      </c>
      <c r="Q33" s="1813" t="str">
        <f t="shared" si="11"/>
        <v>建筑类型</v>
      </c>
      <c r="R33" s="774" t="s">
        <v>17</v>
      </c>
      <c r="S33" s="775">
        <f t="shared" si="12"/>
        <v>100</v>
      </c>
      <c r="T33" s="774" t="s">
        <v>17</v>
      </c>
      <c r="U33" s="775">
        <f t="shared" si="13"/>
        <v>100</v>
      </c>
      <c r="V33" s="774" t="s">
        <v>17</v>
      </c>
      <c r="W33" s="775">
        <f t="shared" si="14"/>
        <v>100</v>
      </c>
      <c r="X33" s="1816"/>
      <c r="Y33" s="3209" t="s">
        <v>2568</v>
      </c>
      <c r="Z33" s="1817" t="str">
        <f t="shared" si="15"/>
        <v>建筑类型</v>
      </c>
      <c r="AA33" s="1814">
        <f t="shared" si="3"/>
        <v>1</v>
      </c>
      <c r="AB33" s="1814">
        <f t="shared" si="4"/>
        <v>1</v>
      </c>
      <c r="AC33" s="2681">
        <f t="shared" si="5"/>
        <v>1</v>
      </c>
    </row>
    <row r="34" spans="1:29" s="471" customFormat="1" ht="15">
      <c r="A34" s="468"/>
      <c r="B34" s="422" t="s">
        <v>2569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07"/>
      <c r="Q34" s="776" t="str">
        <f t="shared" si="11"/>
        <v>项目建筑规模</v>
      </c>
      <c r="R34" s="777" t="s">
        <v>17</v>
      </c>
      <c r="S34" s="778" t="e">
        <f t="shared" si="12"/>
        <v>#N/A</v>
      </c>
      <c r="T34" s="777" t="s">
        <v>17</v>
      </c>
      <c r="U34" s="778" t="e">
        <f t="shared" si="13"/>
        <v>#N/A</v>
      </c>
      <c r="V34" s="777" t="s">
        <v>17</v>
      </c>
      <c r="W34" s="778" t="e">
        <f t="shared" si="14"/>
        <v>#N/A</v>
      </c>
      <c r="X34" s="779"/>
      <c r="Y34" s="3209"/>
      <c r="Z34" s="780" t="str">
        <f t="shared" si="15"/>
        <v>项目建筑规模</v>
      </c>
      <c r="AA34" s="1814" t="e">
        <f t="shared" si="3"/>
        <v>#N/A</v>
      </c>
      <c r="AB34" s="1814" t="e">
        <f t="shared" si="4"/>
        <v>#N/A</v>
      </c>
      <c r="AC34" s="2681" t="e">
        <f t="shared" si="5"/>
        <v>#N/A</v>
      </c>
    </row>
    <row r="35" spans="1:29" ht="15">
      <c r="A35" s="472"/>
      <c r="B35" s="422" t="s">
        <v>2570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07"/>
      <c r="Q35" s="1813" t="str">
        <f t="shared" si="11"/>
        <v>建筑结构</v>
      </c>
      <c r="R35" s="774" t="s">
        <v>17</v>
      </c>
      <c r="S35" s="775">
        <f t="shared" si="12"/>
        <v>100</v>
      </c>
      <c r="T35" s="774" t="s">
        <v>17</v>
      </c>
      <c r="U35" s="775">
        <f t="shared" si="13"/>
        <v>100</v>
      </c>
      <c r="V35" s="774" t="s">
        <v>17</v>
      </c>
      <c r="W35" s="775">
        <f t="shared" si="14"/>
        <v>100</v>
      </c>
      <c r="X35" s="1816"/>
      <c r="Y35" s="3209"/>
      <c r="Z35" s="1817" t="str">
        <f t="shared" si="15"/>
        <v>建筑结构</v>
      </c>
      <c r="AA35" s="1814">
        <f t="shared" si="3"/>
        <v>1</v>
      </c>
      <c r="AB35" s="1814">
        <f t="shared" si="4"/>
        <v>1</v>
      </c>
      <c r="AC35" s="2681">
        <f t="shared" si="5"/>
        <v>1</v>
      </c>
    </row>
    <row r="36" spans="1:29" ht="15">
      <c r="A36" s="472"/>
      <c r="B36" s="422" t="s">
        <v>2664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07"/>
      <c r="Q36" s="1813" t="str">
        <f t="shared" si="11"/>
        <v>公共部分装修</v>
      </c>
      <c r="R36" s="774" t="s">
        <v>17</v>
      </c>
      <c r="S36" s="775">
        <f t="shared" si="12"/>
        <v>100</v>
      </c>
      <c r="T36" s="774" t="s">
        <v>17</v>
      </c>
      <c r="U36" s="775">
        <f t="shared" si="13"/>
        <v>100</v>
      </c>
      <c r="V36" s="774" t="s">
        <v>17</v>
      </c>
      <c r="W36" s="775">
        <f t="shared" si="14"/>
        <v>100</v>
      </c>
      <c r="X36" s="1816"/>
      <c r="Y36" s="3209"/>
      <c r="Z36" s="1817" t="str">
        <f t="shared" si="15"/>
        <v>公共部分装修</v>
      </c>
      <c r="AA36" s="1814">
        <f t="shared" si="3"/>
        <v>1</v>
      </c>
      <c r="AB36" s="1814">
        <f t="shared" si="4"/>
        <v>1</v>
      </c>
      <c r="AC36" s="2681">
        <f t="shared" si="5"/>
        <v>1</v>
      </c>
    </row>
    <row r="37" spans="1:29" ht="15">
      <c r="A37" s="472"/>
      <c r="B37" s="422" t="s">
        <v>2665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07"/>
      <c r="Q37" s="1813" t="str">
        <f t="shared" si="11"/>
        <v>成新度</v>
      </c>
      <c r="R37" s="774" t="s">
        <v>17</v>
      </c>
      <c r="S37" s="775" t="e">
        <f t="shared" si="12"/>
        <v>#N/A</v>
      </c>
      <c r="T37" s="774" t="s">
        <v>17</v>
      </c>
      <c r="U37" s="775" t="e">
        <f t="shared" si="13"/>
        <v>#N/A</v>
      </c>
      <c r="V37" s="774" t="s">
        <v>17</v>
      </c>
      <c r="W37" s="775" t="e">
        <f t="shared" si="14"/>
        <v>#N/A</v>
      </c>
      <c r="X37" s="1816"/>
      <c r="Y37" s="3209"/>
      <c r="Z37" s="1817" t="str">
        <f t="shared" si="15"/>
        <v>成新度</v>
      </c>
      <c r="AA37" s="1814" t="e">
        <f t="shared" si="3"/>
        <v>#N/A</v>
      </c>
      <c r="AB37" s="1814" t="e">
        <f t="shared" si="4"/>
        <v>#N/A</v>
      </c>
      <c r="AC37" s="2681" t="e">
        <f t="shared" si="5"/>
        <v>#N/A</v>
      </c>
    </row>
    <row r="38" spans="1:29" s="117" customFormat="1" ht="15">
      <c r="A38" s="473"/>
      <c r="B38" s="422" t="s">
        <v>2697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07"/>
      <c r="Q38" s="1798" t="str">
        <f t="shared" si="11"/>
        <v>写字楼等级</v>
      </c>
      <c r="R38" s="770" t="s">
        <v>17</v>
      </c>
      <c r="S38" s="771">
        <f t="shared" si="12"/>
        <v>100</v>
      </c>
      <c r="T38" s="770" t="s">
        <v>17</v>
      </c>
      <c r="U38" s="771">
        <f t="shared" si="13"/>
        <v>100</v>
      </c>
      <c r="V38" s="770" t="s">
        <v>17</v>
      </c>
      <c r="W38" s="771">
        <f t="shared" si="14"/>
        <v>100</v>
      </c>
      <c r="X38" s="772"/>
      <c r="Y38" s="3209"/>
      <c r="Z38" s="55" t="str">
        <f t="shared" si="15"/>
        <v>写字楼等级</v>
      </c>
      <c r="AA38" s="773">
        <f t="shared" si="3"/>
        <v>1</v>
      </c>
      <c r="AB38" s="773">
        <f t="shared" si="4"/>
        <v>1</v>
      </c>
      <c r="AC38" s="2678">
        <f t="shared" si="5"/>
        <v>1</v>
      </c>
    </row>
    <row r="39" spans="1:29" ht="15">
      <c r="A39" s="472"/>
      <c r="B39" s="422" t="s">
        <v>2698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07" t="s">
        <v>2568</v>
      </c>
      <c r="Q39" s="1813" t="str">
        <f t="shared" si="11"/>
        <v>物业管理</v>
      </c>
      <c r="R39" s="774" t="s">
        <v>17</v>
      </c>
      <c r="S39" s="775">
        <f t="shared" si="12"/>
        <v>100</v>
      </c>
      <c r="T39" s="774" t="s">
        <v>17</v>
      </c>
      <c r="U39" s="775">
        <f t="shared" si="13"/>
        <v>100</v>
      </c>
      <c r="V39" s="774" t="s">
        <v>17</v>
      </c>
      <c r="W39" s="775">
        <f t="shared" si="14"/>
        <v>100</v>
      </c>
      <c r="X39" s="1816"/>
      <c r="Y39" s="3209" t="s">
        <v>2568</v>
      </c>
      <c r="Z39" s="1817" t="str">
        <f t="shared" si="15"/>
        <v>物业管理</v>
      </c>
      <c r="AA39" s="1814">
        <f t="shared" si="3"/>
        <v>1</v>
      </c>
      <c r="AB39" s="1814">
        <f t="shared" si="4"/>
        <v>1</v>
      </c>
      <c r="AC39" s="2681">
        <f t="shared" si="5"/>
        <v>1</v>
      </c>
    </row>
    <row r="40" spans="1:29" ht="15">
      <c r="A40" s="472"/>
      <c r="B40" s="422" t="s">
        <v>2666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07"/>
      <c r="Q40" s="1813" t="str">
        <f t="shared" si="11"/>
        <v>市政基础设施</v>
      </c>
      <c r="R40" s="774" t="s">
        <v>17</v>
      </c>
      <c r="S40" s="775">
        <f t="shared" si="12"/>
        <v>100</v>
      </c>
      <c r="T40" s="774" t="s">
        <v>17</v>
      </c>
      <c r="U40" s="775">
        <f t="shared" si="13"/>
        <v>100</v>
      </c>
      <c r="V40" s="774" t="s">
        <v>17</v>
      </c>
      <c r="W40" s="775">
        <f t="shared" si="14"/>
        <v>100</v>
      </c>
      <c r="X40" s="1816"/>
      <c r="Y40" s="3209"/>
      <c r="Z40" s="1817" t="str">
        <f t="shared" si="15"/>
        <v>市政基础设施</v>
      </c>
      <c r="AA40" s="1814">
        <f t="shared" si="3"/>
        <v>1</v>
      </c>
      <c r="AB40" s="1814">
        <f t="shared" si="4"/>
        <v>1</v>
      </c>
      <c r="AC40" s="2681">
        <f t="shared" si="5"/>
        <v>1</v>
      </c>
    </row>
    <row r="41" spans="1:29" ht="15">
      <c r="A41" s="472"/>
      <c r="B41" s="422" t="s">
        <v>2668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07"/>
      <c r="Q41" s="1813" t="str">
        <f t="shared" si="11"/>
        <v>层高</v>
      </c>
      <c r="R41" s="774" t="s">
        <v>17</v>
      </c>
      <c r="S41" s="775">
        <f t="shared" si="12"/>
        <v>100</v>
      </c>
      <c r="T41" s="774" t="s">
        <v>17</v>
      </c>
      <c r="U41" s="775">
        <f t="shared" si="13"/>
        <v>100</v>
      </c>
      <c r="V41" s="774" t="s">
        <v>17</v>
      </c>
      <c r="W41" s="775">
        <f t="shared" si="14"/>
        <v>100</v>
      </c>
      <c r="X41" s="1816"/>
      <c r="Y41" s="3209"/>
      <c r="Z41" s="1817" t="str">
        <f t="shared" si="15"/>
        <v>层高</v>
      </c>
      <c r="AA41" s="1814">
        <f t="shared" si="3"/>
        <v>1</v>
      </c>
      <c r="AB41" s="1814">
        <f t="shared" si="4"/>
        <v>1</v>
      </c>
      <c r="AC41" s="2681">
        <f t="shared" si="5"/>
        <v>1</v>
      </c>
    </row>
    <row r="42" spans="1:29" s="471" customFormat="1" ht="15">
      <c r="A42" s="468"/>
      <c r="B42" s="1815" t="s">
        <v>2699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07"/>
      <c r="Q42" s="776" t="str">
        <f t="shared" si="11"/>
        <v>单套建筑面积</v>
      </c>
      <c r="R42" s="777" t="s">
        <v>17</v>
      </c>
      <c r="S42" s="778">
        <f t="shared" si="12"/>
        <v>100</v>
      </c>
      <c r="T42" s="777" t="s">
        <v>17</v>
      </c>
      <c r="U42" s="778">
        <f t="shared" si="13"/>
        <v>100</v>
      </c>
      <c r="V42" s="777" t="s">
        <v>17</v>
      </c>
      <c r="W42" s="778">
        <f t="shared" si="14"/>
        <v>100</v>
      </c>
      <c r="X42" s="779"/>
      <c r="Y42" s="3209"/>
      <c r="Z42" s="780" t="str">
        <f t="shared" si="15"/>
        <v>单套建筑面积</v>
      </c>
      <c r="AA42" s="1814">
        <f t="shared" si="3"/>
        <v>1</v>
      </c>
      <c r="AB42" s="1814">
        <f t="shared" si="4"/>
        <v>1</v>
      </c>
      <c r="AC42" s="2681">
        <f t="shared" si="5"/>
        <v>1</v>
      </c>
    </row>
    <row r="43" spans="1:29" ht="15">
      <c r="A43" s="472"/>
      <c r="B43" s="422" t="s">
        <v>2671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07"/>
      <c r="Q43" s="1813" t="str">
        <f t="shared" si="11"/>
        <v>内部装修</v>
      </c>
      <c r="R43" s="774" t="s">
        <v>17</v>
      </c>
      <c r="S43" s="775">
        <f t="shared" si="12"/>
        <v>100</v>
      </c>
      <c r="T43" s="774" t="s">
        <v>17</v>
      </c>
      <c r="U43" s="775">
        <f t="shared" si="13"/>
        <v>100</v>
      </c>
      <c r="V43" s="774" t="s">
        <v>17</v>
      </c>
      <c r="W43" s="775">
        <f t="shared" si="14"/>
        <v>100</v>
      </c>
      <c r="X43" s="1816"/>
      <c r="Y43" s="3209"/>
      <c r="Z43" s="1817" t="str">
        <f t="shared" si="15"/>
        <v>内部装修</v>
      </c>
      <c r="AA43" s="1814">
        <f t="shared" si="3"/>
        <v>1</v>
      </c>
      <c r="AB43" s="1814">
        <f t="shared" si="4"/>
        <v>1</v>
      </c>
      <c r="AC43" s="2681">
        <f t="shared" si="5"/>
        <v>1</v>
      </c>
    </row>
    <row r="44" spans="1:29" ht="15">
      <c r="A44" s="472"/>
      <c r="B44" s="422" t="s">
        <v>2579</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207"/>
      <c r="Q44" s="1813" t="str">
        <f t="shared" si="11"/>
        <v>内部装修维护情况</v>
      </c>
      <c r="R44" s="774" t="s">
        <v>17</v>
      </c>
      <c r="S44" s="775">
        <f t="shared" si="12"/>
        <v>100</v>
      </c>
      <c r="T44" s="774" t="s">
        <v>17</v>
      </c>
      <c r="U44" s="775">
        <f t="shared" si="13"/>
        <v>100</v>
      </c>
      <c r="V44" s="774" t="s">
        <v>17</v>
      </c>
      <c r="W44" s="775">
        <f t="shared" si="14"/>
        <v>100</v>
      </c>
      <c r="X44" s="1816"/>
      <c r="Y44" s="3209"/>
      <c r="Z44" s="1817" t="str">
        <f t="shared" si="15"/>
        <v>内部装修维护情况</v>
      </c>
      <c r="AA44" s="1814">
        <f t="shared" si="3"/>
        <v>1</v>
      </c>
      <c r="AB44" s="1814">
        <f t="shared" si="4"/>
        <v>1</v>
      </c>
      <c r="AC44" s="268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07"/>
      <c r="Q45" s="1798">
        <f t="shared" si="11"/>
        <v>111</v>
      </c>
      <c r="R45" s="770" t="s">
        <v>17</v>
      </c>
      <c r="S45" s="771">
        <f t="shared" si="12"/>
        <v>100</v>
      </c>
      <c r="T45" s="770" t="s">
        <v>17</v>
      </c>
      <c r="U45" s="771">
        <f t="shared" si="13"/>
        <v>100</v>
      </c>
      <c r="V45" s="770" t="s">
        <v>17</v>
      </c>
      <c r="W45" s="771">
        <f t="shared" si="14"/>
        <v>100</v>
      </c>
      <c r="X45" s="772"/>
      <c r="Y45" s="3209"/>
      <c r="Z45" s="55">
        <f t="shared" si="15"/>
        <v>111</v>
      </c>
      <c r="AA45" s="773">
        <f t="shared" si="3"/>
        <v>1</v>
      </c>
      <c r="AB45" s="773">
        <f t="shared" si="4"/>
        <v>1</v>
      </c>
      <c r="AC45" s="267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07"/>
      <c r="Q46" s="1813">
        <f t="shared" si="11"/>
        <v>111</v>
      </c>
      <c r="R46" s="774" t="s">
        <v>17</v>
      </c>
      <c r="S46" s="775">
        <f t="shared" si="12"/>
        <v>100</v>
      </c>
      <c r="T46" s="774" t="s">
        <v>17</v>
      </c>
      <c r="U46" s="775">
        <f t="shared" si="13"/>
        <v>100</v>
      </c>
      <c r="V46" s="774" t="s">
        <v>17</v>
      </c>
      <c r="W46" s="775">
        <f t="shared" si="14"/>
        <v>100</v>
      </c>
      <c r="X46" s="1816"/>
      <c r="Y46" s="3209"/>
      <c r="Z46" s="1817">
        <f t="shared" si="15"/>
        <v>111</v>
      </c>
      <c r="AA46" s="1814">
        <f t="shared" si="3"/>
        <v>1</v>
      </c>
      <c r="AB46" s="1814">
        <f t="shared" si="4"/>
        <v>1</v>
      </c>
      <c r="AC46" s="2681">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08"/>
      <c r="Q47" s="1813">
        <f t="shared" si="11"/>
        <v>111</v>
      </c>
      <c r="R47" s="774" t="s">
        <v>17</v>
      </c>
      <c r="S47" s="775">
        <f t="shared" si="12"/>
        <v>100</v>
      </c>
      <c r="T47" s="774" t="s">
        <v>17</v>
      </c>
      <c r="U47" s="775">
        <f t="shared" si="13"/>
        <v>100</v>
      </c>
      <c r="V47" s="774" t="s">
        <v>17</v>
      </c>
      <c r="W47" s="775">
        <f t="shared" si="14"/>
        <v>100</v>
      </c>
      <c r="X47" s="1816"/>
      <c r="Y47" s="3210"/>
      <c r="Z47" s="1817">
        <f t="shared" si="15"/>
        <v>111</v>
      </c>
      <c r="AA47" s="1814">
        <f t="shared" si="3"/>
        <v>1</v>
      </c>
      <c r="AB47" s="1814">
        <f t="shared" si="4"/>
        <v>1</v>
      </c>
      <c r="AC47" s="2681">
        <f t="shared" si="5"/>
        <v>1</v>
      </c>
    </row>
    <row r="48" spans="1:29" ht="15">
      <c r="A48" s="479" t="s">
        <v>2580</v>
      </c>
      <c r="B48" s="480"/>
      <c r="C48" s="1410" t="s">
        <v>1</v>
      </c>
      <c r="D48" s="1411"/>
      <c r="E48" s="1412"/>
      <c r="F48" s="1413"/>
      <c r="G48" s="1414"/>
      <c r="H48" s="1415"/>
      <c r="I48" s="1412"/>
      <c r="J48" s="485"/>
      <c r="K48" s="783"/>
      <c r="L48" s="1146"/>
      <c r="M48" s="1134"/>
      <c r="N48" s="1134"/>
      <c r="O48" s="1134"/>
      <c r="P48" s="3184" t="str">
        <f>A48</f>
        <v>成交单价（元/平方米）</v>
      </c>
      <c r="Q48" s="3202"/>
      <c r="R48" s="3203">
        <f>E48</f>
        <v>0</v>
      </c>
      <c r="S48" s="3203"/>
      <c r="T48" s="3203">
        <f>G48</f>
        <v>0</v>
      </c>
      <c r="U48" s="3203"/>
      <c r="V48" s="3203">
        <f>I48</f>
        <v>0</v>
      </c>
      <c r="W48" s="3203"/>
      <c r="X48" s="446"/>
      <c r="Y48" s="781"/>
      <c r="Z48" s="446"/>
      <c r="AA48" s="446"/>
      <c r="AB48" s="446"/>
      <c r="AC48" s="630"/>
    </row>
    <row r="49" spans="1:29" ht="15.75" thickBot="1">
      <c r="A49" s="486" t="s">
        <v>2672</v>
      </c>
      <c r="B49" s="487"/>
      <c r="C49" s="1416" t="e">
        <f>R50</f>
        <v>#DIV/0!</v>
      </c>
      <c r="D49" s="1417"/>
      <c r="E49" s="1418" t="e">
        <f>R49</f>
        <v>#DIV/0!</v>
      </c>
      <c r="F49" s="1418"/>
      <c r="G49" s="1416" t="e">
        <f>T49</f>
        <v>#DIV/0!</v>
      </c>
      <c r="H49" s="1417"/>
      <c r="I49" s="1418" t="e">
        <f>V49</f>
        <v>#DIV/0!</v>
      </c>
      <c r="J49" s="489"/>
      <c r="K49" s="784"/>
      <c r="L49" s="1146"/>
      <c r="M49" s="1134"/>
      <c r="N49" s="1134"/>
      <c r="O49" s="1134"/>
      <c r="P49" s="3184" t="str">
        <f>A49</f>
        <v>比较价值（元/平方米）</v>
      </c>
      <c r="Q49" s="3202"/>
      <c r="R49" s="3203" t="e">
        <f>IF(F1="售价",ROUND(PRODUCT(R48,AA7:AA47),0),ROUND(PRODUCT(R48,AA7:AA47),1))</f>
        <v>#DIV/0!</v>
      </c>
      <c r="S49" s="3203"/>
      <c r="T49" s="3203" t="e">
        <f>IF(F1="售价",ROUND(PRODUCT(T48,AB7:AB47),0),ROUND(PRODUCT(T48,AB7:AB47),1))</f>
        <v>#DIV/0!</v>
      </c>
      <c r="U49" s="3203"/>
      <c r="V49" s="3203" t="e">
        <f>IF(F1="售价",ROUND(PRODUCT(V48,AC7:AC47),0),ROUND(PRODUCT(V48,AC7:AC47),1))</f>
        <v>#DIV/0!</v>
      </c>
      <c r="W49" s="3203"/>
      <c r="X49" s="446"/>
      <c r="Y49" s="446"/>
      <c r="Z49" s="446"/>
      <c r="AA49" s="446"/>
      <c r="AB49" s="446"/>
      <c r="AC49" s="630"/>
    </row>
    <row r="50" spans="1:29" ht="15.75" thickBot="1">
      <c r="A50" s="492" t="s">
        <v>2673</v>
      </c>
      <c r="B50" s="493"/>
      <c r="C50" s="1420" t="e">
        <f>R50</f>
        <v>#DIV/0!</v>
      </c>
      <c r="D50" s="1420"/>
      <c r="E50" s="1420"/>
      <c r="F50" s="1420"/>
      <c r="G50" s="1420"/>
      <c r="H50" s="1420"/>
      <c r="I50" s="1420"/>
      <c r="J50" s="494"/>
      <c r="K50" s="785"/>
      <c r="L50" s="1146"/>
      <c r="M50" s="1134"/>
      <c r="N50" s="1134"/>
      <c r="O50" s="1134"/>
      <c r="P50" s="3225" t="str">
        <f>A50</f>
        <v>估价对象XX用房的比较价值（楼面单价，元/平方米）</v>
      </c>
      <c r="Q50" s="3226"/>
      <c r="R50" s="3227" t="e">
        <f>IF(F1="售价",ROUND(AVERAGE(R49:V49),0),ROUND(AVERAGE(R49:V49),1))</f>
        <v>#DIV/0!</v>
      </c>
      <c r="S50" s="3227"/>
      <c r="T50" s="3227"/>
      <c r="U50" s="3227"/>
      <c r="V50" s="3227"/>
      <c r="W50" s="3227"/>
      <c r="X50" s="2661"/>
      <c r="Y50" s="2661"/>
      <c r="Z50" s="2661"/>
      <c r="AA50" s="2661"/>
      <c r="AB50" s="2661"/>
      <c r="AC50" s="266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7"/>
    </row>
    <row r="56" spans="1:29" s="502" customFormat="1">
      <c r="A56" s="1148"/>
      <c r="B56" s="1149"/>
      <c r="C56" s="1153"/>
      <c r="D56" s="1148"/>
      <c r="E56" s="1148"/>
      <c r="F56" s="1148"/>
      <c r="G56" s="1148"/>
      <c r="H56" s="1148"/>
      <c r="I56" s="1148"/>
      <c r="J56" s="1148"/>
      <c r="K56" s="1151"/>
      <c r="L56" s="1152"/>
      <c r="M56" s="1148"/>
      <c r="N56" s="1148"/>
      <c r="O56" s="1148"/>
      <c r="P56" s="2687"/>
    </row>
    <row r="57" spans="1:29">
      <c r="A57" s="1147"/>
      <c r="B57" s="1149"/>
      <c r="C57" s="1153"/>
      <c r="D57" s="1147"/>
      <c r="E57" s="1147"/>
      <c r="F57" s="1147"/>
      <c r="G57" s="1147"/>
      <c r="H57" s="1147"/>
      <c r="I57" s="1147"/>
      <c r="J57" s="1147"/>
      <c r="K57" s="1108"/>
      <c r="L57" s="1109"/>
      <c r="M57" s="1147"/>
      <c r="N57" s="1147"/>
      <c r="O57" s="1147"/>
    </row>
    <row r="58" spans="1:29" ht="21.75" thickBot="1">
      <c r="A58" s="763" t="s">
        <v>2677</v>
      </c>
      <c r="B58" s="759"/>
      <c r="C58" s="764"/>
      <c r="D58" s="764"/>
      <c r="E58" s="764"/>
      <c r="F58" s="765"/>
      <c r="G58" s="765"/>
      <c r="H58" s="764"/>
      <c r="I58" s="764"/>
      <c r="J58" s="764"/>
      <c r="K58" s="766"/>
      <c r="L58" s="1164"/>
      <c r="M58" s="1162"/>
      <c r="N58" s="1162"/>
      <c r="O58" s="1162"/>
      <c r="P58" s="2688"/>
      <c r="Q58" s="504"/>
    </row>
    <row r="59" spans="1:29" s="508" customFormat="1" ht="15">
      <c r="A59" s="505" t="s">
        <v>2551</v>
      </c>
      <c r="B59" s="506"/>
      <c r="C59" s="1577" t="str">
        <f>YEAR(C7)&amp;"-"&amp;MONTH(C7)</f>
        <v>2018-11</v>
      </c>
      <c r="D59" s="1578">
        <f>EDATE(C59,-1)</f>
        <v>43374</v>
      </c>
      <c r="E59" s="1578">
        <f>EDATE(D59,-1)</f>
        <v>43344</v>
      </c>
      <c r="F59" s="1578">
        <f t="shared" ref="F59:O59" si="16">EDATE(E59,-1)</f>
        <v>43313</v>
      </c>
      <c r="G59" s="1578">
        <f t="shared" si="16"/>
        <v>43282</v>
      </c>
      <c r="H59" s="1578">
        <f t="shared" si="16"/>
        <v>43252</v>
      </c>
      <c r="I59" s="1578">
        <f t="shared" si="16"/>
        <v>43221</v>
      </c>
      <c r="J59" s="1578">
        <f t="shared" si="16"/>
        <v>43191</v>
      </c>
      <c r="K59" s="1578">
        <f t="shared" si="16"/>
        <v>43160</v>
      </c>
      <c r="L59" s="1578">
        <f t="shared" si="16"/>
        <v>43132</v>
      </c>
      <c r="M59" s="1578">
        <f t="shared" si="16"/>
        <v>43101</v>
      </c>
      <c r="N59" s="1578">
        <f t="shared" si="16"/>
        <v>43070</v>
      </c>
      <c r="O59" s="1578">
        <f t="shared" si="16"/>
        <v>43040</v>
      </c>
      <c r="P59" s="1574"/>
    </row>
    <row r="60" spans="1:29" s="117" customFormat="1" ht="15">
      <c r="A60" s="509"/>
      <c r="B60" s="510"/>
      <c r="C60" s="1576">
        <v>100</v>
      </c>
      <c r="D60" s="512"/>
      <c r="E60" s="512"/>
      <c r="F60" s="512"/>
      <c r="G60" s="512"/>
      <c r="H60" s="512"/>
      <c r="I60" s="512"/>
      <c r="J60" s="512"/>
      <c r="K60" s="512"/>
      <c r="L60" s="512"/>
      <c r="M60" s="513"/>
      <c r="N60" s="512"/>
      <c r="O60" s="513"/>
      <c r="P60" s="2689"/>
    </row>
    <row r="61" spans="1:29" s="117" customFormat="1" ht="15.75" thickBot="1">
      <c r="A61" s="515" t="s">
        <v>2588</v>
      </c>
      <c r="B61" s="516"/>
      <c r="C61" s="517"/>
      <c r="D61" s="518"/>
      <c r="E61" s="518"/>
      <c r="F61" s="518"/>
      <c r="G61" s="518"/>
      <c r="H61" s="518"/>
      <c r="I61" s="518"/>
      <c r="J61" s="518"/>
      <c r="K61" s="518"/>
      <c r="L61" s="518"/>
      <c r="M61" s="519"/>
      <c r="N61" s="518"/>
      <c r="O61" s="519"/>
      <c r="P61" s="2689"/>
      <c r="Q61" s="504"/>
    </row>
    <row r="62" spans="1:29" s="117" customFormat="1" ht="15">
      <c r="A62" s="521" t="s">
        <v>2553</v>
      </c>
      <c r="B62" s="510"/>
      <c r="C62" s="522" t="s">
        <v>2655</v>
      </c>
      <c r="D62" s="523"/>
      <c r="E62" s="523"/>
      <c r="F62" s="523"/>
      <c r="G62" s="523"/>
      <c r="H62" s="523"/>
      <c r="I62" s="523"/>
      <c r="J62" s="523"/>
      <c r="K62" s="523"/>
      <c r="L62" s="524"/>
      <c r="M62" s="525"/>
      <c r="N62" s="1154"/>
      <c r="O62" s="1154"/>
      <c r="P62" s="2690"/>
      <c r="Q62" s="504"/>
    </row>
    <row r="63" spans="1:29" s="117" customFormat="1" ht="15.75" thickBot="1">
      <c r="A63" s="521"/>
      <c r="B63" s="510"/>
      <c r="C63" s="511">
        <v>100</v>
      </c>
      <c r="D63" s="512"/>
      <c r="E63" s="512"/>
      <c r="F63" s="512"/>
      <c r="G63" s="512"/>
      <c r="H63" s="512"/>
      <c r="I63" s="512"/>
      <c r="J63" s="512"/>
      <c r="K63" s="512"/>
      <c r="L63" s="512"/>
      <c r="M63" s="514"/>
      <c r="N63" s="1154"/>
      <c r="O63" s="1154"/>
      <c r="P63" s="2689"/>
      <c r="Q63" s="504"/>
    </row>
    <row r="64" spans="1:29">
      <c r="A64" s="527" t="s">
        <v>2591</v>
      </c>
      <c r="B64" s="528" t="s">
        <v>2557</v>
      </c>
      <c r="C64" s="529">
        <f>C9</f>
        <v>0</v>
      </c>
      <c r="D64" s="530"/>
      <c r="E64" s="530"/>
      <c r="F64" s="530"/>
      <c r="G64" s="530"/>
      <c r="H64" s="530"/>
      <c r="I64" s="530"/>
      <c r="J64" s="530"/>
      <c r="K64" s="531"/>
      <c r="L64" s="532"/>
      <c r="M64" s="533"/>
      <c r="N64" s="1155"/>
      <c r="O64" s="1155"/>
      <c r="P64" s="2691"/>
      <c r="Q64" s="504"/>
    </row>
    <row r="65" spans="1:17" ht="15.75" thickBot="1">
      <c r="A65" s="534"/>
      <c r="B65" s="535"/>
      <c r="C65" s="536">
        <v>100</v>
      </c>
      <c r="D65" s="536"/>
      <c r="E65" s="536"/>
      <c r="F65" s="536"/>
      <c r="G65" s="536"/>
      <c r="H65" s="536"/>
      <c r="I65" s="536"/>
      <c r="J65" s="536"/>
      <c r="K65" s="536"/>
      <c r="L65" s="536"/>
      <c r="M65" s="537"/>
      <c r="N65" s="1156"/>
      <c r="O65" s="1156"/>
      <c r="P65" s="2691"/>
      <c r="Q65" s="504"/>
    </row>
    <row r="66" spans="1:17" ht="27.75" thickTop="1">
      <c r="A66" s="534"/>
      <c r="B66" s="538" t="s">
        <v>2560</v>
      </c>
      <c r="C66" s="539" t="s">
        <v>2592</v>
      </c>
      <c r="D66" s="539" t="s">
        <v>2593</v>
      </c>
      <c r="E66" s="539" t="s">
        <v>2594</v>
      </c>
      <c r="F66" s="539" t="s">
        <v>2595</v>
      </c>
      <c r="G66" s="539" t="s">
        <v>2596</v>
      </c>
      <c r="H66" s="539" t="s">
        <v>2597</v>
      </c>
      <c r="I66" s="539" t="s">
        <v>2598</v>
      </c>
      <c r="J66" s="539"/>
      <c r="K66" s="540"/>
      <c r="L66" s="541"/>
      <c r="M66" s="542"/>
      <c r="N66" s="1155"/>
      <c r="O66" s="1155"/>
      <c r="P66" s="269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1"/>
      <c r="Q67" s="504"/>
    </row>
    <row r="68" spans="1:17" ht="15.75" thickTop="1">
      <c r="A68" s="534"/>
      <c r="B68" s="546" t="s">
        <v>2561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1"/>
      <c r="Q68" s="504"/>
    </row>
    <row r="69" spans="1:17" ht="15">
      <c r="A69" s="534"/>
      <c r="B69" s="548"/>
      <c r="C69" s="549"/>
      <c r="D69" s="549"/>
      <c r="E69" s="549"/>
      <c r="F69" s="549"/>
      <c r="G69" s="549"/>
      <c r="H69" s="549"/>
      <c r="I69" s="549"/>
      <c r="J69" s="549"/>
      <c r="K69" s="550"/>
      <c r="L69" s="551"/>
      <c r="M69" s="552"/>
      <c r="N69" s="1155"/>
      <c r="O69" s="1155"/>
      <c r="P69" s="269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1"/>
      <c r="Q70" s="504"/>
    </row>
    <row r="71" spans="1:17" s="471" customFormat="1" ht="15.75" thickTop="1">
      <c r="A71" s="553"/>
      <c r="B71" s="538">
        <f>B12</f>
        <v>111</v>
      </c>
      <c r="C71" s="554"/>
      <c r="D71" s="554"/>
      <c r="E71" s="554"/>
      <c r="F71" s="554"/>
      <c r="G71" s="554"/>
      <c r="H71" s="555"/>
      <c r="I71" s="555"/>
      <c r="J71" s="555"/>
      <c r="K71" s="555"/>
      <c r="L71" s="556"/>
      <c r="M71" s="557"/>
      <c r="N71" s="1157"/>
      <c r="O71" s="1157"/>
      <c r="P71" s="2692"/>
      <c r="Q71" s="559"/>
    </row>
    <row r="72" spans="1:17" s="471" customFormat="1" ht="15.75" thickBot="1">
      <c r="A72" s="553"/>
      <c r="B72" s="543"/>
      <c r="C72" s="560"/>
      <c r="D72" s="536"/>
      <c r="E72" s="536"/>
      <c r="F72" s="536"/>
      <c r="G72" s="536"/>
      <c r="H72" s="536"/>
      <c r="I72" s="536"/>
      <c r="J72" s="536"/>
      <c r="K72" s="536"/>
      <c r="L72" s="536"/>
      <c r="M72" s="537"/>
      <c r="N72" s="1156"/>
      <c r="O72" s="1156"/>
      <c r="P72" s="2692"/>
      <c r="Q72" s="559"/>
    </row>
    <row r="73" spans="1:17" s="471" customFormat="1" ht="15.75" thickTop="1">
      <c r="A73" s="553"/>
      <c r="B73" s="538">
        <f>B13</f>
        <v>111</v>
      </c>
      <c r="C73" s="554"/>
      <c r="D73" s="554"/>
      <c r="E73" s="554"/>
      <c r="F73" s="554"/>
      <c r="G73" s="554"/>
      <c r="H73" s="555"/>
      <c r="I73" s="555"/>
      <c r="J73" s="555"/>
      <c r="K73" s="555"/>
      <c r="L73" s="556"/>
      <c r="M73" s="557"/>
      <c r="N73" s="1157"/>
      <c r="O73" s="1157"/>
      <c r="P73" s="2693"/>
      <c r="Q73" s="561"/>
    </row>
    <row r="74" spans="1:17" s="471" customFormat="1" ht="15.75" thickBot="1">
      <c r="A74" s="553"/>
      <c r="B74" s="543"/>
      <c r="C74" s="560"/>
      <c r="D74" s="560"/>
      <c r="E74" s="560"/>
      <c r="F74" s="560"/>
      <c r="G74" s="560"/>
      <c r="H74" s="562"/>
      <c r="I74" s="562"/>
      <c r="J74" s="562"/>
      <c r="K74" s="562"/>
      <c r="L74" s="562"/>
      <c r="M74" s="563"/>
      <c r="N74" s="1157"/>
      <c r="O74" s="1157"/>
      <c r="P74" s="2692"/>
      <c r="Q74" s="559"/>
    </row>
    <row r="75" spans="1:17" s="471" customFormat="1" ht="15.75" thickTop="1">
      <c r="A75" s="553"/>
      <c r="B75" s="546">
        <f>B14</f>
        <v>111</v>
      </c>
      <c r="C75" s="523"/>
      <c r="D75" s="523"/>
      <c r="E75" s="523"/>
      <c r="F75" s="523"/>
      <c r="G75" s="523"/>
      <c r="H75" s="564"/>
      <c r="I75" s="564"/>
      <c r="J75" s="564"/>
      <c r="K75" s="564"/>
      <c r="L75" s="565"/>
      <c r="M75" s="566"/>
      <c r="N75" s="1157"/>
      <c r="O75" s="1157"/>
      <c r="P75" s="2694"/>
      <c r="Q75" s="559"/>
    </row>
    <row r="76" spans="1:17" s="471" customFormat="1" ht="15.75" thickBot="1">
      <c r="A76" s="568"/>
      <c r="B76" s="569"/>
      <c r="C76" s="570"/>
      <c r="D76" s="570"/>
      <c r="E76" s="570"/>
      <c r="F76" s="570"/>
      <c r="G76" s="570"/>
      <c r="H76" s="571"/>
      <c r="I76" s="571"/>
      <c r="J76" s="571"/>
      <c r="K76" s="571"/>
      <c r="L76" s="571"/>
      <c r="M76" s="572"/>
      <c r="N76" s="1157"/>
      <c r="O76" s="1157"/>
      <c r="P76" s="2692"/>
      <c r="Q76" s="559"/>
    </row>
    <row r="77" spans="1:17">
      <c r="A77" s="527" t="s">
        <v>2562</v>
      </c>
      <c r="B77" s="528" t="s">
        <v>2700</v>
      </c>
      <c r="C77" s="573" t="s">
        <v>2600</v>
      </c>
      <c r="D77" s="573" t="s">
        <v>2601</v>
      </c>
      <c r="E77" s="573" t="s">
        <v>2602</v>
      </c>
      <c r="F77" s="573" t="s">
        <v>2603</v>
      </c>
      <c r="G77" s="573" t="s">
        <v>2604</v>
      </c>
      <c r="H77" s="529"/>
      <c r="I77" s="529"/>
      <c r="J77" s="529"/>
      <c r="K77" s="574"/>
      <c r="L77" s="575"/>
      <c r="M77" s="576"/>
      <c r="N77" s="1155"/>
      <c r="O77" s="1155"/>
      <c r="P77" s="269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1"/>
      <c r="Q78" s="504"/>
    </row>
    <row r="79" spans="1:17" ht="15.75" thickTop="1">
      <c r="A79" s="534"/>
      <c r="B79" s="538" t="s">
        <v>2605</v>
      </c>
      <c r="C79" s="578" t="s">
        <v>2600</v>
      </c>
      <c r="D79" s="578" t="s">
        <v>2601</v>
      </c>
      <c r="E79" s="578" t="s">
        <v>2602</v>
      </c>
      <c r="F79" s="578" t="s">
        <v>2603</v>
      </c>
      <c r="G79" s="578" t="s">
        <v>2604</v>
      </c>
      <c r="H79" s="539"/>
      <c r="I79" s="539"/>
      <c r="J79" s="539"/>
      <c r="K79" s="540"/>
      <c r="L79" s="541"/>
      <c r="M79" s="542"/>
      <c r="N79" s="1155"/>
      <c r="O79" s="1155"/>
      <c r="P79" s="269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1"/>
      <c r="Q80" s="504"/>
    </row>
    <row r="81" spans="1:17" ht="15.75" thickTop="1">
      <c r="A81" s="534"/>
      <c r="B81" s="538" t="s">
        <v>2606</v>
      </c>
      <c r="C81" s="578" t="s">
        <v>2600</v>
      </c>
      <c r="D81" s="578" t="s">
        <v>2601</v>
      </c>
      <c r="E81" s="578" t="s">
        <v>2602</v>
      </c>
      <c r="F81" s="578" t="s">
        <v>2603</v>
      </c>
      <c r="G81" s="578" t="s">
        <v>2604</v>
      </c>
      <c r="H81" s="539"/>
      <c r="I81" s="539"/>
      <c r="J81" s="539"/>
      <c r="K81" s="540"/>
      <c r="L81" s="541"/>
      <c r="M81" s="542"/>
      <c r="N81" s="1155"/>
      <c r="O81" s="1155"/>
      <c r="P81" s="269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1"/>
      <c r="Q82" s="504"/>
    </row>
    <row r="83" spans="1:17" ht="15.75" thickTop="1">
      <c r="A83" s="534"/>
      <c r="B83" s="546" t="s">
        <v>2692</v>
      </c>
      <c r="C83" s="660" t="s">
        <v>2678</v>
      </c>
      <c r="D83" s="660" t="s">
        <v>2679</v>
      </c>
      <c r="E83" s="660" t="s">
        <v>2680</v>
      </c>
      <c r="F83" s="660" t="s">
        <v>2681</v>
      </c>
      <c r="G83" s="660" t="s">
        <v>2682</v>
      </c>
      <c r="H83" s="539"/>
      <c r="I83" s="539"/>
      <c r="J83" s="539"/>
      <c r="K83" s="539"/>
      <c r="L83" s="539"/>
      <c r="M83" s="1385"/>
      <c r="N83" s="1156"/>
      <c r="O83" s="1156"/>
      <c r="P83" s="269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1"/>
      <c r="Q84" s="504"/>
    </row>
    <row r="85" spans="1:17" ht="15.75" thickTop="1">
      <c r="A85" s="534"/>
      <c r="B85" s="538" t="s">
        <v>2701</v>
      </c>
      <c r="C85" s="578" t="s">
        <v>2600</v>
      </c>
      <c r="D85" s="578" t="s">
        <v>2601</v>
      </c>
      <c r="E85" s="578" t="s">
        <v>2602</v>
      </c>
      <c r="F85" s="578" t="s">
        <v>2603</v>
      </c>
      <c r="G85" s="578" t="s">
        <v>2604</v>
      </c>
      <c r="H85" s="539"/>
      <c r="I85" s="539"/>
      <c r="J85" s="539"/>
      <c r="K85" s="540"/>
      <c r="L85" s="541"/>
      <c r="M85" s="542"/>
      <c r="N85" s="1155"/>
      <c r="O85" s="1155"/>
      <c r="P85" s="269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1"/>
      <c r="Q86" s="504"/>
    </row>
    <row r="87" spans="1:17" s="117" customFormat="1" ht="27.75" thickTop="1">
      <c r="A87" s="579"/>
      <c r="B87" s="538" t="s">
        <v>2702</v>
      </c>
      <c r="C87" s="554"/>
      <c r="D87" s="554"/>
      <c r="E87" s="554"/>
      <c r="F87" s="554"/>
      <c r="G87" s="554"/>
      <c r="H87" s="554"/>
      <c r="I87" s="554"/>
      <c r="J87" s="554"/>
      <c r="K87" s="554"/>
      <c r="L87" s="580"/>
      <c r="M87" s="581"/>
      <c r="N87" s="1154"/>
      <c r="O87" s="1154"/>
      <c r="P87" s="269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1"/>
      <c r="Q88" s="504"/>
    </row>
    <row r="89" spans="1:17" s="117" customFormat="1" ht="15.75" thickTop="1">
      <c r="A89" s="579"/>
      <c r="B89" s="538" t="str">
        <f>B27</f>
        <v>楼层</v>
      </c>
      <c r="C89" s="554"/>
      <c r="D89" s="554"/>
      <c r="E89" s="554"/>
      <c r="F89" s="2642"/>
      <c r="G89" s="554"/>
      <c r="H89" s="554"/>
      <c r="I89" s="554"/>
      <c r="J89" s="554"/>
      <c r="K89" s="554"/>
      <c r="L89" s="554"/>
      <c r="M89" s="581"/>
      <c r="N89" s="1154"/>
      <c r="O89" s="1154"/>
      <c r="P89" s="269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2"/>
      <c r="Q92" s="559"/>
    </row>
    <row r="93" spans="1:17" ht="15.75" thickTop="1">
      <c r="A93" s="534"/>
      <c r="B93" s="538">
        <f>B29</f>
        <v>111</v>
      </c>
      <c r="C93" s="554"/>
      <c r="D93" s="554"/>
      <c r="E93" s="554"/>
      <c r="F93" s="554"/>
      <c r="G93" s="554"/>
      <c r="H93" s="554"/>
      <c r="I93" s="554"/>
      <c r="J93" s="554"/>
      <c r="K93" s="554"/>
      <c r="L93" s="580"/>
      <c r="M93" s="581"/>
      <c r="N93" s="1155"/>
      <c r="O93" s="1155"/>
      <c r="P93" s="2691"/>
      <c r="Q93" s="504"/>
    </row>
    <row r="94" spans="1:17" ht="15.75" thickBot="1">
      <c r="A94" s="534"/>
      <c r="B94" s="543"/>
      <c r="C94" s="560"/>
      <c r="D94" s="536"/>
      <c r="E94" s="536"/>
      <c r="F94" s="536"/>
      <c r="G94" s="536"/>
      <c r="H94" s="536"/>
      <c r="I94" s="536"/>
      <c r="J94" s="536"/>
      <c r="K94" s="536"/>
      <c r="L94" s="536"/>
      <c r="M94" s="537"/>
      <c r="N94" s="1156"/>
      <c r="O94" s="1156"/>
      <c r="P94" s="2691"/>
      <c r="Q94" s="504"/>
    </row>
    <row r="95" spans="1:17" ht="15.75" thickTop="1">
      <c r="A95" s="534"/>
      <c r="B95" s="538">
        <f>B30</f>
        <v>111</v>
      </c>
      <c r="C95" s="554"/>
      <c r="D95" s="554"/>
      <c r="E95" s="554"/>
      <c r="F95" s="554"/>
      <c r="G95" s="583"/>
      <c r="H95" s="583"/>
      <c r="I95" s="583"/>
      <c r="J95" s="583"/>
      <c r="K95" s="584"/>
      <c r="L95" s="585"/>
      <c r="M95" s="586"/>
      <c r="N95" s="1155"/>
      <c r="O95" s="1155"/>
      <c r="P95" s="2691"/>
      <c r="Q95" s="504"/>
    </row>
    <row r="96" spans="1:17" ht="15.75" thickBot="1">
      <c r="A96" s="534"/>
      <c r="B96" s="543"/>
      <c r="C96" s="560"/>
      <c r="D96" s="560"/>
      <c r="E96" s="560"/>
      <c r="F96" s="560"/>
      <c r="G96" s="536"/>
      <c r="H96" s="536"/>
      <c r="I96" s="536"/>
      <c r="J96" s="536"/>
      <c r="K96" s="536"/>
      <c r="L96" s="536"/>
      <c r="M96" s="537"/>
      <c r="N96" s="1156"/>
      <c r="O96" s="1156"/>
      <c r="P96" s="2691"/>
      <c r="Q96" s="504"/>
    </row>
    <row r="97" spans="1:17" ht="15.75" thickTop="1">
      <c r="A97" s="534"/>
      <c r="B97" s="538">
        <f>B31</f>
        <v>111</v>
      </c>
      <c r="C97" s="554"/>
      <c r="D97" s="554"/>
      <c r="E97" s="554"/>
      <c r="F97" s="554"/>
      <c r="G97" s="583"/>
      <c r="H97" s="583"/>
      <c r="I97" s="583"/>
      <c r="J97" s="583"/>
      <c r="K97" s="584"/>
      <c r="L97" s="585"/>
      <c r="M97" s="586"/>
      <c r="N97" s="1155"/>
      <c r="O97" s="1155"/>
      <c r="P97" s="2691"/>
      <c r="Q97" s="504"/>
    </row>
    <row r="98" spans="1:17" ht="15.75" thickBot="1">
      <c r="A98" s="534"/>
      <c r="B98" s="543"/>
      <c r="C98" s="560"/>
      <c r="D98" s="536"/>
      <c r="E98" s="536"/>
      <c r="F98" s="536"/>
      <c r="G98" s="536"/>
      <c r="H98" s="536"/>
      <c r="I98" s="536"/>
      <c r="J98" s="536"/>
      <c r="K98" s="536"/>
      <c r="L98" s="536"/>
      <c r="M98" s="537"/>
      <c r="N98" s="1156"/>
      <c r="O98" s="1156"/>
      <c r="P98" s="2691"/>
      <c r="Q98" s="504"/>
    </row>
    <row r="99" spans="1:17" ht="15.75" thickTop="1">
      <c r="A99" s="534"/>
      <c r="B99" s="546">
        <f>B32</f>
        <v>111</v>
      </c>
      <c r="C99" s="523"/>
      <c r="D99" s="523"/>
      <c r="E99" s="523"/>
      <c r="F99" s="523"/>
      <c r="G99" s="587"/>
      <c r="H99" s="587"/>
      <c r="I99" s="587"/>
      <c r="J99" s="587"/>
      <c r="K99" s="588"/>
      <c r="L99" s="589"/>
      <c r="M99" s="590"/>
      <c r="N99" s="1155"/>
      <c r="O99" s="1155"/>
      <c r="P99" s="2691"/>
      <c r="Q99" s="504"/>
    </row>
    <row r="100" spans="1:17" ht="15.75" thickBot="1">
      <c r="A100" s="2643"/>
      <c r="B100" s="569"/>
      <c r="C100" s="570"/>
      <c r="D100" s="570"/>
      <c r="E100" s="570"/>
      <c r="F100" s="570"/>
      <c r="G100" s="591"/>
      <c r="H100" s="591"/>
      <c r="I100" s="591"/>
      <c r="J100" s="591"/>
      <c r="K100" s="591"/>
      <c r="L100" s="591"/>
      <c r="M100" s="592"/>
      <c r="N100" s="1156"/>
      <c r="O100" s="1156"/>
      <c r="P100" s="2691"/>
      <c r="Q100" s="504"/>
    </row>
    <row r="101" spans="1:17">
      <c r="A101" s="527" t="s">
        <v>2566</v>
      </c>
      <c r="B101" s="528" t="s">
        <v>2615</v>
      </c>
      <c r="C101" s="530"/>
      <c r="D101" s="530"/>
      <c r="E101" s="530"/>
      <c r="F101" s="530"/>
      <c r="G101" s="530"/>
      <c r="H101" s="530"/>
      <c r="I101" s="530"/>
      <c r="J101" s="530"/>
      <c r="K101" s="531"/>
      <c r="L101" s="532"/>
      <c r="M101" s="533"/>
      <c r="N101" s="1155"/>
      <c r="O101" s="1155"/>
      <c r="P101" s="269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1"/>
      <c r="Q102" s="504"/>
    </row>
    <row r="103" spans="1:17" ht="15.75" thickTop="1">
      <c r="A103" s="534"/>
      <c r="B103" s="538" t="s">
        <v>2616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1"/>
      <c r="Q103" s="504"/>
    </row>
    <row r="104" spans="1:17" s="471" customFormat="1">
      <c r="A104" s="593"/>
      <c r="B104" s="594"/>
      <c r="C104" s="595"/>
      <c r="D104" s="595"/>
      <c r="E104" s="595"/>
      <c r="F104" s="595"/>
      <c r="G104" s="595"/>
      <c r="H104" s="595"/>
      <c r="I104" s="595"/>
      <c r="J104" s="596"/>
      <c r="K104" s="596"/>
      <c r="L104" s="597"/>
      <c r="M104" s="598"/>
      <c r="N104" s="1157"/>
      <c r="O104" s="1157"/>
      <c r="P104" s="269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2"/>
      <c r="Q105" s="559"/>
    </row>
    <row r="106" spans="1:17" ht="15" thickTop="1">
      <c r="A106" s="599"/>
      <c r="B106" s="538" t="s">
        <v>2617</v>
      </c>
      <c r="C106" s="554"/>
      <c r="D106" s="554"/>
      <c r="E106" s="583"/>
      <c r="F106" s="583"/>
      <c r="G106" s="583"/>
      <c r="H106" s="583"/>
      <c r="I106" s="583"/>
      <c r="J106" s="583"/>
      <c r="K106" s="584"/>
      <c r="L106" s="585"/>
      <c r="M106" s="586"/>
      <c r="N106" s="1155"/>
      <c r="O106" s="1155"/>
      <c r="P106" s="269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1"/>
      <c r="Q107" s="504"/>
    </row>
    <row r="108" spans="1:17" ht="15" thickTop="1">
      <c r="A108" s="599"/>
      <c r="B108" s="538" t="s">
        <v>2619</v>
      </c>
      <c r="C108" s="554"/>
      <c r="D108" s="554"/>
      <c r="E108" s="554"/>
      <c r="F108" s="583"/>
      <c r="G108" s="583"/>
      <c r="H108" s="583"/>
      <c r="I108" s="583"/>
      <c r="J108" s="583"/>
      <c r="K108" s="584"/>
      <c r="L108" s="585"/>
      <c r="M108" s="586"/>
      <c r="N108" s="1155"/>
      <c r="O108" s="1155"/>
      <c r="P108" s="269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1"/>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1"/>
      <c r="Q112" s="504"/>
    </row>
    <row r="113" spans="1:17" s="471" customFormat="1" ht="15" thickTop="1">
      <c r="A113" s="593"/>
      <c r="B113" s="538" t="s">
        <v>2703</v>
      </c>
      <c r="C113" s="554"/>
      <c r="D113" s="554"/>
      <c r="E113" s="554"/>
      <c r="F113" s="554"/>
      <c r="G113" s="554"/>
      <c r="H113" s="583"/>
      <c r="I113" s="583"/>
      <c r="J113" s="583"/>
      <c r="K113" s="584"/>
      <c r="L113" s="585"/>
      <c r="M113" s="586"/>
      <c r="N113" s="1157"/>
      <c r="O113" s="1157"/>
      <c r="P113" s="269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2"/>
      <c r="Q114" s="559"/>
    </row>
    <row r="115" spans="1:17" ht="15" thickTop="1">
      <c r="A115" s="599"/>
      <c r="B115" s="538" t="s">
        <v>2620</v>
      </c>
      <c r="C115" s="554"/>
      <c r="D115" s="554"/>
      <c r="E115" s="583"/>
      <c r="F115" s="583"/>
      <c r="G115" s="583"/>
      <c r="H115" s="583"/>
      <c r="I115" s="583"/>
      <c r="J115" s="583"/>
      <c r="K115" s="584"/>
      <c r="L115" s="585"/>
      <c r="M115" s="586"/>
      <c r="N115" s="1155"/>
      <c r="O115" s="1155"/>
      <c r="P115" s="269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1"/>
      <c r="Q116" s="504"/>
    </row>
    <row r="117" spans="1:17" ht="15" thickTop="1">
      <c r="A117" s="599"/>
      <c r="B117" s="538" t="s">
        <v>2621</v>
      </c>
      <c r="C117" s="554"/>
      <c r="D117" s="554"/>
      <c r="E117" s="554"/>
      <c r="F117" s="554"/>
      <c r="G117" s="554"/>
      <c r="H117" s="583"/>
      <c r="I117" s="583"/>
      <c r="J117" s="583"/>
      <c r="K117" s="584"/>
      <c r="L117" s="585"/>
      <c r="M117" s="586"/>
      <c r="N117" s="1155"/>
      <c r="O117" s="1155"/>
      <c r="P117" s="269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1"/>
      <c r="Q118" s="504"/>
    </row>
    <row r="119" spans="1:17" ht="15" thickTop="1">
      <c r="A119" s="599"/>
      <c r="B119" s="636" t="s">
        <v>2704</v>
      </c>
      <c r="C119" s="583"/>
      <c r="D119" s="583"/>
      <c r="E119" s="583"/>
      <c r="F119" s="583"/>
      <c r="G119" s="583"/>
      <c r="H119" s="583"/>
      <c r="I119" s="583"/>
      <c r="J119" s="583"/>
      <c r="K119" s="583"/>
      <c r="L119" s="2696"/>
      <c r="M119" s="2697"/>
      <c r="N119" s="1156"/>
      <c r="O119" s="1156"/>
      <c r="P119" s="269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1"/>
      <c r="Q120" s="504"/>
    </row>
    <row r="121" spans="1:17" s="471" customFormat="1" ht="15" thickTop="1">
      <c r="A121" s="593"/>
      <c r="B121" s="538" t="s">
        <v>2687</v>
      </c>
      <c r="C121" s="554"/>
      <c r="D121" s="554"/>
      <c r="E121" s="554"/>
      <c r="F121" s="583"/>
      <c r="G121" s="555"/>
      <c r="H121" s="555"/>
      <c r="I121" s="555"/>
      <c r="J121" s="555"/>
      <c r="K121" s="555"/>
      <c r="L121" s="556"/>
      <c r="M121" s="557"/>
      <c r="N121" s="1157"/>
      <c r="O121" s="1157"/>
      <c r="P121" s="269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2"/>
      <c r="Q122" s="559"/>
    </row>
    <row r="123" spans="1:17" ht="15" thickTop="1">
      <c r="A123" s="599"/>
      <c r="B123" s="538" t="s">
        <v>2623</v>
      </c>
      <c r="C123" s="554"/>
      <c r="D123" s="554"/>
      <c r="E123" s="554"/>
      <c r="F123" s="583"/>
      <c r="G123" s="583"/>
      <c r="H123" s="583"/>
      <c r="I123" s="583"/>
      <c r="J123" s="583"/>
      <c r="K123" s="584"/>
      <c r="L123" s="585"/>
      <c r="M123" s="586"/>
      <c r="N123" s="1155"/>
      <c r="O123" s="1155"/>
      <c r="P123" s="269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1"/>
      <c r="Q124" s="504"/>
    </row>
    <row r="125" spans="1:17" ht="15" thickTop="1">
      <c r="A125" s="599"/>
      <c r="B125" s="538" t="s">
        <v>2624</v>
      </c>
      <c r="C125" s="578" t="s">
        <v>2600</v>
      </c>
      <c r="D125" s="578" t="s">
        <v>2601</v>
      </c>
      <c r="E125" s="578" t="s">
        <v>2602</v>
      </c>
      <c r="F125" s="578" t="s">
        <v>2603</v>
      </c>
      <c r="G125" s="578" t="s">
        <v>2604</v>
      </c>
      <c r="H125" s="539"/>
      <c r="I125" s="539"/>
      <c r="J125" s="539"/>
      <c r="K125" s="540"/>
      <c r="L125" s="541"/>
      <c r="M125" s="542"/>
      <c r="N125" s="1155"/>
      <c r="O125" s="1155"/>
      <c r="P125" s="269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2"/>
      <c r="Q128" s="559"/>
    </row>
    <row r="129" spans="1:17" ht="15" thickTop="1">
      <c r="A129" s="599"/>
      <c r="B129" s="538">
        <f>B46</f>
        <v>111</v>
      </c>
      <c r="C129" s="554"/>
      <c r="D129" s="554"/>
      <c r="E129" s="554"/>
      <c r="F129" s="554"/>
      <c r="G129" s="583"/>
      <c r="H129" s="583"/>
      <c r="I129" s="583"/>
      <c r="J129" s="583"/>
      <c r="K129" s="584"/>
      <c r="L129" s="585"/>
      <c r="M129" s="586"/>
      <c r="N129" s="1155"/>
      <c r="O129" s="1155"/>
      <c r="P129" s="2691"/>
      <c r="Q129" s="504"/>
    </row>
    <row r="130" spans="1:17" ht="15.75" thickBot="1">
      <c r="A130" s="534"/>
      <c r="B130" s="543"/>
      <c r="C130" s="560"/>
      <c r="D130" s="560"/>
      <c r="E130" s="560"/>
      <c r="F130" s="560"/>
      <c r="G130" s="536"/>
      <c r="H130" s="536"/>
      <c r="I130" s="536"/>
      <c r="J130" s="536"/>
      <c r="K130" s="536"/>
      <c r="L130" s="536"/>
      <c r="M130" s="537"/>
      <c r="N130" s="1156"/>
      <c r="O130" s="1156"/>
      <c r="P130" s="2691"/>
      <c r="Q130" s="504"/>
    </row>
    <row r="131" spans="1:17" ht="15" thickTop="1">
      <c r="A131" s="599"/>
      <c r="B131" s="546">
        <f>B47</f>
        <v>111</v>
      </c>
      <c r="C131" s="523"/>
      <c r="D131" s="523"/>
      <c r="E131" s="523"/>
      <c r="F131" s="523"/>
      <c r="G131" s="587"/>
      <c r="H131" s="587"/>
      <c r="I131" s="587"/>
      <c r="J131" s="587"/>
      <c r="K131" s="523"/>
      <c r="L131" s="524"/>
      <c r="M131" s="590"/>
      <c r="N131" s="1155"/>
      <c r="O131" s="1155"/>
      <c r="P131" s="2691"/>
      <c r="Q131" s="504"/>
    </row>
    <row r="132" spans="1:17" ht="15.75" thickBot="1">
      <c r="A132" s="2643"/>
      <c r="B132" s="569"/>
      <c r="C132" s="570"/>
      <c r="D132" s="570"/>
      <c r="E132" s="570"/>
      <c r="F132" s="570"/>
      <c r="G132" s="591"/>
      <c r="H132" s="591"/>
      <c r="I132" s="591"/>
      <c r="J132" s="591"/>
      <c r="K132" s="591"/>
      <c r="L132" s="591"/>
      <c r="M132" s="592"/>
      <c r="N132" s="1156"/>
      <c r="O132" s="1156"/>
      <c r="P132" s="2691"/>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28" zoomScale="90" zoomScaleNormal="90" workbookViewId="0">
      <selection activeCell="F92" sqref="F92"/>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2531</v>
      </c>
      <c r="B1" s="2676" t="s">
        <v>2705</v>
      </c>
      <c r="C1" s="1623" t="s">
        <v>2533</v>
      </c>
      <c r="D1" s="1624"/>
      <c r="E1" s="1633"/>
      <c r="F1" s="2591" t="s">
        <v>3080</v>
      </c>
      <c r="G1" s="1634" t="s">
        <v>2646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f>IF(C2="——",ROUND(C43*D3/10000,0),ROUND(C43*D3/10000,0)-D2)</f>
        <v>225010</v>
      </c>
      <c r="C2" s="2593" t="s">
        <v>70</v>
      </c>
      <c r="D2" s="1127" t="e">
        <f ca="1">SUMIF(INDIRECT("'"&amp;F2&amp;"'"&amp;"!A:A"),"承租人权益价值",INDIRECT("'"&amp;F2&amp;"'"&amp;"!c:c"))</f>
        <v>#REF!</v>
      </c>
      <c r="E2" s="2594" t="s">
        <v>2331</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2332</v>
      </c>
      <c r="B3" s="609">
        <f>IF(C2="——",C43,ROUND(B2*10000/D3,0))</f>
        <v>38830</v>
      </c>
      <c r="C3" s="400" t="s">
        <v>2647</v>
      </c>
      <c r="D3" s="399">
        <f>IF(D1="",'数据-汇总表'!E3,SUMIF('数据-汇总表'!$C19:$C33,D1,'数据-汇总表'!$E19:$E33))</f>
        <v>57947.42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68" t="s">
        <v>2651</v>
      </c>
      <c r="AC4" s="3167" t="s">
        <v>2652</v>
      </c>
    </row>
    <row r="5" spans="1:29" ht="15">
      <c r="A5" s="404"/>
      <c r="B5" s="405"/>
      <c r="C5" s="3178" t="s">
        <v>2545</v>
      </c>
      <c r="D5" s="3179"/>
      <c r="E5" s="3277" t="s">
        <v>3090</v>
      </c>
      <c r="F5" s="3177"/>
      <c r="G5" s="3277" t="s">
        <v>3090</v>
      </c>
      <c r="H5" s="3177"/>
      <c r="I5" s="3288" t="s">
        <v>3126</v>
      </c>
      <c r="J5" s="3179"/>
      <c r="K5" s="610"/>
      <c r="L5" s="1133"/>
      <c r="M5" s="1134"/>
      <c r="N5" s="1134"/>
      <c r="O5" s="1134"/>
      <c r="P5" s="3191"/>
      <c r="Q5" s="3192"/>
      <c r="R5" s="3174"/>
      <c r="S5" s="3175"/>
      <c r="T5" s="3174"/>
      <c r="U5" s="3175"/>
      <c r="V5" s="3197"/>
      <c r="W5" s="3197"/>
      <c r="X5" s="1816"/>
      <c r="Y5" s="3174"/>
      <c r="Z5" s="3175"/>
      <c r="AA5" s="3168"/>
      <c r="AB5" s="3168"/>
      <c r="AC5" s="3168"/>
    </row>
    <row r="6" spans="1:29" ht="15.75" thickBot="1">
      <c r="A6" s="406"/>
      <c r="B6" s="407"/>
      <c r="C6" s="3180" t="s">
        <v>2549</v>
      </c>
      <c r="D6" s="3181"/>
      <c r="E6" s="3278" t="s">
        <v>3091</v>
      </c>
      <c r="F6" s="3183"/>
      <c r="G6" s="3278" t="s">
        <v>3091</v>
      </c>
      <c r="H6" s="3183"/>
      <c r="I6" s="3180" t="s">
        <v>2549</v>
      </c>
      <c r="J6" s="3181"/>
      <c r="K6" s="610" t="s">
        <v>2550</v>
      </c>
      <c r="L6" s="1133"/>
      <c r="M6" s="1134"/>
      <c r="N6" s="1134"/>
      <c r="O6" s="1134"/>
      <c r="P6" s="3193"/>
      <c r="Q6" s="3194"/>
      <c r="R6" s="3174"/>
      <c r="S6" s="3175"/>
      <c r="T6" s="3195"/>
      <c r="U6" s="3196"/>
      <c r="V6" s="3197"/>
      <c r="W6" s="3197"/>
      <c r="X6" s="1816"/>
      <c r="Y6" s="3195"/>
      <c r="Z6" s="3196"/>
      <c r="AA6" s="3169"/>
      <c r="AB6" s="3169"/>
      <c r="AC6" s="3169"/>
    </row>
    <row r="7" spans="1:29" s="117" customFormat="1" ht="15.75" thickBot="1">
      <c r="A7" s="408" t="s">
        <v>2551</v>
      </c>
      <c r="B7" s="409"/>
      <c r="C7" s="410">
        <f>'数据-取费表'!B2</f>
        <v>43423</v>
      </c>
      <c r="D7" s="411">
        <v>100</v>
      </c>
      <c r="E7" s="412">
        <v>43409</v>
      </c>
      <c r="F7" s="413">
        <f>SUMIF(52:52,YEAR(E7)&amp;"-"&amp;MONTH(E7),53:53)</f>
        <v>100</v>
      </c>
      <c r="G7" s="412">
        <v>43405</v>
      </c>
      <c r="H7" s="411">
        <f>SUMIF(52:52,YEAR(G7)&amp;"-"&amp;MONTH(G7),53:53)</f>
        <v>100</v>
      </c>
      <c r="I7" s="412">
        <v>43414</v>
      </c>
      <c r="J7" s="411">
        <f>SUMIF(52:52,YEAR(I7)&amp;"-"&amp;MONTH(I7),53:53)</f>
        <v>100</v>
      </c>
      <c r="K7" s="611"/>
      <c r="L7" s="1135"/>
      <c r="M7" s="1136"/>
      <c r="N7" s="1136"/>
      <c r="O7" s="1136"/>
      <c r="P7" s="3170" t="s">
        <v>2552</v>
      </c>
      <c r="Q7" s="3198"/>
      <c r="R7" s="770" t="s">
        <v>17</v>
      </c>
      <c r="S7" s="771">
        <f t="shared" ref="S7:S15" si="0">F7</f>
        <v>100</v>
      </c>
      <c r="T7" s="770" t="s">
        <v>17</v>
      </c>
      <c r="U7" s="771">
        <f t="shared" ref="U7:U15" si="1">H7</f>
        <v>100</v>
      </c>
      <c r="V7" s="770" t="s">
        <v>17</v>
      </c>
      <c r="W7" s="771">
        <f t="shared" ref="W7:W15" si="2">J7</f>
        <v>100</v>
      </c>
      <c r="X7" s="772"/>
      <c r="Y7" s="3170" t="s">
        <v>2552</v>
      </c>
      <c r="Z7" s="3171"/>
      <c r="AA7" s="773">
        <f>D7/F7</f>
        <v>1</v>
      </c>
      <c r="AB7" s="773">
        <f>D7/H7</f>
        <v>1</v>
      </c>
      <c r="AC7" s="773">
        <f>D7/J7</f>
        <v>1</v>
      </c>
    </row>
    <row r="8" spans="1:29" s="117" customFormat="1" ht="15.75" thickBot="1">
      <c r="A8" s="408" t="s">
        <v>2553</v>
      </c>
      <c r="B8" s="409"/>
      <c r="C8" s="414" t="s">
        <v>2554</v>
      </c>
      <c r="D8" s="411">
        <v>100</v>
      </c>
      <c r="E8" s="414" t="s">
        <v>3078</v>
      </c>
      <c r="F8" s="413">
        <f>SUMIF(55:55,E8,56:56)-SUMIF(55:55,C8,56:56)+100</f>
        <v>100</v>
      </c>
      <c r="G8" s="414" t="s">
        <v>3078</v>
      </c>
      <c r="H8" s="411">
        <f>SUMIF(55:55,G8,56:56)-SUMIF(55:55,C8,56:56)+100</f>
        <v>100</v>
      </c>
      <c r="I8" s="414" t="s">
        <v>3078</v>
      </c>
      <c r="J8" s="411">
        <f>SUMIF(55:55,I8,56:56)-SUMIF(55:55,C8,56:56)+100</f>
        <v>100</v>
      </c>
      <c r="K8" s="611"/>
      <c r="L8" s="1135"/>
      <c r="M8" s="1136"/>
      <c r="N8" s="1136"/>
      <c r="O8" s="1136"/>
      <c r="P8" s="3170" t="s">
        <v>2555</v>
      </c>
      <c r="Q8" s="3171"/>
      <c r="R8" s="770" t="s">
        <v>17</v>
      </c>
      <c r="S8" s="771">
        <f t="shared" si="0"/>
        <v>100</v>
      </c>
      <c r="T8" s="770" t="s">
        <v>17</v>
      </c>
      <c r="U8" s="771">
        <f t="shared" si="1"/>
        <v>100</v>
      </c>
      <c r="V8" s="770" t="s">
        <v>17</v>
      </c>
      <c r="W8" s="771">
        <f t="shared" si="2"/>
        <v>100</v>
      </c>
      <c r="X8" s="772"/>
      <c r="Y8" s="3170" t="s">
        <v>2555</v>
      </c>
      <c r="Z8" s="3171"/>
      <c r="AA8" s="773">
        <f t="shared" ref="AA8:AA40" si="3">D8/F8</f>
        <v>1</v>
      </c>
      <c r="AB8" s="773">
        <f t="shared" ref="AB8:AB40" si="4">D8/H8</f>
        <v>1</v>
      </c>
      <c r="AC8" s="773">
        <f t="shared" ref="AC8:AC40" si="5">D8/J8</f>
        <v>1</v>
      </c>
    </row>
    <row r="9" spans="1:29" s="117" customFormat="1">
      <c r="A9" s="415" t="s">
        <v>2556</v>
      </c>
      <c r="B9" s="71" t="s">
        <v>2557</v>
      </c>
      <c r="C9" s="3283" t="s">
        <v>3100</v>
      </c>
      <c r="D9" s="135">
        <v>100</v>
      </c>
      <c r="E9" s="419" t="s">
        <v>6</v>
      </c>
      <c r="F9" s="135">
        <f>SUMIF(57:57,E9,58:58)-SUMIF(57:57,C9,58:58)+100</f>
        <v>100</v>
      </c>
      <c r="G9" s="417" t="s">
        <v>6</v>
      </c>
      <c r="H9" s="135">
        <f>SUMIF(57:57,G9,58:58)-SUMIF(57:57,C9,58:58)+100</f>
        <v>100</v>
      </c>
      <c r="I9" s="417" t="s">
        <v>6</v>
      </c>
      <c r="J9" s="135">
        <f>SUMIF(57:57,I9,58:58)-SUMIF(57:57,C9,58:58)+100</f>
        <v>100</v>
      </c>
      <c r="K9" s="611"/>
      <c r="L9" s="1135"/>
      <c r="M9" s="1136"/>
      <c r="N9" s="1136"/>
      <c r="O9" s="1137"/>
      <c r="P9" s="3202"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773">
        <f t="shared" si="5"/>
        <v>1</v>
      </c>
    </row>
    <row r="10" spans="1:29" s="427" customFormat="1" ht="27">
      <c r="A10" s="421"/>
      <c r="B10" s="422" t="s">
        <v>2560</v>
      </c>
      <c r="C10" s="423" t="s">
        <v>3127</v>
      </c>
      <c r="D10" s="136">
        <v>100</v>
      </c>
      <c r="E10" s="423" t="s">
        <v>3128</v>
      </c>
      <c r="F10" s="136">
        <f>SUMIF(59:59,E10,60:60)-SUMIF(59:59,C10,60:60)+100</f>
        <v>98</v>
      </c>
      <c r="G10" s="424" t="s">
        <v>3128</v>
      </c>
      <c r="H10" s="136">
        <f>SUMIF(59:59,G10,60:60)-SUMIF(59:59,C10,60:60)+100</f>
        <v>98</v>
      </c>
      <c r="I10" s="423" t="s">
        <v>3127</v>
      </c>
      <c r="J10" s="136">
        <f>SUMIF(59:59,I10,60:60)-SUMIF(59:59,C10,60:60)+100</f>
        <v>100</v>
      </c>
      <c r="K10" s="612">
        <v>2</v>
      </c>
      <c r="L10" s="1138"/>
      <c r="M10" s="1139"/>
      <c r="N10" s="1139"/>
      <c r="O10" s="1140"/>
      <c r="P10" s="3202"/>
      <c r="Q10" s="1798" t="str">
        <f t="shared" si="6"/>
        <v>土地使用年限（年）</v>
      </c>
      <c r="R10" s="770" t="s">
        <v>17</v>
      </c>
      <c r="S10" s="771">
        <f t="shared" si="0"/>
        <v>98</v>
      </c>
      <c r="T10" s="770" t="s">
        <v>17</v>
      </c>
      <c r="U10" s="771">
        <f t="shared" si="1"/>
        <v>98</v>
      </c>
      <c r="V10" s="770" t="s">
        <v>17</v>
      </c>
      <c r="W10" s="771">
        <f t="shared" si="2"/>
        <v>100</v>
      </c>
      <c r="X10" s="772"/>
      <c r="Y10" s="3017"/>
      <c r="Z10" s="55" t="str">
        <f t="shared" si="7"/>
        <v>土地使用年限（年）</v>
      </c>
      <c r="AA10" s="773">
        <f t="shared" si="3"/>
        <v>1.0204081632653061</v>
      </c>
      <c r="AB10" s="773">
        <f t="shared" si="4"/>
        <v>1.0204081632653061</v>
      </c>
      <c r="AC10" s="773">
        <f t="shared" si="5"/>
        <v>1</v>
      </c>
    </row>
    <row r="11" spans="1:29" ht="15">
      <c r="A11" s="428"/>
      <c r="B11" s="422" t="s">
        <v>2561</v>
      </c>
      <c r="C11" s="429"/>
      <c r="D11" s="136">
        <v>100</v>
      </c>
      <c r="E11" s="429"/>
      <c r="F11" s="136">
        <f>LOOKUP(E11,62:62,63:63)-LOOKUP(C11,62:62,63:63)+100</f>
        <v>100</v>
      </c>
      <c r="G11" s="430"/>
      <c r="H11" s="136">
        <f>LOOKUP(G11,62:62,63:63)-LOOKUP(C11,62:62,63:63)+100</f>
        <v>100</v>
      </c>
      <c r="I11" s="429"/>
      <c r="J11" s="136">
        <f>LOOKUP(I11,62:62,63:63)-LOOKUP(C11,62:62,63:63)+100</f>
        <v>100</v>
      </c>
      <c r="K11" s="612"/>
      <c r="L11" s="1141"/>
      <c r="M11" s="1134"/>
      <c r="N11" s="1134"/>
      <c r="O11" s="1142"/>
      <c r="P11" s="3202"/>
      <c r="Q11" s="1798" t="str">
        <f t="shared" si="6"/>
        <v>容积率</v>
      </c>
      <c r="R11" s="770" t="s">
        <v>17</v>
      </c>
      <c r="S11" s="771">
        <f t="shared" si="0"/>
        <v>100</v>
      </c>
      <c r="T11" s="770" t="s">
        <v>17</v>
      </c>
      <c r="U11" s="771">
        <f t="shared" si="1"/>
        <v>100</v>
      </c>
      <c r="V11" s="770" t="s">
        <v>17</v>
      </c>
      <c r="W11" s="771">
        <f t="shared" si="2"/>
        <v>100</v>
      </c>
      <c r="X11" s="772"/>
      <c r="Y11" s="3017"/>
      <c r="Z11" s="55" t="str">
        <f t="shared" si="7"/>
        <v>容积率</v>
      </c>
      <c r="AA11" s="773">
        <f t="shared" si="3"/>
        <v>1</v>
      </c>
      <c r="AB11" s="773">
        <f t="shared" si="4"/>
        <v>1</v>
      </c>
      <c r="AC11" s="773">
        <f t="shared" si="5"/>
        <v>1</v>
      </c>
    </row>
    <row r="12" spans="1:29" s="117" customFormat="1" ht="15">
      <c r="A12" s="431"/>
      <c r="B12" s="2607">
        <v>111</v>
      </c>
      <c r="C12" s="432"/>
      <c r="D12" s="433">
        <v>100</v>
      </c>
      <c r="E12" s="434"/>
      <c r="F12" s="136">
        <f>SUMIF(64:64,E12,65:65)-SUMIF(64:64,C12,65:65)+100</f>
        <v>100</v>
      </c>
      <c r="G12" s="2699"/>
      <c r="H12" s="136">
        <f>SUMIF(64:64,G12,65:65)-SUMIF(64:64,C12,65:65)+100</f>
        <v>100</v>
      </c>
      <c r="I12" s="469"/>
      <c r="J12" s="136">
        <f>SUMIF(64:64,I12,65:65)-SUMIF(64:64,C12,65:65)+100</f>
        <v>100</v>
      </c>
      <c r="K12" s="613"/>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9"/>
      <c r="H13" s="435">
        <f>SUMIF(66:66,G13,67:67)-SUMIF(66:66,C13,67:67)+100</f>
        <v>100</v>
      </c>
      <c r="I13" s="469"/>
      <c r="J13" s="435">
        <f>SUMIF(66:66,I13,67:67)-SUMIF(66:66,C13,67:67)+100</f>
        <v>100</v>
      </c>
      <c r="K13" s="613"/>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9"/>
      <c r="H14" s="438">
        <f>SUMIF(68:68,G14,69:69)-SUMIF(68:68,C14,69:69)+100</f>
        <v>100</v>
      </c>
      <c r="I14" s="469"/>
      <c r="J14" s="438">
        <f>SUMIF(68:68,I14,69:69)-SUMIF(68:68,C14,69:69)+100</f>
        <v>100</v>
      </c>
      <c r="K14" s="613"/>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17"/>
      <c r="Z14" s="55">
        <f t="shared" si="7"/>
        <v>111</v>
      </c>
      <c r="AA14" s="773">
        <f t="shared" si="3"/>
        <v>1</v>
      </c>
      <c r="AB14" s="773">
        <f t="shared" si="4"/>
        <v>1</v>
      </c>
      <c r="AC14" s="773">
        <f t="shared" si="5"/>
        <v>1</v>
      </c>
    </row>
    <row r="15" spans="1:29" ht="67.5">
      <c r="A15" s="440" t="s">
        <v>2562</v>
      </c>
      <c r="B15" s="69" t="s">
        <v>2706</v>
      </c>
      <c r="C15" s="2700" t="str">
        <f>估价对象房地状况!G3</f>
        <v>估价对象位于XX开发区，园区建设成熟度XX，产业集聚程度XX</v>
      </c>
      <c r="D15" s="441">
        <v>100</v>
      </c>
      <c r="E15" s="3279" t="s">
        <v>3092</v>
      </c>
      <c r="F15" s="443">
        <f>SUMIF(70:70,E16,71:71)-SUMIF(70:70,C16,71:71)+100</f>
        <v>102</v>
      </c>
      <c r="G15" s="3279" t="s">
        <v>3092</v>
      </c>
      <c r="H15" s="441">
        <f>SUMIF(70:70,G16,71:71)-SUMIF(70:70,C16,71:71)+100</f>
        <v>102</v>
      </c>
      <c r="I15" s="444"/>
      <c r="J15" s="441">
        <f>SUMIF(70:70,I16,71:71)-SUMIF(70:70,C16,71:71)+100</f>
        <v>102</v>
      </c>
      <c r="K15" s="614">
        <v>1</v>
      </c>
      <c r="L15" s="1143"/>
      <c r="M15" s="1134"/>
      <c r="N15" s="1134"/>
      <c r="O15" s="1142"/>
      <c r="P15" s="3204" t="s">
        <v>2563</v>
      </c>
      <c r="Q15" s="1813" t="str">
        <f t="shared" si="6"/>
        <v>产业集聚程度</v>
      </c>
      <c r="R15" s="774" t="s">
        <v>17</v>
      </c>
      <c r="S15" s="775">
        <f t="shared" si="0"/>
        <v>102</v>
      </c>
      <c r="T15" s="774" t="s">
        <v>17</v>
      </c>
      <c r="U15" s="775">
        <f t="shared" si="1"/>
        <v>102</v>
      </c>
      <c r="V15" s="774" t="s">
        <v>17</v>
      </c>
      <c r="W15" s="775">
        <f t="shared" si="2"/>
        <v>102</v>
      </c>
      <c r="X15" s="1816"/>
      <c r="Y15" s="3204" t="s">
        <v>2563</v>
      </c>
      <c r="Z15" s="1817" t="str">
        <f t="shared" si="7"/>
        <v>产业集聚程度</v>
      </c>
      <c r="AA15" s="1814">
        <f t="shared" si="3"/>
        <v>0.98039215686274506</v>
      </c>
      <c r="AB15" s="1814">
        <f t="shared" si="4"/>
        <v>0.98039215686274506</v>
      </c>
      <c r="AC15" s="1814">
        <f t="shared" si="5"/>
        <v>0.98039215686274506</v>
      </c>
    </row>
    <row r="16" spans="1:29" ht="15">
      <c r="A16" s="428"/>
      <c r="B16" s="446"/>
      <c r="C16" s="447" t="s">
        <v>3105</v>
      </c>
      <c r="D16" s="448"/>
      <c r="E16" s="447" t="s">
        <v>3099</v>
      </c>
      <c r="F16" s="449"/>
      <c r="G16" s="447" t="s">
        <v>3099</v>
      </c>
      <c r="H16" s="450"/>
      <c r="I16" s="447" t="s">
        <v>3099</v>
      </c>
      <c r="J16" s="448"/>
      <c r="K16" s="615"/>
      <c r="L16" s="1143"/>
      <c r="M16" s="1134"/>
      <c r="N16" s="1134"/>
      <c r="O16" s="1142"/>
      <c r="P16" s="3205"/>
      <c r="Q16" s="1813"/>
      <c r="R16" s="774"/>
      <c r="S16" s="775"/>
      <c r="T16" s="774"/>
      <c r="U16" s="775"/>
      <c r="V16" s="774"/>
      <c r="W16" s="775"/>
      <c r="X16" s="1816"/>
      <c r="Y16" s="3205"/>
      <c r="Z16" s="1817"/>
      <c r="AA16" s="1814">
        <v>1</v>
      </c>
      <c r="AB16" s="1814">
        <v>1</v>
      </c>
      <c r="AC16" s="1814">
        <v>1</v>
      </c>
    </row>
    <row r="17" spans="1:29" ht="94.5">
      <c r="A17" s="428"/>
      <c r="B17" s="451" t="s">
        <v>2099</v>
      </c>
      <c r="C17" s="2614" t="str">
        <f>估价对象房地状况!G4</f>
        <v>估价对象周边道路状况、公共交通通达情况、停车便捷程度，综合评价交通便捷度较好</v>
      </c>
      <c r="D17" s="450">
        <v>100</v>
      </c>
      <c r="E17" s="3280" t="s">
        <v>3093</v>
      </c>
      <c r="F17" s="453">
        <f>SUMIF(72:72,E18,73:73)-SUMIF(72:72,C18,73:73)+100</f>
        <v>98</v>
      </c>
      <c r="G17" s="3280" t="s">
        <v>3093</v>
      </c>
      <c r="H17" s="455">
        <f>SUMIF(72:72,G18,73:73)-SUMIF(72:72,C18,73:73)+100</f>
        <v>98</v>
      </c>
      <c r="I17" s="454"/>
      <c r="J17" s="455">
        <f>SUMIF(72:72,I18,73:73)-SUMIF(72:72,C18,73:73)+100</f>
        <v>96</v>
      </c>
      <c r="K17" s="614">
        <v>2</v>
      </c>
      <c r="L17" s="1143"/>
      <c r="M17" s="1134"/>
      <c r="N17" s="1134"/>
      <c r="O17" s="1142"/>
      <c r="P17" s="3205"/>
      <c r="Q17" s="1813" t="str">
        <f>B17</f>
        <v>交通便捷度</v>
      </c>
      <c r="R17" s="774" t="s">
        <v>17</v>
      </c>
      <c r="S17" s="775">
        <f>F17</f>
        <v>98</v>
      </c>
      <c r="T17" s="774" t="s">
        <v>17</v>
      </c>
      <c r="U17" s="775">
        <f>H17</f>
        <v>98</v>
      </c>
      <c r="V17" s="774" t="s">
        <v>17</v>
      </c>
      <c r="W17" s="775">
        <f>J17</f>
        <v>96</v>
      </c>
      <c r="X17" s="1816"/>
      <c r="Y17" s="3205"/>
      <c r="Z17" s="1817" t="str">
        <f>Q17</f>
        <v>交通便捷度</v>
      </c>
      <c r="AA17" s="1814">
        <f t="shared" si="3"/>
        <v>1.0204081632653061</v>
      </c>
      <c r="AB17" s="1814">
        <f t="shared" si="4"/>
        <v>1.0204081632653061</v>
      </c>
      <c r="AC17" s="1814">
        <f t="shared" si="5"/>
        <v>1.0416666666666667</v>
      </c>
    </row>
    <row r="18" spans="1:29" ht="15">
      <c r="A18" s="428"/>
      <c r="B18" s="456"/>
      <c r="C18" s="2615" t="s">
        <v>3104</v>
      </c>
      <c r="D18" s="450"/>
      <c r="E18" s="2617" t="s">
        <v>3099</v>
      </c>
      <c r="F18" s="453"/>
      <c r="G18" s="2617" t="s">
        <v>3099</v>
      </c>
      <c r="H18" s="448"/>
      <c r="I18" s="2615" t="s">
        <v>3097</v>
      </c>
      <c r="J18" s="448"/>
      <c r="K18" s="615"/>
      <c r="L18" s="1143"/>
      <c r="M18" s="1134"/>
      <c r="N18" s="1134"/>
      <c r="O18" s="1142"/>
      <c r="P18" s="3205"/>
      <c r="Q18" s="1813"/>
      <c r="R18" s="774"/>
      <c r="S18" s="775"/>
      <c r="T18" s="774"/>
      <c r="U18" s="775"/>
      <c r="V18" s="774"/>
      <c r="W18" s="775"/>
      <c r="X18" s="1816"/>
      <c r="Y18" s="3205"/>
      <c r="Z18" s="1817"/>
      <c r="AA18" s="1814">
        <v>1</v>
      </c>
      <c r="AB18" s="1814">
        <v>1</v>
      </c>
      <c r="AC18" s="1814">
        <v>1</v>
      </c>
    </row>
    <row r="19" spans="1:29" ht="42.75">
      <c r="A19" s="428"/>
      <c r="B19" s="451" t="s">
        <v>2691</v>
      </c>
      <c r="C19" s="2614" t="str">
        <f>估价对象房地状况!G5</f>
        <v>估价对象所在区域公共配套设施齐备情况</v>
      </c>
      <c r="D19" s="455">
        <v>100</v>
      </c>
      <c r="E19" s="3281" t="s">
        <v>3094</v>
      </c>
      <c r="F19" s="458">
        <f>SUMIF(74:74,E20,75:75)-SUMIF(74:74,C20,75:75)+100</f>
        <v>100</v>
      </c>
      <c r="G19" s="3281" t="s">
        <v>3094</v>
      </c>
      <c r="H19" s="450">
        <f>SUMIF(74:74,G20,75:75)-SUMIF(74:74,C20,75:75)+100</f>
        <v>100</v>
      </c>
      <c r="I19" s="459"/>
      <c r="J19" s="450">
        <f>SUMIF(74:74,I20,75:75)-SUMIF(74:74,C20,75:75)+100</f>
        <v>98</v>
      </c>
      <c r="K19" s="614">
        <v>2</v>
      </c>
      <c r="L19" s="1143"/>
      <c r="M19" s="1134"/>
      <c r="N19" s="1134"/>
      <c r="O19" s="1142"/>
      <c r="P19" s="3205"/>
      <c r="Q19" s="1813" t="str">
        <f>B19</f>
        <v>公共配套设施</v>
      </c>
      <c r="R19" s="774" t="s">
        <v>17</v>
      </c>
      <c r="S19" s="775">
        <f>F19</f>
        <v>100</v>
      </c>
      <c r="T19" s="774" t="s">
        <v>17</v>
      </c>
      <c r="U19" s="775">
        <f>H19</f>
        <v>100</v>
      </c>
      <c r="V19" s="774" t="s">
        <v>17</v>
      </c>
      <c r="W19" s="775">
        <f>J19</f>
        <v>98</v>
      </c>
      <c r="X19" s="1816"/>
      <c r="Y19" s="3205"/>
      <c r="Z19" s="1817" t="str">
        <f>Q19</f>
        <v>公共配套设施</v>
      </c>
      <c r="AA19" s="1814">
        <f t="shared" si="3"/>
        <v>1</v>
      </c>
      <c r="AB19" s="1814">
        <f t="shared" si="4"/>
        <v>1</v>
      </c>
      <c r="AC19" s="1814">
        <f t="shared" si="5"/>
        <v>1.0204081632653061</v>
      </c>
    </row>
    <row r="20" spans="1:29" ht="15">
      <c r="A20" s="428"/>
      <c r="B20" s="456"/>
      <c r="C20" s="447" t="s">
        <v>3099</v>
      </c>
      <c r="D20" s="448"/>
      <c r="E20" s="2612" t="s">
        <v>3099</v>
      </c>
      <c r="F20" s="449"/>
      <c r="G20" s="2612" t="s">
        <v>3099</v>
      </c>
      <c r="H20" s="448"/>
      <c r="I20" s="447" t="s">
        <v>3097</v>
      </c>
      <c r="J20" s="448"/>
      <c r="K20" s="615"/>
      <c r="L20" s="1143"/>
      <c r="M20" s="1134"/>
      <c r="N20" s="1134"/>
      <c r="O20" s="1142"/>
      <c r="P20" s="3205"/>
      <c r="Q20" s="1813"/>
      <c r="R20" s="774"/>
      <c r="S20" s="775"/>
      <c r="T20" s="774"/>
      <c r="U20" s="775"/>
      <c r="V20" s="774"/>
      <c r="W20" s="775"/>
      <c r="X20" s="1816"/>
      <c r="Y20" s="3205"/>
      <c r="Z20" s="1817"/>
      <c r="AA20" s="1814">
        <v>1</v>
      </c>
      <c r="AB20" s="1814">
        <v>1</v>
      </c>
      <c r="AC20" s="1814">
        <v>1</v>
      </c>
    </row>
    <row r="21" spans="1:29" ht="40.5">
      <c r="A21" s="428"/>
      <c r="B21" s="1387" t="s">
        <v>2692</v>
      </c>
      <c r="C21" s="2614" t="str">
        <f>估价对象房地状况!G6</f>
        <v>估价对象所在区域基础设施水平</v>
      </c>
      <c r="D21" s="450">
        <v>100</v>
      </c>
      <c r="E21" s="3281" t="s">
        <v>3095</v>
      </c>
      <c r="F21" s="458">
        <f>SUMIF(76:76,E22,77:77)-SUMIF(76:76,C22,77:77)+100</f>
        <v>100</v>
      </c>
      <c r="G21" s="3281" t="s">
        <v>3095</v>
      </c>
      <c r="H21" s="450">
        <f>SUMIF(76:76,G22,77:77)-SUMIF(76:76,C22,77:77)+100</f>
        <v>100</v>
      </c>
      <c r="I21" s="459"/>
      <c r="J21" s="450">
        <f>SUMIF(76:76,I22,77:77)-SUMIF(76:76,C22,77:77)+100</f>
        <v>100</v>
      </c>
      <c r="K21" s="614">
        <v>2</v>
      </c>
      <c r="L21" s="1143"/>
      <c r="M21" s="1134"/>
      <c r="N21" s="1134"/>
      <c r="O21" s="1142"/>
      <c r="P21" s="3205"/>
      <c r="Q21" s="1813" t="str">
        <f>B21</f>
        <v>基础设施水平</v>
      </c>
      <c r="R21" s="774" t="s">
        <v>17</v>
      </c>
      <c r="S21" s="775">
        <f>F21</f>
        <v>100</v>
      </c>
      <c r="T21" s="774" t="s">
        <v>17</v>
      </c>
      <c r="U21" s="775">
        <f>H21</f>
        <v>100</v>
      </c>
      <c r="V21" s="774" t="s">
        <v>17</v>
      </c>
      <c r="W21" s="775">
        <f>J21</f>
        <v>100</v>
      </c>
      <c r="X21" s="1816"/>
      <c r="Y21" s="3205"/>
      <c r="Z21" s="1817" t="str">
        <f>Q21</f>
        <v>基础设施水平</v>
      </c>
      <c r="AA21" s="1814">
        <f t="shared" ref="AA21" si="8">D21/F21</f>
        <v>1</v>
      </c>
      <c r="AB21" s="1814">
        <f t="shared" ref="AB21" si="9">D21/H21</f>
        <v>1</v>
      </c>
      <c r="AC21" s="1814">
        <f t="shared" ref="AC21" si="10">D21/J21</f>
        <v>1</v>
      </c>
    </row>
    <row r="22" spans="1:29" ht="15">
      <c r="A22" s="428"/>
      <c r="B22" s="1387"/>
      <c r="C22" s="2615" t="s">
        <v>3098</v>
      </c>
      <c r="D22" s="448"/>
      <c r="E22" s="447" t="s">
        <v>3098</v>
      </c>
      <c r="F22" s="449"/>
      <c r="G22" s="447" t="s">
        <v>3098</v>
      </c>
      <c r="H22" s="448"/>
      <c r="I22" s="2615" t="s">
        <v>3098</v>
      </c>
      <c r="J22" s="448"/>
      <c r="K22" s="1386"/>
      <c r="L22" s="1143"/>
      <c r="M22" s="1134"/>
      <c r="N22" s="1134"/>
      <c r="O22" s="1142"/>
      <c r="P22" s="3205"/>
      <c r="Q22" s="1813"/>
      <c r="R22" s="774"/>
      <c r="S22" s="775"/>
      <c r="T22" s="774"/>
      <c r="U22" s="775"/>
      <c r="V22" s="774"/>
      <c r="W22" s="775"/>
      <c r="X22" s="1816"/>
      <c r="Y22" s="3205"/>
      <c r="Z22" s="1817"/>
      <c r="AA22" s="1814">
        <v>1</v>
      </c>
      <c r="AB22" s="1814">
        <v>1</v>
      </c>
      <c r="AC22" s="1814">
        <v>1</v>
      </c>
    </row>
    <row r="23" spans="1:29" ht="71.25">
      <c r="A23" s="428"/>
      <c r="B23" s="451" t="s">
        <v>2693</v>
      </c>
      <c r="C23" s="2614" t="str">
        <f>估价对象房地状况!G7</f>
        <v>该园区内是否有污染型企业，绿化情况，卫生条件，整体环境状况判断</v>
      </c>
      <c r="D23" s="450">
        <v>100</v>
      </c>
      <c r="E23" s="3282" t="s">
        <v>3096</v>
      </c>
      <c r="F23" s="453">
        <f>SUMIF(78:78,E24,79:79)-SUMIF(78:78,C24,79:79)+100</f>
        <v>99</v>
      </c>
      <c r="G23" s="3282" t="s">
        <v>3096</v>
      </c>
      <c r="H23" s="450">
        <f>SUMIF(78:78,G24,79:79)-SUMIF(78:78,C24,79:79)+100</f>
        <v>99</v>
      </c>
      <c r="I23" s="454"/>
      <c r="J23" s="450">
        <f>SUMIF(78:78,I24,79:79)-SUMIF(78:78,C24,79:79)+100</f>
        <v>100</v>
      </c>
      <c r="K23" s="614">
        <v>1</v>
      </c>
      <c r="L23" s="1143"/>
      <c r="M23" s="1134"/>
      <c r="N23" s="1134"/>
      <c r="O23" s="1142"/>
      <c r="P23" s="3205"/>
      <c r="Q23" s="1813" t="str">
        <f>B23</f>
        <v>环境质量</v>
      </c>
      <c r="R23" s="774" t="s">
        <v>17</v>
      </c>
      <c r="S23" s="775">
        <f>F23</f>
        <v>99</v>
      </c>
      <c r="T23" s="774" t="s">
        <v>17</v>
      </c>
      <c r="U23" s="775">
        <f>H23</f>
        <v>99</v>
      </c>
      <c r="V23" s="774" t="s">
        <v>17</v>
      </c>
      <c r="W23" s="775">
        <f>J23</f>
        <v>100</v>
      </c>
      <c r="X23" s="1816"/>
      <c r="Y23" s="3205"/>
      <c r="Z23" s="1817" t="str">
        <f>Q23</f>
        <v>环境质量</v>
      </c>
      <c r="AA23" s="1814">
        <f t="shared" si="3"/>
        <v>1.0101010101010102</v>
      </c>
      <c r="AB23" s="1814">
        <f t="shared" si="4"/>
        <v>1.0101010101010102</v>
      </c>
      <c r="AC23" s="1814">
        <f t="shared" si="5"/>
        <v>1</v>
      </c>
    </row>
    <row r="24" spans="1:29" ht="15">
      <c r="A24" s="428"/>
      <c r="B24" s="1387"/>
      <c r="C24" s="447" t="s">
        <v>3099</v>
      </c>
      <c r="D24" s="448"/>
      <c r="E24" s="2612" t="s">
        <v>3097</v>
      </c>
      <c r="F24" s="449"/>
      <c r="G24" s="2612" t="s">
        <v>3097</v>
      </c>
      <c r="H24" s="448"/>
      <c r="I24" s="447" t="s">
        <v>3099</v>
      </c>
      <c r="J24" s="448"/>
      <c r="K24" s="615"/>
      <c r="L24" s="1143"/>
      <c r="M24" s="1134"/>
      <c r="N24" s="1134"/>
      <c r="O24" s="1142"/>
      <c r="P24" s="3205"/>
      <c r="Q24" s="1813"/>
      <c r="R24" s="774"/>
      <c r="S24" s="775"/>
      <c r="T24" s="774"/>
      <c r="U24" s="775"/>
      <c r="V24" s="774"/>
      <c r="W24" s="775"/>
      <c r="X24" s="1816"/>
      <c r="Y24" s="3205"/>
      <c r="Z24" s="1817"/>
      <c r="AA24" s="1814">
        <v>1</v>
      </c>
      <c r="AB24" s="1814">
        <v>1</v>
      </c>
      <c r="AC24" s="1814">
        <v>1</v>
      </c>
    </row>
    <row r="25" spans="1:29" ht="15">
      <c r="A25" s="404"/>
      <c r="B25" s="3284" t="s">
        <v>3103</v>
      </c>
      <c r="C25" s="3286" t="s">
        <v>3101</v>
      </c>
      <c r="D25" s="435">
        <v>100</v>
      </c>
      <c r="E25" s="3286" t="s">
        <v>3102</v>
      </c>
      <c r="F25" s="461">
        <f>SUMIF(80:80,E25,81:81)-SUMIF(80:80,C25,81:81)+100</f>
        <v>120</v>
      </c>
      <c r="G25" s="3286" t="s">
        <v>3102</v>
      </c>
      <c r="H25" s="435">
        <f>SUMIF(80:80,G25,81:81)-SUMIF(80:80,C25,81:81)+100</f>
        <v>120</v>
      </c>
      <c r="I25" s="3286" t="s">
        <v>3102</v>
      </c>
      <c r="J25" s="435">
        <f>SUMIF(80:80,I25,81:81)-SUMIF(80:80,C25,81:81)+100</f>
        <v>120</v>
      </c>
      <c r="K25" s="613"/>
      <c r="L25" s="1143"/>
      <c r="M25" s="1134"/>
      <c r="N25" s="1134"/>
      <c r="O25" s="1142"/>
      <c r="P25" s="3205"/>
      <c r="Q25" s="1813" t="str">
        <f>B25</f>
        <v>是否有地下</v>
      </c>
      <c r="R25" s="774" t="s">
        <v>17</v>
      </c>
      <c r="S25" s="775">
        <f>F25</f>
        <v>120</v>
      </c>
      <c r="T25" s="774" t="s">
        <v>17</v>
      </c>
      <c r="U25" s="775">
        <f>H25</f>
        <v>120</v>
      </c>
      <c r="V25" s="774" t="s">
        <v>17</v>
      </c>
      <c r="W25" s="775">
        <f>J25</f>
        <v>120</v>
      </c>
      <c r="X25" s="1816"/>
      <c r="Y25" s="3205"/>
      <c r="Z25" s="1817" t="str">
        <f>Q25</f>
        <v>是否有地下</v>
      </c>
      <c r="AA25" s="1814">
        <f t="shared" si="3"/>
        <v>0.83333333333333337</v>
      </c>
      <c r="AB25" s="1814">
        <f t="shared" si="4"/>
        <v>0.83333333333333337</v>
      </c>
      <c r="AC25" s="1814">
        <f t="shared" si="5"/>
        <v>0.83333333333333337</v>
      </c>
    </row>
    <row r="26" spans="1:29" ht="15">
      <c r="A26" s="428"/>
      <c r="B26" s="1389"/>
      <c r="C26" s="434"/>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05"/>
      <c r="Q26" s="1813">
        <f t="shared" ref="Q26:Q40" si="11">B26</f>
        <v>0</v>
      </c>
      <c r="R26" s="774" t="s">
        <v>17</v>
      </c>
      <c r="S26" s="775">
        <f>F26</f>
        <v>100</v>
      </c>
      <c r="T26" s="774" t="s">
        <v>17</v>
      </c>
      <c r="U26" s="775">
        <f>H26</f>
        <v>100</v>
      </c>
      <c r="V26" s="774" t="s">
        <v>17</v>
      </c>
      <c r="W26" s="775">
        <f>J26</f>
        <v>100</v>
      </c>
      <c r="X26" s="1816"/>
      <c r="Y26" s="3205"/>
      <c r="Z26" s="1817">
        <f>Q26</f>
        <v>0</v>
      </c>
      <c r="AA26" s="1814">
        <f t="shared" si="3"/>
        <v>1</v>
      </c>
      <c r="AB26" s="1814">
        <f t="shared" si="4"/>
        <v>1</v>
      </c>
      <c r="AC26" s="1814">
        <f t="shared" si="5"/>
        <v>1</v>
      </c>
    </row>
    <row r="27" spans="1:29" s="117" customFormat="1" ht="15">
      <c r="A27" s="431"/>
      <c r="B27" s="1389"/>
      <c r="C27" s="434"/>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05"/>
      <c r="Q27" s="1798">
        <f t="shared" si="11"/>
        <v>0</v>
      </c>
      <c r="R27" s="770" t="s">
        <v>17</v>
      </c>
      <c r="S27" s="771">
        <f>F27</f>
        <v>100</v>
      </c>
      <c r="T27" s="770" t="s">
        <v>17</v>
      </c>
      <c r="U27" s="771">
        <f>H27</f>
        <v>100</v>
      </c>
      <c r="V27" s="770" t="s">
        <v>17</v>
      </c>
      <c r="W27" s="771">
        <f>J27</f>
        <v>100</v>
      </c>
      <c r="X27" s="772"/>
      <c r="Y27" s="3205"/>
      <c r="Z27" s="55">
        <f>Q27</f>
        <v>0</v>
      </c>
      <c r="AA27" s="1814">
        <f>D27/F27</f>
        <v>1</v>
      </c>
      <c r="AB27" s="1814">
        <f>D27/H27</f>
        <v>1</v>
      </c>
      <c r="AC27" s="1814">
        <f>D27/J27</f>
        <v>1</v>
      </c>
    </row>
    <row r="28" spans="1:29" ht="15.75" thickBot="1">
      <c r="A28" s="436"/>
      <c r="B28" s="1389"/>
      <c r="C28" s="437"/>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05"/>
      <c r="Q28" s="1813">
        <f t="shared" si="11"/>
        <v>0</v>
      </c>
      <c r="R28" s="774" t="s">
        <v>17</v>
      </c>
      <c r="S28" s="775">
        <f t="shared" ref="S28:S40" si="12">F28</f>
        <v>100</v>
      </c>
      <c r="T28" s="774" t="s">
        <v>17</v>
      </c>
      <c r="U28" s="775">
        <f t="shared" ref="U28:U40" si="13">H28</f>
        <v>100</v>
      </c>
      <c r="V28" s="774" t="s">
        <v>17</v>
      </c>
      <c r="W28" s="775">
        <f t="shared" ref="W28:W40" si="14">J28</f>
        <v>100</v>
      </c>
      <c r="X28" s="1816"/>
      <c r="Y28" s="3205"/>
      <c r="Z28" s="1817">
        <f t="shared" ref="Z28:Z40" si="15">Q28</f>
        <v>0</v>
      </c>
      <c r="AA28" s="1814">
        <f t="shared" si="3"/>
        <v>1</v>
      </c>
      <c r="AB28" s="1814">
        <f t="shared" si="4"/>
        <v>1</v>
      </c>
      <c r="AC28" s="1814">
        <f t="shared" si="5"/>
        <v>1</v>
      </c>
    </row>
    <row r="29" spans="1:29" ht="15">
      <c r="A29" s="466" t="s">
        <v>2566</v>
      </c>
      <c r="B29" s="71" t="s">
        <v>2696</v>
      </c>
      <c r="C29" s="2686"/>
      <c r="D29" s="467">
        <v>100</v>
      </c>
      <c r="E29" s="2686"/>
      <c r="F29" s="461">
        <f>SUMIF(88:88,E29,89:89)-SUMIF(88:88,C29,89:89)+100</f>
        <v>100</v>
      </c>
      <c r="G29" s="2686"/>
      <c r="H29" s="435">
        <f>SUMIF(88:88,G29,89:89)-SUMIF(88:88,C29,89:89)+100</f>
        <v>100</v>
      </c>
      <c r="I29" s="2686"/>
      <c r="J29" s="467">
        <f>SUMIF(88:88,I29,89:89)-SUMIF(88:88,C29,89:89)+100</f>
        <v>100</v>
      </c>
      <c r="K29" s="612"/>
      <c r="L29" s="1143"/>
      <c r="M29" s="1134"/>
      <c r="N29" s="1134"/>
      <c r="O29" s="1142"/>
      <c r="P29" s="3228" t="s">
        <v>2568</v>
      </c>
      <c r="Q29" s="1813" t="str">
        <f t="shared" si="11"/>
        <v>建筑类型</v>
      </c>
      <c r="R29" s="774" t="s">
        <v>17</v>
      </c>
      <c r="S29" s="775">
        <f t="shared" si="12"/>
        <v>100</v>
      </c>
      <c r="T29" s="774" t="s">
        <v>17</v>
      </c>
      <c r="U29" s="775">
        <f t="shared" si="13"/>
        <v>100</v>
      </c>
      <c r="V29" s="774" t="s">
        <v>17</v>
      </c>
      <c r="W29" s="775">
        <f t="shared" si="14"/>
        <v>100</v>
      </c>
      <c r="X29" s="1816"/>
      <c r="Y29" s="3209" t="s">
        <v>2568</v>
      </c>
      <c r="Z29" s="1817" t="str">
        <f t="shared" si="15"/>
        <v>建筑类型</v>
      </c>
      <c r="AA29" s="1814">
        <f t="shared" si="3"/>
        <v>1</v>
      </c>
      <c r="AB29" s="1814">
        <f t="shared" si="4"/>
        <v>1</v>
      </c>
      <c r="AC29" s="1814">
        <f t="shared" si="5"/>
        <v>1</v>
      </c>
    </row>
    <row r="30" spans="1:29" s="471" customFormat="1" ht="15">
      <c r="A30" s="468"/>
      <c r="B30" s="422" t="s">
        <v>2569</v>
      </c>
      <c r="C30" s="469">
        <f>'数据-汇总表'!E3</f>
        <v>57947.42</v>
      </c>
      <c r="D30" s="136">
        <v>100</v>
      </c>
      <c r="E30" s="430">
        <v>15887</v>
      </c>
      <c r="F30" s="425">
        <f>LOOKUP(E30,91:91,92:92)-LOOKUP(C30,91:91,92:92)+100</f>
        <v>101</v>
      </c>
      <c r="G30" s="429">
        <v>16000</v>
      </c>
      <c r="H30" s="136">
        <f>LOOKUP(G30,91:91,92:92)-LOOKUP(C30,91:91,92:92)+100</f>
        <v>101</v>
      </c>
      <c r="I30" s="429">
        <v>10000</v>
      </c>
      <c r="J30" s="136">
        <f>LOOKUP(I30,91:91,92:92)-LOOKUP(C30,91:91,92:92)+100</f>
        <v>101</v>
      </c>
      <c r="K30" s="613"/>
      <c r="L30" s="1141"/>
      <c r="M30" s="1144"/>
      <c r="N30" s="1144"/>
      <c r="O30" s="1145"/>
      <c r="P30" s="3209"/>
      <c r="Q30" s="776" t="str">
        <f t="shared" si="11"/>
        <v>项目建筑规模</v>
      </c>
      <c r="R30" s="777" t="s">
        <v>17</v>
      </c>
      <c r="S30" s="778">
        <f t="shared" si="12"/>
        <v>101</v>
      </c>
      <c r="T30" s="777" t="s">
        <v>17</v>
      </c>
      <c r="U30" s="778">
        <f t="shared" si="13"/>
        <v>101</v>
      </c>
      <c r="V30" s="777" t="s">
        <v>17</v>
      </c>
      <c r="W30" s="778">
        <f t="shared" si="14"/>
        <v>101</v>
      </c>
      <c r="X30" s="779"/>
      <c r="Y30" s="3209"/>
      <c r="Z30" s="780" t="str">
        <f t="shared" si="15"/>
        <v>项目建筑规模</v>
      </c>
      <c r="AA30" s="1814">
        <f t="shared" si="3"/>
        <v>0.99009900990099009</v>
      </c>
      <c r="AB30" s="1814">
        <f t="shared" si="4"/>
        <v>0.99009900990099009</v>
      </c>
      <c r="AC30" s="1814">
        <f t="shared" si="5"/>
        <v>0.99009900990099009</v>
      </c>
    </row>
    <row r="31" spans="1:29" ht="15">
      <c r="A31" s="472"/>
      <c r="B31" s="422" t="s">
        <v>2570</v>
      </c>
      <c r="C31" s="460" t="s">
        <v>3074</v>
      </c>
      <c r="D31" s="435">
        <v>100</v>
      </c>
      <c r="E31" s="460" t="s">
        <v>3074</v>
      </c>
      <c r="F31" s="461">
        <f>SUMIF(93:93,E31,94:94)-SUMIF(93:93,C31,94:94)+100</f>
        <v>100</v>
      </c>
      <c r="G31" s="460" t="s">
        <v>3074</v>
      </c>
      <c r="H31" s="435">
        <f>SUMIF(93:93,G31,94:94)-SUMIF(93:93,C31,94:94)+100</f>
        <v>100</v>
      </c>
      <c r="I31" s="460" t="s">
        <v>3074</v>
      </c>
      <c r="J31" s="435">
        <f>SUMIF(93:93,I31,94:94)-SUMIF(93:93,C31,94:94)+100</f>
        <v>100</v>
      </c>
      <c r="K31" s="612">
        <v>2</v>
      </c>
      <c r="L31" s="1143"/>
      <c r="M31" s="1134"/>
      <c r="N31" s="1134"/>
      <c r="O31" s="1142"/>
      <c r="P31" s="3209"/>
      <c r="Q31" s="1813" t="str">
        <f t="shared" si="11"/>
        <v>建筑结构</v>
      </c>
      <c r="R31" s="774" t="s">
        <v>17</v>
      </c>
      <c r="S31" s="775">
        <f t="shared" si="12"/>
        <v>100</v>
      </c>
      <c r="T31" s="774" t="s">
        <v>17</v>
      </c>
      <c r="U31" s="775">
        <f t="shared" si="13"/>
        <v>100</v>
      </c>
      <c r="V31" s="774" t="s">
        <v>17</v>
      </c>
      <c r="W31" s="775">
        <f t="shared" si="14"/>
        <v>100</v>
      </c>
      <c r="X31" s="1816"/>
      <c r="Y31" s="3209"/>
      <c r="Z31" s="1817" t="str">
        <f t="shared" si="15"/>
        <v>建筑结构</v>
      </c>
      <c r="AA31" s="1814">
        <f t="shared" si="3"/>
        <v>1</v>
      </c>
      <c r="AB31" s="1814">
        <f t="shared" si="4"/>
        <v>1</v>
      </c>
      <c r="AC31" s="1814">
        <f t="shared" si="5"/>
        <v>1</v>
      </c>
    </row>
    <row r="32" spans="1:29" ht="15">
      <c r="A32" s="472"/>
      <c r="B32" s="422" t="s">
        <v>2664</v>
      </c>
      <c r="C32" s="460" t="s">
        <v>3118</v>
      </c>
      <c r="D32" s="435">
        <v>100</v>
      </c>
      <c r="E32" s="460" t="s">
        <v>3118</v>
      </c>
      <c r="F32" s="461">
        <f>SUMIF(95:95,E32,96:96)-SUMIF(95:95,C32,96:96)+100</f>
        <v>100</v>
      </c>
      <c r="G32" s="460" t="s">
        <v>3118</v>
      </c>
      <c r="H32" s="435">
        <f>SUMIF(95:95,G32,96:96)-SUMIF(95:95,C32,96:96)+100</f>
        <v>100</v>
      </c>
      <c r="I32" s="460" t="s">
        <v>3117</v>
      </c>
      <c r="J32" s="435">
        <f>SUMIF(95:95,I32,96:96)-SUMIF(95:95,C32,96:96)+100</f>
        <v>94</v>
      </c>
      <c r="K32" s="612">
        <v>2</v>
      </c>
      <c r="L32" s="1143"/>
      <c r="M32" s="1134"/>
      <c r="N32" s="1134"/>
      <c r="O32" s="1142"/>
      <c r="P32" s="3209"/>
      <c r="Q32" s="1813" t="str">
        <f t="shared" si="11"/>
        <v>公共部分装修</v>
      </c>
      <c r="R32" s="774" t="s">
        <v>17</v>
      </c>
      <c r="S32" s="775">
        <f t="shared" si="12"/>
        <v>100</v>
      </c>
      <c r="T32" s="774" t="s">
        <v>17</v>
      </c>
      <c r="U32" s="775">
        <f t="shared" si="13"/>
        <v>100</v>
      </c>
      <c r="V32" s="774" t="s">
        <v>17</v>
      </c>
      <c r="W32" s="775">
        <f t="shared" si="14"/>
        <v>94</v>
      </c>
      <c r="X32" s="1816"/>
      <c r="Y32" s="3209"/>
      <c r="Z32" s="1817" t="str">
        <f t="shared" si="15"/>
        <v>公共部分装修</v>
      </c>
      <c r="AA32" s="1814">
        <f t="shared" si="3"/>
        <v>1</v>
      </c>
      <c r="AB32" s="1814">
        <f t="shared" si="4"/>
        <v>1</v>
      </c>
      <c r="AC32" s="1814">
        <f t="shared" si="5"/>
        <v>1.0638297872340425</v>
      </c>
    </row>
    <row r="33" spans="1:29" ht="15">
      <c r="A33" s="472"/>
      <c r="B33" s="422" t="s">
        <v>2665</v>
      </c>
      <c r="C33" s="3289">
        <f>'数据-取费表'!N6</f>
        <v>0.93</v>
      </c>
      <c r="D33" s="435">
        <v>100</v>
      </c>
      <c r="E33" s="474">
        <f>ROUND(1-(2018-2008)/60,2)</f>
        <v>0.83</v>
      </c>
      <c r="F33" s="461">
        <f>LOOKUP(E33,98:98,99:99)-LOOKUP(C33,98:98,99:99)+100</f>
        <v>99</v>
      </c>
      <c r="G33" s="474">
        <f>E33</f>
        <v>0.83</v>
      </c>
      <c r="H33" s="461">
        <f>LOOKUP(G33,98:98,99:99)-LOOKUP(C33,98:98,99:99)+100</f>
        <v>99</v>
      </c>
      <c r="I33" s="474">
        <v>0.95</v>
      </c>
      <c r="J33" s="435">
        <f>LOOKUP(I33,98:98,99:99)-LOOKUP(C33,98:98,99:99)+100</f>
        <v>100</v>
      </c>
      <c r="K33" s="612">
        <v>1</v>
      </c>
      <c r="L33" s="1143"/>
      <c r="M33" s="1134"/>
      <c r="N33" s="1134"/>
      <c r="O33" s="1142"/>
      <c r="P33" s="3209"/>
      <c r="Q33" s="1813" t="str">
        <f t="shared" si="11"/>
        <v>成新度</v>
      </c>
      <c r="R33" s="774" t="s">
        <v>17</v>
      </c>
      <c r="S33" s="775">
        <f t="shared" si="12"/>
        <v>99</v>
      </c>
      <c r="T33" s="774" t="s">
        <v>17</v>
      </c>
      <c r="U33" s="775">
        <f t="shared" si="13"/>
        <v>99</v>
      </c>
      <c r="V33" s="774" t="s">
        <v>17</v>
      </c>
      <c r="W33" s="775">
        <f t="shared" si="14"/>
        <v>100</v>
      </c>
      <c r="X33" s="1816"/>
      <c r="Y33" s="3209"/>
      <c r="Z33" s="1817" t="str">
        <f t="shared" si="15"/>
        <v>成新度</v>
      </c>
      <c r="AA33" s="1814">
        <f t="shared" si="3"/>
        <v>1.0101010101010102</v>
      </c>
      <c r="AB33" s="1814">
        <f t="shared" si="4"/>
        <v>1.0101010101010102</v>
      </c>
      <c r="AC33" s="1814">
        <f t="shared" si="5"/>
        <v>1</v>
      </c>
    </row>
    <row r="34" spans="1:29" s="117" customFormat="1" ht="15">
      <c r="A34" s="473"/>
      <c r="B34" s="422" t="s">
        <v>2698</v>
      </c>
      <c r="C34" s="460" t="s">
        <v>3113</v>
      </c>
      <c r="D34" s="136">
        <v>100</v>
      </c>
      <c r="E34" s="460" t="s">
        <v>3113</v>
      </c>
      <c r="F34" s="461">
        <f>SUMIF(100:100,E34,101:101)-SUMIF(100:100,C34,101:101)+100</f>
        <v>100</v>
      </c>
      <c r="G34" s="460" t="s">
        <v>3113</v>
      </c>
      <c r="H34" s="435">
        <f>SUMIF(100:100,G34,101:101)-SUMIF(100:100,C34,101:101)+100</f>
        <v>100</v>
      </c>
      <c r="I34" s="460" t="s">
        <v>3113</v>
      </c>
      <c r="J34" s="435">
        <f>SUMIF(100:100,I34,101:101)-SUMIF(100:100,C34,101:101)+100</f>
        <v>100</v>
      </c>
      <c r="K34" s="612">
        <v>2</v>
      </c>
      <c r="L34" s="1135"/>
      <c r="M34" s="1136"/>
      <c r="N34" s="1136"/>
      <c r="O34" s="1137"/>
      <c r="P34" s="3209"/>
      <c r="Q34" s="1798" t="str">
        <f t="shared" si="11"/>
        <v>物业管理</v>
      </c>
      <c r="R34" s="770" t="s">
        <v>17</v>
      </c>
      <c r="S34" s="771">
        <f t="shared" si="12"/>
        <v>100</v>
      </c>
      <c r="T34" s="770" t="s">
        <v>17</v>
      </c>
      <c r="U34" s="771">
        <f t="shared" si="13"/>
        <v>100</v>
      </c>
      <c r="V34" s="770" t="s">
        <v>17</v>
      </c>
      <c r="W34" s="771">
        <f t="shared" si="14"/>
        <v>100</v>
      </c>
      <c r="X34" s="772"/>
      <c r="Y34" s="3209"/>
      <c r="Z34" s="55" t="str">
        <f t="shared" si="15"/>
        <v>物业管理</v>
      </c>
      <c r="AA34" s="773">
        <f t="shared" si="3"/>
        <v>1</v>
      </c>
      <c r="AB34" s="773">
        <f t="shared" si="4"/>
        <v>1</v>
      </c>
      <c r="AC34" s="773">
        <f t="shared" si="5"/>
        <v>1</v>
      </c>
    </row>
    <row r="35" spans="1:29" ht="15">
      <c r="A35" s="472"/>
      <c r="B35" s="422" t="s">
        <v>2666</v>
      </c>
      <c r="C35" s="460" t="s">
        <v>3125</v>
      </c>
      <c r="D35" s="435">
        <v>100</v>
      </c>
      <c r="E35" s="460" t="s">
        <v>3125</v>
      </c>
      <c r="F35" s="461">
        <f>SUMIF(102:102,E35,103:103)-SUMIF(102:102,C35,103:103)+100</f>
        <v>100</v>
      </c>
      <c r="G35" s="460" t="s">
        <v>3125</v>
      </c>
      <c r="H35" s="435">
        <f>SUMIF(102:102,G35,103:103)-SUMIF(102:102,C35,103:103)+100</f>
        <v>100</v>
      </c>
      <c r="I35" s="460" t="s">
        <v>3124</v>
      </c>
      <c r="J35" s="435">
        <f>SUMIF(102:102,I35,103:103)-SUMIF(102:102,C35,103:103)+100</f>
        <v>98</v>
      </c>
      <c r="K35" s="612">
        <v>2</v>
      </c>
      <c r="L35" s="1143"/>
      <c r="M35" s="1134"/>
      <c r="N35" s="1134"/>
      <c r="O35" s="1142"/>
      <c r="P35" s="3209" t="s">
        <v>2568</v>
      </c>
      <c r="Q35" s="1813" t="str">
        <f t="shared" si="11"/>
        <v>市政基础设施</v>
      </c>
      <c r="R35" s="774" t="s">
        <v>17</v>
      </c>
      <c r="S35" s="775">
        <f t="shared" si="12"/>
        <v>100</v>
      </c>
      <c r="T35" s="774" t="s">
        <v>17</v>
      </c>
      <c r="U35" s="775">
        <f t="shared" si="13"/>
        <v>100</v>
      </c>
      <c r="V35" s="774" t="s">
        <v>17</v>
      </c>
      <c r="W35" s="775">
        <f t="shared" si="14"/>
        <v>98</v>
      </c>
      <c r="X35" s="1816"/>
      <c r="Y35" s="3209" t="s">
        <v>2568</v>
      </c>
      <c r="Z35" s="1817" t="str">
        <f t="shared" si="15"/>
        <v>市政基础设施</v>
      </c>
      <c r="AA35" s="1814">
        <f t="shared" si="3"/>
        <v>1</v>
      </c>
      <c r="AB35" s="1814">
        <f t="shared" si="4"/>
        <v>1</v>
      </c>
      <c r="AC35" s="1814">
        <f t="shared" si="5"/>
        <v>1.0204081632653061</v>
      </c>
    </row>
    <row r="36" spans="1:29" ht="15">
      <c r="A36" s="472"/>
      <c r="B36" s="422" t="s">
        <v>2671</v>
      </c>
      <c r="C36" s="460" t="s">
        <v>3118</v>
      </c>
      <c r="D36" s="435">
        <v>100</v>
      </c>
      <c r="E36" s="460" t="s">
        <v>3115</v>
      </c>
      <c r="F36" s="461">
        <f>SUMIF(104:104,E36,105:105)-SUMIF(104:104,C36,105:105)+100</f>
        <v>98</v>
      </c>
      <c r="G36" s="460" t="s">
        <v>3115</v>
      </c>
      <c r="H36" s="435">
        <f>SUMIF(104:104,G36,105:105)-SUMIF(104:104,C36,105:105)+100</f>
        <v>98</v>
      </c>
      <c r="I36" s="460" t="s">
        <v>3117</v>
      </c>
      <c r="J36" s="435">
        <f>SUMIF(104:104,I36,105:105)-SUMIF(104:104,C36,105:105)+100</f>
        <v>94</v>
      </c>
      <c r="K36" s="612">
        <v>2</v>
      </c>
      <c r="L36" s="1143"/>
      <c r="M36" s="1134"/>
      <c r="N36" s="1134"/>
      <c r="O36" s="1142"/>
      <c r="P36" s="3209"/>
      <c r="Q36" s="1813" t="str">
        <f t="shared" si="11"/>
        <v>内部装修</v>
      </c>
      <c r="R36" s="774" t="s">
        <v>17</v>
      </c>
      <c r="S36" s="775">
        <f t="shared" si="12"/>
        <v>98</v>
      </c>
      <c r="T36" s="774" t="s">
        <v>17</v>
      </c>
      <c r="U36" s="775">
        <f t="shared" si="13"/>
        <v>98</v>
      </c>
      <c r="V36" s="774" t="s">
        <v>17</v>
      </c>
      <c r="W36" s="775">
        <f t="shared" si="14"/>
        <v>94</v>
      </c>
      <c r="X36" s="1816"/>
      <c r="Y36" s="3209"/>
      <c r="Z36" s="1817" t="str">
        <f t="shared" si="15"/>
        <v>内部装修</v>
      </c>
      <c r="AA36" s="1814">
        <f t="shared" si="3"/>
        <v>1.0204081632653061</v>
      </c>
      <c r="AB36" s="1814">
        <f t="shared" si="4"/>
        <v>1.0204081632653061</v>
      </c>
      <c r="AC36" s="1814">
        <f t="shared" si="5"/>
        <v>1.0638297872340425</v>
      </c>
    </row>
    <row r="37" spans="1:29" ht="15">
      <c r="A37" s="472"/>
      <c r="B37" s="422" t="s">
        <v>2707</v>
      </c>
      <c r="C37" s="616" t="s">
        <v>3099</v>
      </c>
      <c r="D37" s="435">
        <v>100</v>
      </c>
      <c r="E37" s="616" t="s">
        <v>3099</v>
      </c>
      <c r="F37" s="461">
        <f>SUMIF(106:106,E37,107:107)-SUMIF(106:106,C37,107:107)+100</f>
        <v>100</v>
      </c>
      <c r="G37" s="616" t="s">
        <v>3099</v>
      </c>
      <c r="H37" s="435">
        <f>SUMIF(106:106,G37,107:107)-SUMIF(106:106,C37,107:107)+100</f>
        <v>100</v>
      </c>
      <c r="I37" s="616" t="s">
        <v>3099</v>
      </c>
      <c r="J37" s="435">
        <f>SUMIF(106:106,I37,107:107)-SUMIF(106:106,C37,107:107)+100</f>
        <v>100</v>
      </c>
      <c r="K37" s="612">
        <v>1</v>
      </c>
      <c r="L37" s="1143"/>
      <c r="M37" s="1134"/>
      <c r="N37" s="1134"/>
      <c r="O37" s="1142"/>
      <c r="P37" s="3209"/>
      <c r="Q37" s="1813" t="str">
        <f t="shared" si="11"/>
        <v>内部装修状况</v>
      </c>
      <c r="R37" s="774" t="s">
        <v>17</v>
      </c>
      <c r="S37" s="775">
        <f t="shared" si="12"/>
        <v>100</v>
      </c>
      <c r="T37" s="774" t="s">
        <v>17</v>
      </c>
      <c r="U37" s="775">
        <f t="shared" si="13"/>
        <v>100</v>
      </c>
      <c r="V37" s="774" t="s">
        <v>17</v>
      </c>
      <c r="W37" s="775">
        <f t="shared" si="14"/>
        <v>100</v>
      </c>
      <c r="X37" s="1816"/>
      <c r="Y37" s="3209"/>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09"/>
      <c r="Q38" s="776">
        <f t="shared" si="11"/>
        <v>111</v>
      </c>
      <c r="R38" s="777" t="s">
        <v>17</v>
      </c>
      <c r="S38" s="778">
        <f t="shared" si="12"/>
        <v>100</v>
      </c>
      <c r="T38" s="777" t="s">
        <v>17</v>
      </c>
      <c r="U38" s="778">
        <f t="shared" si="13"/>
        <v>100</v>
      </c>
      <c r="V38" s="777" t="s">
        <v>17</v>
      </c>
      <c r="W38" s="778">
        <f t="shared" si="14"/>
        <v>100</v>
      </c>
      <c r="X38" s="779"/>
      <c r="Y38" s="3209"/>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09"/>
      <c r="Q39" s="1813">
        <f t="shared" si="11"/>
        <v>111</v>
      </c>
      <c r="R39" s="774" t="s">
        <v>17</v>
      </c>
      <c r="S39" s="775">
        <f t="shared" si="12"/>
        <v>100</v>
      </c>
      <c r="T39" s="774" t="s">
        <v>17</v>
      </c>
      <c r="U39" s="775">
        <f t="shared" si="13"/>
        <v>100</v>
      </c>
      <c r="V39" s="774" t="s">
        <v>17</v>
      </c>
      <c r="W39" s="775">
        <f t="shared" si="14"/>
        <v>100</v>
      </c>
      <c r="X39" s="1816"/>
      <c r="Y39" s="3209"/>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10"/>
      <c r="Q40" s="1813">
        <f t="shared" si="11"/>
        <v>111</v>
      </c>
      <c r="R40" s="774" t="s">
        <v>17</v>
      </c>
      <c r="S40" s="775">
        <f t="shared" si="12"/>
        <v>100</v>
      </c>
      <c r="T40" s="774" t="s">
        <v>17</v>
      </c>
      <c r="U40" s="775">
        <f t="shared" si="13"/>
        <v>100</v>
      </c>
      <c r="V40" s="774" t="s">
        <v>17</v>
      </c>
      <c r="W40" s="775">
        <f t="shared" si="14"/>
        <v>100</v>
      </c>
      <c r="X40" s="1816"/>
      <c r="Y40" s="3210"/>
      <c r="Z40" s="1817">
        <f t="shared" si="15"/>
        <v>111</v>
      </c>
      <c r="AA40" s="1814">
        <f t="shared" si="3"/>
        <v>1</v>
      </c>
      <c r="AB40" s="1814">
        <f t="shared" si="4"/>
        <v>1</v>
      </c>
      <c r="AC40" s="1814">
        <f t="shared" si="5"/>
        <v>1</v>
      </c>
    </row>
    <row r="41" spans="1:29" ht="15">
      <c r="A41" s="479" t="s">
        <v>2580</v>
      </c>
      <c r="B41" s="480"/>
      <c r="C41" s="1410" t="s">
        <v>1</v>
      </c>
      <c r="D41" s="1411"/>
      <c r="E41" s="1412">
        <v>43800</v>
      </c>
      <c r="F41" s="1413"/>
      <c r="G41" s="1414">
        <v>43750</v>
      </c>
      <c r="H41" s="1415"/>
      <c r="I41" s="1412">
        <v>40000</v>
      </c>
      <c r="J41" s="1415"/>
      <c r="K41" s="783"/>
      <c r="L41" s="1146"/>
      <c r="M41" s="1147"/>
      <c r="N41" s="1134"/>
      <c r="O41" s="1147"/>
      <c r="P41" s="3202" t="str">
        <f>A41</f>
        <v>成交单价（元/平方米）</v>
      </c>
      <c r="Q41" s="3202"/>
      <c r="R41" s="3203">
        <f>E41</f>
        <v>43800</v>
      </c>
      <c r="S41" s="3203"/>
      <c r="T41" s="3203">
        <f>G41</f>
        <v>43750</v>
      </c>
      <c r="U41" s="3203"/>
      <c r="V41" s="3203">
        <f>I41</f>
        <v>40000</v>
      </c>
      <c r="W41" s="3203"/>
      <c r="X41" s="759"/>
      <c r="Y41" s="781"/>
      <c r="Z41" s="759"/>
      <c r="AA41" s="759"/>
      <c r="AB41" s="759"/>
      <c r="AC41" s="759"/>
    </row>
    <row r="42" spans="1:29" ht="15.75" thickBot="1">
      <c r="A42" s="486" t="s">
        <v>2672</v>
      </c>
      <c r="B42" s="487"/>
      <c r="C42" s="1416">
        <f>R43</f>
        <v>38830</v>
      </c>
      <c r="D42" s="1417"/>
      <c r="E42" s="1418">
        <f>R42</f>
        <v>38408</v>
      </c>
      <c r="F42" s="1418"/>
      <c r="G42" s="1416">
        <f>T42</f>
        <v>38364</v>
      </c>
      <c r="H42" s="1417"/>
      <c r="I42" s="1418">
        <f>V42</f>
        <v>39717</v>
      </c>
      <c r="J42" s="1417"/>
      <c r="K42" s="784"/>
      <c r="L42" s="1146"/>
      <c r="M42" s="1147"/>
      <c r="N42" s="1134"/>
      <c r="O42" s="1147"/>
      <c r="P42" s="3202" t="str">
        <f>A42</f>
        <v>比较价值（元/平方米）</v>
      </c>
      <c r="Q42" s="3202"/>
      <c r="R42" s="3203">
        <f>IF(F1="售价",ROUND(PRODUCT(R41,AA7:AA40),0),ROUND(PRODUCT(R41,AA7:AA40),1))</f>
        <v>38408</v>
      </c>
      <c r="S42" s="3203"/>
      <c r="T42" s="3203">
        <f>IF(F1="售价",ROUND(PRODUCT(T41,AB7:AB40),0),ROUND(PRODUCT(T41,AB7:AB40),1))</f>
        <v>38364</v>
      </c>
      <c r="U42" s="3203"/>
      <c r="V42" s="3203">
        <f>IF(F1="售价",ROUND(PRODUCT(V41,AC7:AC40),0),ROUND(PRODUCT(V41,AC7:AC40),1))</f>
        <v>39717</v>
      </c>
      <c r="W42" s="3203"/>
      <c r="X42" s="759"/>
      <c r="Y42" s="759"/>
      <c r="Z42" s="759"/>
      <c r="AA42" s="759"/>
      <c r="AB42" s="759"/>
      <c r="AC42" s="759"/>
    </row>
    <row r="43" spans="1:29" ht="15.75" thickBot="1">
      <c r="A43" s="492" t="s">
        <v>2673</v>
      </c>
      <c r="B43" s="493"/>
      <c r="C43" s="1420">
        <f>R43</f>
        <v>38830</v>
      </c>
      <c r="D43" s="1420"/>
      <c r="E43" s="1420"/>
      <c r="F43" s="1420"/>
      <c r="G43" s="1420"/>
      <c r="H43" s="1420"/>
      <c r="I43" s="1420"/>
      <c r="J43" s="1420"/>
      <c r="K43" s="785"/>
      <c r="L43" s="1146"/>
      <c r="M43" s="1147"/>
      <c r="N43" s="1147"/>
      <c r="O43" s="1147"/>
      <c r="P43" s="3199" t="str">
        <f>A43</f>
        <v>估价对象XX用房的比较价值（楼面单价，元/平方米）</v>
      </c>
      <c r="Q43" s="3200"/>
      <c r="R43" s="3201">
        <f>IF(F1="售价",ROUND(AVERAGE(R42:V42),0),ROUND(AVERAGE(R42:V42),1))</f>
        <v>38830</v>
      </c>
      <c r="S43" s="3201"/>
      <c r="T43" s="3201"/>
      <c r="U43" s="3201"/>
      <c r="V43" s="3201"/>
      <c r="W43" s="320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2674</v>
      </c>
      <c r="D46" s="498"/>
      <c r="E46" s="499">
        <f>IF(E41&lt;E42,E42/E41-1,E41/E42-1)</f>
        <v>0.14038741928764842</v>
      </c>
      <c r="F46" s="500" t="str">
        <f>IF(OR(E46&gt;=0.3,E46&lt;=-0.3),"超过30%","")</f>
        <v/>
      </c>
      <c r="G46" s="499">
        <f>IF(G41&lt;G42,G42/G41-1,G41/G42-1)</f>
        <v>0.14039203419872792</v>
      </c>
      <c r="H46" s="500" t="str">
        <f>IF(OR(G46&gt;=0.3,G46&lt;=-0.3),"超过30%","")</f>
        <v/>
      </c>
      <c r="I46" s="499">
        <f>IF(I41&lt;I42,I42/I41-1,I41/I42-1)</f>
        <v>7.125412291965727E-3</v>
      </c>
      <c r="J46" s="500" t="str">
        <f>IF(OR(I46&gt;=0.3,I46&lt;=-0.3),"超过30%","")</f>
        <v/>
      </c>
      <c r="K46" s="1108"/>
      <c r="L46" s="1109"/>
      <c r="M46" s="1147"/>
      <c r="N46" s="1147"/>
      <c r="O46" s="1147"/>
    </row>
    <row r="47" spans="1:29" ht="13.5" customHeight="1">
      <c r="A47" s="1147"/>
      <c r="B47" s="1147"/>
      <c r="C47" s="497" t="s">
        <v>2675</v>
      </c>
      <c r="D47" s="501"/>
      <c r="E47" s="499">
        <f>IF(E42&lt;G42,G42/E42-1,E42/G42-1)</f>
        <v>1.1469085601083506E-3</v>
      </c>
      <c r="F47" s="500" t="str">
        <f>IF(OR(E47&gt;=0.2,E47&lt;=-0.2),"超过20%","")</f>
        <v/>
      </c>
      <c r="G47" s="499">
        <f>IF(G42&lt;I42,I42/G42-1,G42/I42-1)</f>
        <v>3.5267438223334446E-2</v>
      </c>
      <c r="H47" s="500" t="str">
        <f>IF(OR(G47&gt;=0.2,G47&lt;=-0.2),"超过20%","")</f>
        <v/>
      </c>
      <c r="I47" s="499">
        <f>IF(I42&lt;E42,E42/I42-1,I42/E42-1)</f>
        <v>3.4081441366381915E-2</v>
      </c>
      <c r="J47" s="500" t="str">
        <f>IF(OR(I47&gt;=0.2,I47&lt;=-0.2),"超过20%","")</f>
        <v/>
      </c>
      <c r="K47" s="1108"/>
      <c r="L47" s="1109"/>
      <c r="M47" s="1147"/>
      <c r="N47" s="1147"/>
      <c r="O47" s="1147"/>
    </row>
    <row r="48" spans="1:29" s="502" customFormat="1" ht="13.5" customHeight="1">
      <c r="A48" s="1148"/>
      <c r="B48" s="1148"/>
      <c r="C48" s="497" t="s">
        <v>2676</v>
      </c>
      <c r="D48" s="501"/>
      <c r="E48" s="499">
        <f>IF(E41&lt;G41,G41/E41-1,E41/G41-1)</f>
        <v>1.1428571428571122E-3</v>
      </c>
      <c r="F48" s="500" t="str">
        <f>IF(OR(E48&gt;=0.3,E48&lt;=-0.3),"超过30%","")</f>
        <v/>
      </c>
      <c r="G48" s="499">
        <f>IF(G41&lt;I41,I41/G41-1,G41/I41-1)</f>
        <v>9.375E-2</v>
      </c>
      <c r="H48" s="500" t="str">
        <f>IF(OR(G48&gt;=0.3,G48&lt;=-0.3),"超过30%","")</f>
        <v/>
      </c>
      <c r="I48" s="499">
        <f>IF(I41&lt;E41,E41/I41-1,I41/E41-1)</f>
        <v>9.4999999999999973E-2</v>
      </c>
      <c r="J48" s="500" t="str">
        <f>IF(OR(I48&gt;=0.3,I48&lt;=-0.3),"超过30%","")</f>
        <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2677</v>
      </c>
      <c r="B51" s="759"/>
      <c r="C51" s="764"/>
      <c r="D51" s="764"/>
      <c r="E51" s="764"/>
      <c r="F51" s="765"/>
      <c r="G51" s="765"/>
      <c r="H51" s="764"/>
      <c r="I51" s="764"/>
      <c r="J51" s="764"/>
      <c r="K51" s="1163"/>
      <c r="L51" s="1164"/>
      <c r="M51" s="1162"/>
      <c r="N51" s="1162"/>
      <c r="O51" s="1162"/>
      <c r="P51" s="503"/>
      <c r="Q51" s="504"/>
    </row>
    <row r="52" spans="1:17" s="508" customFormat="1" ht="15">
      <c r="A52" s="505" t="s">
        <v>2551</v>
      </c>
      <c r="B52" s="506"/>
      <c r="C52" s="1577" t="str">
        <f>YEAR(C7)&amp;"-"&amp;MONTH(C7)</f>
        <v>2018-11</v>
      </c>
      <c r="D52" s="1578">
        <f>EDATE(C52,-1)</f>
        <v>43374</v>
      </c>
      <c r="E52" s="1578">
        <f t="shared" ref="E52:O52" si="16">EDATE(D52,-1)</f>
        <v>43344</v>
      </c>
      <c r="F52" s="1578">
        <f t="shared" si="16"/>
        <v>43313</v>
      </c>
      <c r="G52" s="1578">
        <f t="shared" si="16"/>
        <v>43282</v>
      </c>
      <c r="H52" s="1578">
        <f t="shared" si="16"/>
        <v>43252</v>
      </c>
      <c r="I52" s="1578">
        <f t="shared" si="16"/>
        <v>43221</v>
      </c>
      <c r="J52" s="1578">
        <f t="shared" si="16"/>
        <v>43191</v>
      </c>
      <c r="K52" s="1578">
        <f t="shared" si="16"/>
        <v>43160</v>
      </c>
      <c r="L52" s="1578">
        <f t="shared" si="16"/>
        <v>43132</v>
      </c>
      <c r="M52" s="1578">
        <f t="shared" si="16"/>
        <v>43101</v>
      </c>
      <c r="N52" s="1578">
        <f t="shared" si="16"/>
        <v>43070</v>
      </c>
      <c r="O52" s="1578">
        <f t="shared" si="16"/>
        <v>43040</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2588</v>
      </c>
      <c r="B54" s="516"/>
      <c r="C54" s="517"/>
      <c r="D54" s="518"/>
      <c r="E54" s="518"/>
      <c r="F54" s="518"/>
      <c r="G54" s="518"/>
      <c r="H54" s="518"/>
      <c r="I54" s="518"/>
      <c r="J54" s="518"/>
      <c r="K54" s="518"/>
      <c r="L54" s="518"/>
      <c r="M54" s="519"/>
      <c r="N54" s="518"/>
      <c r="O54" s="520"/>
      <c r="P54" s="504"/>
      <c r="Q54" s="504"/>
    </row>
    <row r="55" spans="1:17" s="117" customFormat="1" ht="15">
      <c r="A55" s="521" t="s">
        <v>2553</v>
      </c>
      <c r="B55" s="510"/>
      <c r="C55" s="522" t="s">
        <v>2655</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2591</v>
      </c>
      <c r="B57" s="528" t="s">
        <v>2557</v>
      </c>
      <c r="C57" s="529" t="str">
        <f>C9</f>
        <v>工业</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2560</v>
      </c>
      <c r="C59" s="539" t="s">
        <v>2592</v>
      </c>
      <c r="D59" s="539" t="s">
        <v>2593</v>
      </c>
      <c r="E59" s="539" t="s">
        <v>2594</v>
      </c>
      <c r="F59" s="539" t="s">
        <v>2595</v>
      </c>
      <c r="G59" s="539" t="s">
        <v>2596</v>
      </c>
      <c r="H59" s="539" t="s">
        <v>2597</v>
      </c>
      <c r="I59" s="539" t="s">
        <v>2598</v>
      </c>
      <c r="J59" s="539"/>
      <c r="K59" s="540"/>
      <c r="L59" s="541"/>
      <c r="M59" s="542"/>
      <c r="N59" s="1155"/>
      <c r="O59" s="1155"/>
      <c r="P59" s="45"/>
      <c r="Q59" s="504"/>
    </row>
    <row r="60" spans="1:17" ht="15.75" thickBot="1">
      <c r="A60" s="534"/>
      <c r="B60" s="543"/>
      <c r="C60" s="544" t="s">
        <v>24</v>
      </c>
      <c r="D60" s="544" t="s">
        <v>25</v>
      </c>
      <c r="E60" s="544">
        <v>100</v>
      </c>
      <c r="F60" s="544">
        <f>E60-$K10</f>
        <v>98</v>
      </c>
      <c r="G60" s="544">
        <f>F60-$K10</f>
        <v>96</v>
      </c>
      <c r="H60" s="544">
        <f>G60-$K10</f>
        <v>94</v>
      </c>
      <c r="I60" s="544">
        <f>H60-$K10</f>
        <v>92</v>
      </c>
      <c r="J60" s="544"/>
      <c r="K60" s="544"/>
      <c r="L60" s="544"/>
      <c r="M60" s="545"/>
      <c r="N60" s="1156"/>
      <c r="O60" s="1156"/>
      <c r="P60" s="45"/>
      <c r="Q60" s="504"/>
    </row>
    <row r="61" spans="1:17" ht="15.75" thickTop="1">
      <c r="A61" s="534"/>
      <c r="B61" s="546" t="s">
        <v>2561</v>
      </c>
      <c r="C61" s="547" t="str">
        <f>C62&amp;"（含）"&amp;"-"&amp;D62</f>
        <v>0（含）-1</v>
      </c>
      <c r="D61" s="547" t="str">
        <f t="shared" ref="D61:L61" si="17">D62&amp;"（含）"&amp;"-"&amp;E62</f>
        <v>1（含）-2</v>
      </c>
      <c r="E61" s="547" t="str">
        <f t="shared" si="17"/>
        <v>2（含）-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v>0</v>
      </c>
      <c r="D62" s="549">
        <v>1</v>
      </c>
      <c r="E62" s="549">
        <v>2</v>
      </c>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2562</v>
      </c>
      <c r="B70" s="528" t="s">
        <v>2708</v>
      </c>
      <c r="C70" s="573" t="s">
        <v>2600</v>
      </c>
      <c r="D70" s="573" t="s">
        <v>2601</v>
      </c>
      <c r="E70" s="573" t="s">
        <v>2602</v>
      </c>
      <c r="F70" s="573" t="s">
        <v>2603</v>
      </c>
      <c r="G70" s="573" t="s">
        <v>2604</v>
      </c>
      <c r="H70" s="529"/>
      <c r="I70" s="529"/>
      <c r="J70" s="529"/>
      <c r="K70" s="574"/>
      <c r="L70" s="575"/>
      <c r="M70" s="576"/>
      <c r="N70" s="1155"/>
      <c r="O70" s="1155"/>
      <c r="P70" s="577"/>
      <c r="Q70" s="504"/>
    </row>
    <row r="71" spans="1:17" ht="15.75" thickBot="1">
      <c r="A71" s="534"/>
      <c r="B71" s="543"/>
      <c r="C71" s="544">
        <v>100</v>
      </c>
      <c r="D71" s="544">
        <f>C71-$K15</f>
        <v>99</v>
      </c>
      <c r="E71" s="544">
        <f>D71-$K15</f>
        <v>98</v>
      </c>
      <c r="F71" s="544">
        <f>E71-$K15</f>
        <v>97</v>
      </c>
      <c r="G71" s="544">
        <f>F71-$K15</f>
        <v>96</v>
      </c>
      <c r="H71" s="544"/>
      <c r="I71" s="544"/>
      <c r="J71" s="544"/>
      <c r="K71" s="544"/>
      <c r="L71" s="544"/>
      <c r="M71" s="545"/>
      <c r="N71" s="1156"/>
      <c r="O71" s="1156"/>
      <c r="P71" s="45"/>
      <c r="Q71" s="504"/>
    </row>
    <row r="72" spans="1:17" ht="15.75" thickTop="1">
      <c r="A72" s="534"/>
      <c r="B72" s="538" t="s">
        <v>2605</v>
      </c>
      <c r="C72" s="578" t="s">
        <v>2600</v>
      </c>
      <c r="D72" s="578" t="s">
        <v>2601</v>
      </c>
      <c r="E72" s="578" t="s">
        <v>2602</v>
      </c>
      <c r="F72" s="578" t="s">
        <v>2603</v>
      </c>
      <c r="G72" s="578" t="s">
        <v>2604</v>
      </c>
      <c r="H72" s="539"/>
      <c r="I72" s="539"/>
      <c r="J72" s="539"/>
      <c r="K72" s="540"/>
      <c r="L72" s="541"/>
      <c r="M72" s="542"/>
      <c r="N72" s="1155"/>
      <c r="O72" s="1155"/>
      <c r="P72" s="45"/>
      <c r="Q72" s="504"/>
    </row>
    <row r="73" spans="1:17" ht="15.75" thickBot="1">
      <c r="A73" s="534"/>
      <c r="B73" s="543"/>
      <c r="C73" s="544">
        <v>100</v>
      </c>
      <c r="D73" s="544">
        <f>C73-$K17</f>
        <v>98</v>
      </c>
      <c r="E73" s="544">
        <f>D73-$K17</f>
        <v>96</v>
      </c>
      <c r="F73" s="544">
        <f>E73-$K17</f>
        <v>94</v>
      </c>
      <c r="G73" s="544">
        <f>F73-$K17</f>
        <v>92</v>
      </c>
      <c r="H73" s="544"/>
      <c r="I73" s="544"/>
      <c r="J73" s="544"/>
      <c r="K73" s="544"/>
      <c r="L73" s="544"/>
      <c r="M73" s="545"/>
      <c r="N73" s="1156"/>
      <c r="O73" s="1156"/>
      <c r="P73" s="45"/>
      <c r="Q73" s="504"/>
    </row>
    <row r="74" spans="1:17" ht="15.75" thickTop="1">
      <c r="A74" s="534"/>
      <c r="B74" s="538" t="s">
        <v>2606</v>
      </c>
      <c r="C74" s="578" t="s">
        <v>2600</v>
      </c>
      <c r="D74" s="578" t="s">
        <v>2601</v>
      </c>
      <c r="E74" s="578" t="s">
        <v>2602</v>
      </c>
      <c r="F74" s="578" t="s">
        <v>2603</v>
      </c>
      <c r="G74" s="578" t="s">
        <v>2604</v>
      </c>
      <c r="H74" s="539"/>
      <c r="I74" s="539"/>
      <c r="J74" s="539"/>
      <c r="K74" s="540"/>
      <c r="L74" s="541"/>
      <c r="M74" s="542"/>
      <c r="N74" s="1155"/>
      <c r="O74" s="1155"/>
      <c r="P74" s="45"/>
      <c r="Q74" s="504"/>
    </row>
    <row r="75" spans="1:17" ht="15.75" thickBot="1">
      <c r="A75" s="534"/>
      <c r="B75" s="543"/>
      <c r="C75" s="544">
        <v>100</v>
      </c>
      <c r="D75" s="544">
        <f>C75-$K19</f>
        <v>98</v>
      </c>
      <c r="E75" s="544">
        <f>D75-$K19</f>
        <v>96</v>
      </c>
      <c r="F75" s="544">
        <f>E75-$K19</f>
        <v>94</v>
      </c>
      <c r="G75" s="544">
        <f>F75-$K19</f>
        <v>92</v>
      </c>
      <c r="H75" s="544"/>
      <c r="I75" s="544"/>
      <c r="J75" s="544"/>
      <c r="K75" s="544"/>
      <c r="L75" s="544"/>
      <c r="M75" s="545"/>
      <c r="N75" s="1156"/>
      <c r="O75" s="1156"/>
      <c r="P75" s="45"/>
      <c r="Q75" s="504"/>
    </row>
    <row r="76" spans="1:17" ht="15.75" thickTop="1">
      <c r="A76" s="534"/>
      <c r="B76" s="546" t="s">
        <v>2692</v>
      </c>
      <c r="C76" s="660" t="s">
        <v>2678</v>
      </c>
      <c r="D76" s="660" t="s">
        <v>2679</v>
      </c>
      <c r="E76" s="660" t="s">
        <v>2680</v>
      </c>
      <c r="F76" s="660" t="s">
        <v>2681</v>
      </c>
      <c r="G76" s="660" t="s">
        <v>2682</v>
      </c>
      <c r="H76" s="539"/>
      <c r="I76" s="539"/>
      <c r="J76" s="539"/>
      <c r="K76" s="539"/>
      <c r="L76" s="539"/>
      <c r="M76" s="1385"/>
      <c r="N76" s="1156"/>
      <c r="O76" s="1156"/>
      <c r="P76" s="45"/>
      <c r="Q76" s="504"/>
    </row>
    <row r="77" spans="1:17" ht="15.75" thickBot="1">
      <c r="A77" s="534"/>
      <c r="B77" s="546"/>
      <c r="C77" s="544">
        <v>100</v>
      </c>
      <c r="D77" s="544">
        <f>C77-$K21</f>
        <v>98</v>
      </c>
      <c r="E77" s="544">
        <f>D77-$K21</f>
        <v>96</v>
      </c>
      <c r="F77" s="544">
        <f>E77-$K21</f>
        <v>94</v>
      </c>
      <c r="G77" s="544">
        <f>F77-$K21</f>
        <v>92</v>
      </c>
      <c r="H77" s="660"/>
      <c r="I77" s="660"/>
      <c r="J77" s="660"/>
      <c r="K77" s="660"/>
      <c r="L77" s="660"/>
      <c r="M77" s="450"/>
      <c r="N77" s="1156"/>
      <c r="O77" s="1156"/>
      <c r="P77" s="45"/>
      <c r="Q77" s="504"/>
    </row>
    <row r="78" spans="1:17" ht="15.75" thickTop="1">
      <c r="A78" s="534"/>
      <c r="B78" s="538" t="s">
        <v>2701</v>
      </c>
      <c r="C78" s="578" t="s">
        <v>2600</v>
      </c>
      <c r="D78" s="578" t="s">
        <v>2601</v>
      </c>
      <c r="E78" s="578" t="s">
        <v>2602</v>
      </c>
      <c r="F78" s="578" t="s">
        <v>2603</v>
      </c>
      <c r="G78" s="578" t="s">
        <v>2604</v>
      </c>
      <c r="H78" s="539"/>
      <c r="I78" s="539"/>
      <c r="J78" s="539"/>
      <c r="K78" s="540"/>
      <c r="L78" s="541"/>
      <c r="M78" s="542"/>
      <c r="N78" s="1155"/>
      <c r="O78" s="1155"/>
      <c r="P78" s="45"/>
      <c r="Q78" s="504"/>
    </row>
    <row r="79" spans="1:17" ht="15.75" thickBot="1">
      <c r="A79" s="534"/>
      <c r="B79" s="543"/>
      <c r="C79" s="544">
        <v>100</v>
      </c>
      <c r="D79" s="544">
        <f>C79-$K23</f>
        <v>99</v>
      </c>
      <c r="E79" s="544">
        <f>D79-$K23</f>
        <v>98</v>
      </c>
      <c r="F79" s="544">
        <f>E79-$K23</f>
        <v>97</v>
      </c>
      <c r="G79" s="544">
        <f>F79-$K23</f>
        <v>96</v>
      </c>
      <c r="H79" s="544"/>
      <c r="I79" s="544"/>
      <c r="J79" s="544"/>
      <c r="K79" s="544"/>
      <c r="L79" s="544"/>
      <c r="M79" s="545"/>
      <c r="N79" s="1156"/>
      <c r="O79" s="1156"/>
      <c r="P79" s="45"/>
      <c r="Q79" s="504"/>
    </row>
    <row r="80" spans="1:17" s="117" customFormat="1" ht="15.75" thickTop="1">
      <c r="A80" s="579"/>
      <c r="B80" s="538" t="str">
        <f>B25</f>
        <v>是否有地下</v>
      </c>
      <c r="C80" s="3285" t="s">
        <v>3101</v>
      </c>
      <c r="D80" s="3285" t="s">
        <v>3102</v>
      </c>
      <c r="E80" s="554"/>
      <c r="F80" s="554"/>
      <c r="G80" s="554"/>
      <c r="H80" s="554"/>
      <c r="I80" s="554"/>
      <c r="J80" s="554"/>
      <c r="K80" s="554"/>
      <c r="L80" s="580"/>
      <c r="M80" s="581"/>
      <c r="N80" s="1154"/>
      <c r="O80" s="1154"/>
      <c r="P80" s="45"/>
      <c r="Q80" s="504"/>
    </row>
    <row r="81" spans="1:17" s="117" customFormat="1" ht="15.75" thickBot="1">
      <c r="A81" s="579"/>
      <c r="B81" s="543"/>
      <c r="C81" s="560">
        <v>100</v>
      </c>
      <c r="D81" s="536">
        <v>120</v>
      </c>
      <c r="E81" s="536"/>
      <c r="F81" s="536"/>
      <c r="G81" s="536"/>
      <c r="H81" s="536"/>
      <c r="I81" s="536"/>
      <c r="J81" s="536"/>
      <c r="K81" s="536"/>
      <c r="L81" s="536"/>
      <c r="M81" s="537"/>
      <c r="N81" s="1156"/>
      <c r="O81" s="1156"/>
      <c r="P81" s="45"/>
      <c r="Q81" s="504"/>
    </row>
    <row r="82" spans="1:17" s="117" customFormat="1" ht="15.75" thickTop="1">
      <c r="A82" s="579"/>
      <c r="B82" s="538">
        <f>B26</f>
        <v>0</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0</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0</v>
      </c>
      <c r="C86" s="523"/>
      <c r="D86" s="523"/>
      <c r="E86" s="523"/>
      <c r="F86" s="523"/>
      <c r="G86" s="587"/>
      <c r="H86" s="587"/>
      <c r="I86" s="587"/>
      <c r="J86" s="587"/>
      <c r="K86" s="588"/>
      <c r="L86" s="589"/>
      <c r="M86" s="590"/>
      <c r="N86" s="1155"/>
      <c r="O86" s="1155"/>
      <c r="P86" s="45"/>
      <c r="Q86" s="504"/>
    </row>
    <row r="87" spans="1:17" ht="15.75" thickBot="1">
      <c r="A87" s="2643"/>
      <c r="B87" s="569"/>
      <c r="C87" s="570"/>
      <c r="D87" s="570"/>
      <c r="E87" s="570"/>
      <c r="F87" s="570"/>
      <c r="G87" s="591"/>
      <c r="H87" s="591"/>
      <c r="I87" s="591"/>
      <c r="J87" s="591"/>
      <c r="K87" s="591"/>
      <c r="L87" s="591"/>
      <c r="M87" s="592"/>
      <c r="N87" s="1156"/>
      <c r="O87" s="1156"/>
      <c r="P87" s="45"/>
      <c r="Q87" s="504"/>
    </row>
    <row r="88" spans="1:17">
      <c r="A88" s="527" t="s">
        <v>2566</v>
      </c>
      <c r="B88" s="528" t="s">
        <v>2615</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29.25" thickTop="1">
      <c r="A90" s="534"/>
      <c r="B90" s="538" t="s">
        <v>2616</v>
      </c>
      <c r="C90" s="578" t="str">
        <f>C91&amp;"(含)"&amp;"-"&amp;D91</f>
        <v>0(含)-30000</v>
      </c>
      <c r="D90" s="578" t="str">
        <f t="shared" ref="D90:L90" si="20">D91&amp;"(含)"&amp;"-"&amp;E91</f>
        <v>30000(含)-60000</v>
      </c>
      <c r="E90" s="578" t="str">
        <f t="shared" si="20"/>
        <v>60000(含)-90000</v>
      </c>
      <c r="F90" s="578" t="str">
        <f t="shared" si="20"/>
        <v>90000(含)-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v>0</v>
      </c>
      <c r="D91" s="595">
        <v>30000</v>
      </c>
      <c r="E91" s="595">
        <v>60000</v>
      </c>
      <c r="F91" s="595">
        <v>90000</v>
      </c>
      <c r="G91" s="595"/>
      <c r="H91" s="595"/>
      <c r="I91" s="595"/>
      <c r="J91" s="596"/>
      <c r="K91" s="596"/>
      <c r="L91" s="597"/>
      <c r="M91" s="598"/>
      <c r="N91" s="1157"/>
      <c r="O91" s="1157"/>
      <c r="P91" s="558"/>
      <c r="Q91" s="559"/>
    </row>
    <row r="92" spans="1:17" s="471" customFormat="1" ht="15.75" thickBot="1">
      <c r="A92" s="553"/>
      <c r="B92" s="543"/>
      <c r="C92" s="560">
        <v>100</v>
      </c>
      <c r="D92" s="536">
        <v>99</v>
      </c>
      <c r="E92" s="536">
        <v>98</v>
      </c>
      <c r="F92" s="536">
        <v>97</v>
      </c>
      <c r="G92" s="536"/>
      <c r="H92" s="536"/>
      <c r="I92" s="536"/>
      <c r="J92" s="536"/>
      <c r="K92" s="536"/>
      <c r="L92" s="536"/>
      <c r="M92" s="537"/>
      <c r="N92" s="1156"/>
      <c r="O92" s="1156"/>
      <c r="P92" s="558"/>
      <c r="Q92" s="559"/>
    </row>
    <row r="93" spans="1:17" ht="15" thickTop="1">
      <c r="A93" s="599"/>
      <c r="B93" s="538" t="s">
        <v>2617</v>
      </c>
      <c r="C93" s="3285" t="s">
        <v>3106</v>
      </c>
      <c r="D93" s="3285" t="s">
        <v>3107</v>
      </c>
      <c r="E93" s="3287" t="s">
        <v>3108</v>
      </c>
      <c r="F93" s="583"/>
      <c r="G93" s="583"/>
      <c r="H93" s="583"/>
      <c r="I93" s="583"/>
      <c r="J93" s="583"/>
      <c r="K93" s="584"/>
      <c r="L93" s="585"/>
      <c r="M93" s="586"/>
      <c r="N93" s="1155"/>
      <c r="O93" s="1155"/>
      <c r="P93" s="45"/>
      <c r="Q93" s="504"/>
    </row>
    <row r="94" spans="1:17" ht="15.75" thickBot="1">
      <c r="A94" s="534"/>
      <c r="B94" s="543"/>
      <c r="C94" s="544">
        <v>100</v>
      </c>
      <c r="D94" s="544">
        <f t="shared" ref="D94:M94" si="21">C94-$K31</f>
        <v>98</v>
      </c>
      <c r="E94" s="544">
        <f t="shared" si="21"/>
        <v>96</v>
      </c>
      <c r="F94" s="544">
        <f t="shared" si="21"/>
        <v>94</v>
      </c>
      <c r="G94" s="544">
        <f t="shared" si="21"/>
        <v>92</v>
      </c>
      <c r="H94" s="544">
        <f t="shared" si="21"/>
        <v>90</v>
      </c>
      <c r="I94" s="544">
        <f t="shared" si="21"/>
        <v>88</v>
      </c>
      <c r="J94" s="544">
        <f t="shared" si="21"/>
        <v>86</v>
      </c>
      <c r="K94" s="544">
        <f t="shared" si="21"/>
        <v>84</v>
      </c>
      <c r="L94" s="544">
        <f t="shared" si="21"/>
        <v>82</v>
      </c>
      <c r="M94" s="545">
        <f t="shared" si="21"/>
        <v>80</v>
      </c>
      <c r="N94" s="1156"/>
      <c r="O94" s="1156"/>
      <c r="P94" s="45"/>
      <c r="Q94" s="504"/>
    </row>
    <row r="95" spans="1:17" ht="15" thickTop="1">
      <c r="A95" s="599"/>
      <c r="B95" s="538" t="s">
        <v>2619</v>
      </c>
      <c r="C95" s="3285" t="s">
        <v>3109</v>
      </c>
      <c r="D95" s="3285" t="s">
        <v>3110</v>
      </c>
      <c r="E95" s="3285" t="s">
        <v>3111</v>
      </c>
      <c r="F95" s="583" t="s">
        <v>3112</v>
      </c>
      <c r="G95" s="583"/>
      <c r="H95" s="583"/>
      <c r="I95" s="583"/>
      <c r="J95" s="583"/>
      <c r="K95" s="584"/>
      <c r="L95" s="585"/>
      <c r="M95" s="586"/>
      <c r="N95" s="1155"/>
      <c r="O95" s="1155"/>
      <c r="P95" s="45"/>
      <c r="Q95" s="504"/>
    </row>
    <row r="96" spans="1:17" ht="15.75" thickBot="1">
      <c r="A96" s="534"/>
      <c r="B96" s="543"/>
      <c r="C96" s="544">
        <v>100</v>
      </c>
      <c r="D96" s="544">
        <f t="shared" ref="D96:M96" si="22">C96-$K32</f>
        <v>98</v>
      </c>
      <c r="E96" s="544">
        <f t="shared" si="22"/>
        <v>96</v>
      </c>
      <c r="F96" s="544">
        <f t="shared" si="22"/>
        <v>94</v>
      </c>
      <c r="G96" s="544">
        <f t="shared" si="22"/>
        <v>92</v>
      </c>
      <c r="H96" s="544">
        <f t="shared" si="22"/>
        <v>90</v>
      </c>
      <c r="I96" s="544">
        <f t="shared" si="22"/>
        <v>88</v>
      </c>
      <c r="J96" s="544">
        <f t="shared" si="22"/>
        <v>86</v>
      </c>
      <c r="K96" s="544">
        <f t="shared" si="22"/>
        <v>84</v>
      </c>
      <c r="L96" s="544">
        <f t="shared" si="22"/>
        <v>82</v>
      </c>
      <c r="M96" s="545">
        <f t="shared" si="22"/>
        <v>80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101</v>
      </c>
      <c r="E99" s="544">
        <f t="shared" ref="E99:M99" si="23">D99+$K33</f>
        <v>102</v>
      </c>
      <c r="F99" s="544">
        <f t="shared" si="23"/>
        <v>103</v>
      </c>
      <c r="G99" s="544">
        <f t="shared" si="23"/>
        <v>104</v>
      </c>
      <c r="H99" s="544">
        <f t="shared" si="23"/>
        <v>105</v>
      </c>
      <c r="I99" s="544">
        <f t="shared" si="23"/>
        <v>106</v>
      </c>
      <c r="J99" s="544">
        <f t="shared" si="23"/>
        <v>107</v>
      </c>
      <c r="K99" s="544">
        <f t="shared" si="23"/>
        <v>108</v>
      </c>
      <c r="L99" s="544">
        <f t="shared" si="23"/>
        <v>109</v>
      </c>
      <c r="M99" s="544">
        <f t="shared" si="23"/>
        <v>110</v>
      </c>
      <c r="N99" s="1156"/>
      <c r="O99" s="1156"/>
      <c r="P99" s="45"/>
      <c r="Q99" s="504"/>
    </row>
    <row r="100" spans="1:17" s="471" customFormat="1" ht="15" thickTop="1">
      <c r="A100" s="593"/>
      <c r="B100" s="538" t="s">
        <v>2620</v>
      </c>
      <c r="C100" s="3285" t="s">
        <v>3114</v>
      </c>
      <c r="D100" s="3285" t="s">
        <v>3116</v>
      </c>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98</v>
      </c>
      <c r="E101" s="544">
        <f t="shared" ref="E101:M101" si="24">D101-$K34</f>
        <v>96</v>
      </c>
      <c r="F101" s="544">
        <f t="shared" si="24"/>
        <v>94</v>
      </c>
      <c r="G101" s="544">
        <f t="shared" si="24"/>
        <v>92</v>
      </c>
      <c r="H101" s="544">
        <f t="shared" si="24"/>
        <v>90</v>
      </c>
      <c r="I101" s="544">
        <f t="shared" si="24"/>
        <v>88</v>
      </c>
      <c r="J101" s="544">
        <f t="shared" si="24"/>
        <v>86</v>
      </c>
      <c r="K101" s="544">
        <f t="shared" si="24"/>
        <v>84</v>
      </c>
      <c r="L101" s="544">
        <f t="shared" si="24"/>
        <v>82</v>
      </c>
      <c r="M101" s="544">
        <f t="shared" si="24"/>
        <v>80</v>
      </c>
      <c r="N101" s="1157"/>
      <c r="O101" s="1157"/>
      <c r="P101" s="558"/>
      <c r="Q101" s="559"/>
    </row>
    <row r="102" spans="1:17" ht="15" thickTop="1">
      <c r="A102" s="599"/>
      <c r="B102" s="538" t="s">
        <v>2621</v>
      </c>
      <c r="C102" s="3285" t="s">
        <v>3119</v>
      </c>
      <c r="D102" s="3285" t="s">
        <v>3120</v>
      </c>
      <c r="E102" s="3285" t="s">
        <v>3121</v>
      </c>
      <c r="F102" s="3285" t="s">
        <v>3122</v>
      </c>
      <c r="G102" s="3285" t="s">
        <v>3123</v>
      </c>
      <c r="H102" s="583"/>
      <c r="I102" s="583"/>
      <c r="J102" s="583"/>
      <c r="K102" s="584"/>
      <c r="L102" s="585"/>
      <c r="M102" s="586"/>
      <c r="N102" s="1155"/>
      <c r="O102" s="1155"/>
      <c r="P102" s="45"/>
      <c r="Q102" s="504"/>
    </row>
    <row r="103" spans="1:17" ht="15.75" thickBot="1">
      <c r="A103" s="534"/>
      <c r="B103" s="543"/>
      <c r="C103" s="544">
        <v>100</v>
      </c>
      <c r="D103" s="544">
        <f t="shared" ref="D103:M103" si="25">C103-$K35</f>
        <v>98</v>
      </c>
      <c r="E103" s="544">
        <f t="shared" si="25"/>
        <v>96</v>
      </c>
      <c r="F103" s="544">
        <f t="shared" si="25"/>
        <v>94</v>
      </c>
      <c r="G103" s="544">
        <f t="shared" si="25"/>
        <v>92</v>
      </c>
      <c r="H103" s="544">
        <f t="shared" si="25"/>
        <v>90</v>
      </c>
      <c r="I103" s="544">
        <f t="shared" si="25"/>
        <v>88</v>
      </c>
      <c r="J103" s="544">
        <f t="shared" si="25"/>
        <v>86</v>
      </c>
      <c r="K103" s="544">
        <f t="shared" si="25"/>
        <v>84</v>
      </c>
      <c r="L103" s="544">
        <f t="shared" si="25"/>
        <v>82</v>
      </c>
      <c r="M103" s="545">
        <f t="shared" si="25"/>
        <v>80</v>
      </c>
      <c r="N103" s="1156"/>
      <c r="O103" s="1156"/>
      <c r="P103" s="45"/>
      <c r="Q103" s="504"/>
    </row>
    <row r="104" spans="1:17" ht="15" thickTop="1">
      <c r="A104" s="599"/>
      <c r="B104" s="538" t="s">
        <v>2623</v>
      </c>
      <c r="C104" s="3285" t="s">
        <v>3109</v>
      </c>
      <c r="D104" s="3285" t="s">
        <v>3110</v>
      </c>
      <c r="E104" s="3285" t="s">
        <v>3111</v>
      </c>
      <c r="F104" s="583" t="s">
        <v>3112</v>
      </c>
      <c r="G104" s="554"/>
      <c r="H104" s="583"/>
      <c r="I104" s="583"/>
      <c r="J104" s="583"/>
      <c r="K104" s="584"/>
      <c r="L104" s="585"/>
      <c r="M104" s="586"/>
      <c r="N104" s="1155"/>
      <c r="O104" s="1155"/>
      <c r="P104" s="45"/>
      <c r="Q104" s="504"/>
    </row>
    <row r="105" spans="1:17" ht="15.75" thickBot="1">
      <c r="A105" s="534"/>
      <c r="B105" s="543"/>
      <c r="C105" s="544">
        <v>100</v>
      </c>
      <c r="D105" s="544">
        <f>C105-$K36</f>
        <v>98</v>
      </c>
      <c r="E105" s="544">
        <f>D105-$K36</f>
        <v>96</v>
      </c>
      <c r="F105" s="544">
        <f>E105-$K36</f>
        <v>94</v>
      </c>
      <c r="G105" s="544">
        <f>F105-$K36</f>
        <v>92</v>
      </c>
      <c r="H105" s="544"/>
      <c r="I105" s="544"/>
      <c r="J105" s="544"/>
      <c r="K105" s="544"/>
      <c r="L105" s="544"/>
      <c r="M105" s="545"/>
      <c r="N105" s="1156"/>
      <c r="O105" s="1156"/>
      <c r="P105" s="45"/>
      <c r="Q105" s="504"/>
    </row>
    <row r="106" spans="1:17" ht="15" thickTop="1">
      <c r="A106" s="599"/>
      <c r="B106" s="636" t="s">
        <v>2709</v>
      </c>
      <c r="C106" s="578" t="s">
        <v>2600</v>
      </c>
      <c r="D106" s="578" t="s">
        <v>2601</v>
      </c>
      <c r="E106" s="578" t="s">
        <v>2602</v>
      </c>
      <c r="F106" s="578" t="s">
        <v>2603</v>
      </c>
      <c r="G106" s="578" t="s">
        <v>2604</v>
      </c>
      <c r="H106" s="539"/>
      <c r="I106" s="539"/>
      <c r="J106" s="539"/>
      <c r="K106" s="540"/>
      <c r="L106" s="541"/>
      <c r="M106" s="542"/>
      <c r="N106" s="1156"/>
      <c r="O106" s="1156"/>
      <c r="P106" s="637"/>
      <c r="Q106" s="638"/>
    </row>
    <row r="107" spans="1:17" ht="15.75" thickBot="1">
      <c r="A107" s="534"/>
      <c r="B107" s="543"/>
      <c r="C107" s="582">
        <v>100</v>
      </c>
      <c r="D107" s="544">
        <f t="shared" ref="D107:M107" si="26">C107-$K37</f>
        <v>99</v>
      </c>
      <c r="E107" s="544">
        <f t="shared" si="26"/>
        <v>98</v>
      </c>
      <c r="F107" s="544">
        <f t="shared" si="26"/>
        <v>97</v>
      </c>
      <c r="G107" s="544">
        <f t="shared" si="26"/>
        <v>96</v>
      </c>
      <c r="H107" s="544">
        <f t="shared" si="26"/>
        <v>95</v>
      </c>
      <c r="I107" s="544">
        <f t="shared" si="26"/>
        <v>94</v>
      </c>
      <c r="J107" s="544">
        <f t="shared" si="26"/>
        <v>93</v>
      </c>
      <c r="K107" s="544">
        <f t="shared" si="26"/>
        <v>92</v>
      </c>
      <c r="L107" s="544">
        <f t="shared" si="26"/>
        <v>91</v>
      </c>
      <c r="M107" s="544">
        <f t="shared" si="26"/>
        <v>90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v>
      </c>
    </row>
    <row r="4" spans="1:1" ht="18">
      <c r="A4" s="1951" t="str">
        <f>"受贵公司委托，我公司对"&amp;项目基本情况!S1&amp;"进行了预评估。"</f>
        <v>受贵公司委托，我公司对北京市房地产抵押价值进行了预评估。</v>
      </c>
    </row>
    <row r="5" spans="1:1" ht="18.75">
      <c r="A5" s="1952" t="s">
        <v>1612</v>
      </c>
    </row>
    <row r="6" spans="1:1" ht="18.75">
      <c r="A6" s="1953" t="s">
        <v>1613</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估价对象为北京市房地产，为所有。根据《国有土地使用证》[]，估价对象（分摊）出让国有建设用地使用权面积为13537.24平方米，建筑面积为57947.42平方米。</v>
      </c>
    </row>
    <row r="8" spans="1:1" ht="57.75">
      <c r="A8" s="1954" t="s">
        <v>1614</v>
      </c>
    </row>
    <row r="9" spans="1:1" ht="18.75">
      <c r="A9" s="1953" t="s">
        <v>1615</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估价对象为北京市房地产,属开发建设的，该项目尚在开发建设中。根据《国有土地使用证》[]，估价对象（分摊）出让国有建设用地使用权面积为13537.24平方米，规划建筑面积为57947.42平方米。</v>
      </c>
    </row>
    <row r="11" spans="1:1" ht="76.5">
      <c r="A11" s="1954" t="s">
        <v>1616</v>
      </c>
    </row>
    <row r="12" spans="1:1" ht="18.75">
      <c r="A12" s="1952" t="s">
        <v>1617</v>
      </c>
    </row>
    <row r="13" spans="1:1" ht="38.25" customHeight="1">
      <c r="A13" s="195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2018年11月19日（评估专业人员实地查勘之日）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11月19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1609</v>
      </c>
    </row>
    <row r="24" spans="1:1" ht="18">
      <c r="A24" s="1958" t="str">
        <f>"本次评估采用的主估价方法为"&amp;结果表!K4&amp;"和"&amp;结果表!L4&amp;"。"</f>
        <v>本次评估采用的主估价方法为收益法和比较法。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2710</v>
      </c>
      <c r="B1" s="1622"/>
      <c r="C1" s="1623" t="s">
        <v>2533</v>
      </c>
      <c r="D1" s="1624"/>
      <c r="E1" s="1625"/>
      <c r="F1" s="2591"/>
      <c r="G1" s="1626" t="s">
        <v>2646</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2330</v>
      </c>
      <c r="B2" s="1421" t="e">
        <f ca="1">IF(C2="——",IF(B37="元/平方米",ROUND(C39*D3/10000,0),ROUND(F3*C39/10000,0)),IF(B37="元/平方米",ROUND(C39*D3/10000,0),ROUND(F3*C39/10000,0))-D2)</f>
        <v>#DIV/0!</v>
      </c>
      <c r="C2" s="2593"/>
      <c r="D2" s="1127" t="e">
        <f ca="1">SUMIF(INDIRECT("'"&amp;F2&amp;"'"&amp;"!A:A"),"承租人权益价值",INDIRECT("'"&amp;F2&amp;"'"&amp;"!c:c"))</f>
        <v>#REF!</v>
      </c>
      <c r="E2" s="2594" t="s">
        <v>2331</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2332</v>
      </c>
      <c r="B3" s="609" t="e">
        <f ca="1">IF(AND(C2="——",B37="元/平方米"),C39,ROUND(B2*10000/D3,0))</f>
        <v>#DIV/0!</v>
      </c>
      <c r="C3" s="400" t="s">
        <v>2647</v>
      </c>
      <c r="D3" s="399">
        <f>SUMIF('数据-汇总表'!$C19:$C33,D1,'数据-汇总表'!$E19:$E33)</f>
        <v>0</v>
      </c>
      <c r="E3" s="400" t="s">
        <v>2711</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68" t="s">
        <v>2651</v>
      </c>
      <c r="AC4" s="3167" t="s">
        <v>2652</v>
      </c>
    </row>
    <row r="5" spans="1:29" ht="15">
      <c r="A5" s="404"/>
      <c r="B5" s="405"/>
      <c r="C5" s="3178" t="s">
        <v>2545</v>
      </c>
      <c r="D5" s="3179"/>
      <c r="E5" s="3176" t="s">
        <v>2546</v>
      </c>
      <c r="F5" s="3177"/>
      <c r="G5" s="3178" t="s">
        <v>2547</v>
      </c>
      <c r="H5" s="3179"/>
      <c r="I5" s="3178" t="s">
        <v>2548</v>
      </c>
      <c r="J5" s="3179"/>
      <c r="K5" s="610"/>
      <c r="L5" s="1133"/>
      <c r="M5" s="1134"/>
      <c r="N5" s="1134"/>
      <c r="O5" s="1134"/>
      <c r="P5" s="3191"/>
      <c r="Q5" s="3192"/>
      <c r="R5" s="3174"/>
      <c r="S5" s="3175"/>
      <c r="T5" s="3174"/>
      <c r="U5" s="3175"/>
      <c r="V5" s="3197"/>
      <c r="W5" s="3197"/>
      <c r="X5" s="1816"/>
      <c r="Y5" s="3174"/>
      <c r="Z5" s="3175"/>
      <c r="AA5" s="3168"/>
      <c r="AB5" s="3168"/>
      <c r="AC5" s="3168"/>
    </row>
    <row r="6" spans="1:29" ht="15.75" thickBot="1">
      <c r="A6" s="406"/>
      <c r="B6" s="407"/>
      <c r="C6" s="3180" t="s">
        <v>2549</v>
      </c>
      <c r="D6" s="3181"/>
      <c r="E6" s="3182" t="s">
        <v>2549</v>
      </c>
      <c r="F6" s="3183"/>
      <c r="G6" s="3180" t="s">
        <v>2549</v>
      </c>
      <c r="H6" s="3181"/>
      <c r="I6" s="3180" t="s">
        <v>2549</v>
      </c>
      <c r="J6" s="3181"/>
      <c r="K6" s="610" t="s">
        <v>2550</v>
      </c>
      <c r="L6" s="1133"/>
      <c r="M6" s="1134"/>
      <c r="N6" s="1134"/>
      <c r="O6" s="1134"/>
      <c r="P6" s="3193"/>
      <c r="Q6" s="3194"/>
      <c r="R6" s="3174"/>
      <c r="S6" s="3175"/>
      <c r="T6" s="3195"/>
      <c r="U6" s="3196"/>
      <c r="V6" s="3197"/>
      <c r="W6" s="3197"/>
      <c r="X6" s="1816"/>
      <c r="Y6" s="3195"/>
      <c r="Z6" s="3196"/>
      <c r="AA6" s="3169"/>
      <c r="AB6" s="3169"/>
      <c r="AC6" s="3169"/>
    </row>
    <row r="7" spans="1:29" s="117" customFormat="1" ht="15.75" thickBot="1">
      <c r="A7" s="408" t="s">
        <v>2551</v>
      </c>
      <c r="B7" s="409"/>
      <c r="C7" s="410">
        <f>'数据-取费表'!B2</f>
        <v>43423</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70" t="s">
        <v>2552</v>
      </c>
      <c r="Q7" s="3198"/>
      <c r="R7" s="770" t="s">
        <v>17</v>
      </c>
      <c r="S7" s="771">
        <f t="shared" ref="S7:S14" si="0">F7</f>
        <v>0</v>
      </c>
      <c r="T7" s="770" t="s">
        <v>17</v>
      </c>
      <c r="U7" s="771">
        <f t="shared" ref="U7:U14" si="1">H7</f>
        <v>0</v>
      </c>
      <c r="V7" s="770" t="s">
        <v>17</v>
      </c>
      <c r="W7" s="771">
        <f t="shared" ref="W7:W14" si="2">J7</f>
        <v>0</v>
      </c>
      <c r="X7" s="772"/>
      <c r="Y7" s="3170" t="s">
        <v>2552</v>
      </c>
      <c r="Z7" s="3171"/>
      <c r="AA7" s="773" t="e">
        <f>D7/F7</f>
        <v>#DIV/0!</v>
      </c>
      <c r="AB7" s="773" t="e">
        <f>D7/H7</f>
        <v>#DIV/0!</v>
      </c>
      <c r="AC7" s="773" t="e">
        <f>D7/J7</f>
        <v>#DIV/0!</v>
      </c>
    </row>
    <row r="8" spans="1:29" s="117" customFormat="1" ht="15.75" thickBot="1">
      <c r="A8" s="408" t="s">
        <v>2553</v>
      </c>
      <c r="B8" s="409"/>
      <c r="C8" s="414" t="s">
        <v>2655</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70" t="s">
        <v>2555</v>
      </c>
      <c r="Q8" s="3171"/>
      <c r="R8" s="770" t="s">
        <v>17</v>
      </c>
      <c r="S8" s="771">
        <f t="shared" si="0"/>
        <v>0</v>
      </c>
      <c r="T8" s="770" t="s">
        <v>17</v>
      </c>
      <c r="U8" s="771">
        <f t="shared" si="1"/>
        <v>0</v>
      </c>
      <c r="V8" s="770" t="s">
        <v>17</v>
      </c>
      <c r="W8" s="771">
        <f t="shared" si="2"/>
        <v>0</v>
      </c>
      <c r="X8" s="772"/>
      <c r="Y8" s="3170" t="s">
        <v>2555</v>
      </c>
      <c r="Z8" s="3171"/>
      <c r="AA8" s="773" t="e">
        <f t="shared" ref="AA8:AA36" si="3">D8/F8</f>
        <v>#DIV/0!</v>
      </c>
      <c r="AB8" s="773" t="e">
        <f t="shared" ref="AB8:AB36" si="4">D8/H8</f>
        <v>#DIV/0!</v>
      </c>
      <c r="AC8" s="773" t="e">
        <f t="shared" ref="AC8:AC36" si="5">D8/J8</f>
        <v>#DIV/0!</v>
      </c>
    </row>
    <row r="9" spans="1:29" s="117" customFormat="1">
      <c r="A9" s="68" t="s">
        <v>2556</v>
      </c>
      <c r="B9" s="640" t="s">
        <v>2557</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02" t="s">
        <v>2558</v>
      </c>
      <c r="Q9" s="1798" t="str">
        <f t="shared" ref="Q9:Q14" si="6">B9</f>
        <v>用途</v>
      </c>
      <c r="R9" s="770" t="s">
        <v>17</v>
      </c>
      <c r="S9" s="771">
        <f t="shared" si="0"/>
        <v>100</v>
      </c>
      <c r="T9" s="770" t="s">
        <v>17</v>
      </c>
      <c r="U9" s="771">
        <f t="shared" si="1"/>
        <v>100</v>
      </c>
      <c r="V9" s="770" t="s">
        <v>17</v>
      </c>
      <c r="W9" s="771">
        <f t="shared" si="2"/>
        <v>100</v>
      </c>
      <c r="X9" s="772"/>
      <c r="Y9" s="3017" t="s">
        <v>2559</v>
      </c>
      <c r="Z9" s="55" t="str">
        <f t="shared" ref="Z9:Z14" si="7">Q9</f>
        <v>用途</v>
      </c>
      <c r="AA9" s="773">
        <f t="shared" si="3"/>
        <v>1</v>
      </c>
      <c r="AB9" s="773">
        <f t="shared" si="4"/>
        <v>1</v>
      </c>
      <c r="AC9" s="773">
        <f t="shared" si="5"/>
        <v>1</v>
      </c>
    </row>
    <row r="10" spans="1:29" s="427" customFormat="1" ht="27">
      <c r="A10" s="641"/>
      <c r="B10" s="642" t="s">
        <v>2560</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02"/>
      <c r="Q10" s="1798" t="str">
        <f t="shared" si="6"/>
        <v>土地使用年限（年）</v>
      </c>
      <c r="R10" s="770" t="s">
        <v>17</v>
      </c>
      <c r="S10" s="771">
        <f t="shared" si="0"/>
        <v>100</v>
      </c>
      <c r="T10" s="770" t="s">
        <v>17</v>
      </c>
      <c r="U10" s="771">
        <f t="shared" si="1"/>
        <v>100</v>
      </c>
      <c r="V10" s="770" t="s">
        <v>17</v>
      </c>
      <c r="W10" s="771">
        <f t="shared" si="2"/>
        <v>100</v>
      </c>
      <c r="X10" s="772"/>
      <c r="Y10" s="301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02"/>
      <c r="Q11" s="1798">
        <f t="shared" si="6"/>
        <v>111</v>
      </c>
      <c r="R11" s="770" t="s">
        <v>17</v>
      </c>
      <c r="S11" s="771">
        <f t="shared" si="0"/>
        <v>100</v>
      </c>
      <c r="T11" s="770" t="s">
        <v>17</v>
      </c>
      <c r="U11" s="771">
        <f t="shared" si="1"/>
        <v>100</v>
      </c>
      <c r="V11" s="770" t="s">
        <v>17</v>
      </c>
      <c r="W11" s="771">
        <f t="shared" si="2"/>
        <v>100</v>
      </c>
      <c r="X11" s="772"/>
      <c r="Y11" s="301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02"/>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02"/>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773">
        <f t="shared" si="5"/>
        <v>1</v>
      </c>
    </row>
    <row r="14" spans="1:29" ht="85.5">
      <c r="A14" s="401" t="s">
        <v>2562</v>
      </c>
      <c r="B14" s="629" t="s">
        <v>2712</v>
      </c>
      <c r="C14" s="270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04" t="s">
        <v>2563</v>
      </c>
      <c r="Q14" s="1813" t="str">
        <f t="shared" si="6"/>
        <v>交通便捷度</v>
      </c>
      <c r="R14" s="774" t="s">
        <v>17</v>
      </c>
      <c r="S14" s="775">
        <f t="shared" si="0"/>
        <v>100</v>
      </c>
      <c r="T14" s="774" t="s">
        <v>17</v>
      </c>
      <c r="U14" s="775">
        <f t="shared" si="1"/>
        <v>100</v>
      </c>
      <c r="V14" s="774" t="s">
        <v>17</v>
      </c>
      <c r="W14" s="775">
        <f t="shared" si="2"/>
        <v>100</v>
      </c>
      <c r="X14" s="1816"/>
      <c r="Y14" s="3204" t="s">
        <v>2563</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05"/>
      <c r="Q15" s="1813"/>
      <c r="R15" s="774"/>
      <c r="S15" s="775"/>
      <c r="T15" s="774"/>
      <c r="U15" s="775"/>
      <c r="V15" s="774"/>
      <c r="W15" s="775"/>
      <c r="X15" s="1816"/>
      <c r="Y15" s="3205"/>
      <c r="Z15" s="1817"/>
      <c r="AA15" s="1814">
        <v>1</v>
      </c>
      <c r="AB15" s="1814">
        <v>1</v>
      </c>
      <c r="AC15" s="1814">
        <v>1</v>
      </c>
    </row>
    <row r="16" spans="1:29" ht="42.75">
      <c r="A16" s="404"/>
      <c r="B16" s="631" t="s">
        <v>2691</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05"/>
      <c r="Q16" s="1813" t="str">
        <f>B16</f>
        <v>公共配套设施</v>
      </c>
      <c r="R16" s="774" t="s">
        <v>17</v>
      </c>
      <c r="S16" s="775">
        <f>F16</f>
        <v>100</v>
      </c>
      <c r="T16" s="774" t="s">
        <v>17</v>
      </c>
      <c r="U16" s="775">
        <f>H16</f>
        <v>100</v>
      </c>
      <c r="V16" s="774" t="s">
        <v>17</v>
      </c>
      <c r="W16" s="775">
        <f>J16</f>
        <v>100</v>
      </c>
      <c r="X16" s="1816"/>
      <c r="Y16" s="3205"/>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205"/>
      <c r="Q17" s="1813"/>
      <c r="R17" s="774"/>
      <c r="S17" s="775"/>
      <c r="T17" s="774"/>
      <c r="U17" s="775"/>
      <c r="V17" s="774"/>
      <c r="W17" s="775"/>
      <c r="X17" s="1816"/>
      <c r="Y17" s="3205"/>
      <c r="Z17" s="1817"/>
      <c r="AA17" s="1814">
        <v>1</v>
      </c>
      <c r="AB17" s="1814">
        <v>1</v>
      </c>
      <c r="AC17" s="1814">
        <v>1</v>
      </c>
    </row>
    <row r="18" spans="1:29" ht="28.5">
      <c r="A18" s="404"/>
      <c r="B18" s="633" t="s">
        <v>2692</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05"/>
      <c r="Q18" s="1813" t="str">
        <f>B18</f>
        <v>基础设施水平</v>
      </c>
      <c r="R18" s="774" t="s">
        <v>17</v>
      </c>
      <c r="S18" s="775">
        <f>F18</f>
        <v>100</v>
      </c>
      <c r="T18" s="774" t="s">
        <v>17</v>
      </c>
      <c r="U18" s="775">
        <f>H18</f>
        <v>100</v>
      </c>
      <c r="V18" s="774" t="s">
        <v>17</v>
      </c>
      <c r="W18" s="775">
        <f>J18</f>
        <v>100</v>
      </c>
      <c r="X18" s="1816"/>
      <c r="Y18" s="3205"/>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205"/>
      <c r="Q19" s="1813"/>
      <c r="R19" s="774"/>
      <c r="S19" s="775"/>
      <c r="T19" s="774"/>
      <c r="U19" s="775"/>
      <c r="V19" s="774"/>
      <c r="W19" s="775"/>
      <c r="X19" s="1816"/>
      <c r="Y19" s="3205"/>
      <c r="Z19" s="1817"/>
      <c r="AA19" s="1814">
        <v>1</v>
      </c>
      <c r="AB19" s="1814">
        <v>1</v>
      </c>
      <c r="AC19" s="1814">
        <v>1</v>
      </c>
    </row>
    <row r="20" spans="1:29" ht="57">
      <c r="A20" s="404"/>
      <c r="B20" s="631" t="s">
        <v>2713</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05"/>
      <c r="Q20" s="1813" t="str">
        <f>B20</f>
        <v>自然及人文环境</v>
      </c>
      <c r="R20" s="774" t="s">
        <v>17</v>
      </c>
      <c r="S20" s="775">
        <f>F20</f>
        <v>100</v>
      </c>
      <c r="T20" s="774" t="s">
        <v>17</v>
      </c>
      <c r="U20" s="775">
        <f>H20</f>
        <v>100</v>
      </c>
      <c r="V20" s="774" t="s">
        <v>17</v>
      </c>
      <c r="W20" s="775">
        <f>J20</f>
        <v>100</v>
      </c>
      <c r="X20" s="1816"/>
      <c r="Y20" s="3205"/>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05"/>
      <c r="Q21" s="1813"/>
      <c r="R21" s="774"/>
      <c r="S21" s="775"/>
      <c r="T21" s="774"/>
      <c r="U21" s="775"/>
      <c r="V21" s="774"/>
      <c r="W21" s="775"/>
      <c r="X21" s="1816"/>
      <c r="Y21" s="3205"/>
      <c r="Z21" s="1817"/>
      <c r="AA21" s="1814">
        <v>1</v>
      </c>
      <c r="AB21" s="1814">
        <v>1</v>
      </c>
      <c r="AC21" s="1814">
        <v>1</v>
      </c>
    </row>
    <row r="22" spans="1:29" ht="15">
      <c r="A22" s="404"/>
      <c r="B22" s="631" t="s">
        <v>2714</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05"/>
      <c r="Q22" s="1813" t="str">
        <f>B22</f>
        <v>楼层</v>
      </c>
      <c r="R22" s="774" t="s">
        <v>17</v>
      </c>
      <c r="S22" s="775">
        <f>F22</f>
        <v>100</v>
      </c>
      <c r="T22" s="774" t="s">
        <v>17</v>
      </c>
      <c r="U22" s="775">
        <f>H22</f>
        <v>100</v>
      </c>
      <c r="V22" s="774" t="s">
        <v>17</v>
      </c>
      <c r="W22" s="775">
        <f>J22</f>
        <v>100</v>
      </c>
      <c r="X22" s="1816"/>
      <c r="Y22" s="3205"/>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05"/>
      <c r="Q23" s="1813">
        <f>B23</f>
        <v>111</v>
      </c>
      <c r="R23" s="774" t="s">
        <v>17</v>
      </c>
      <c r="S23" s="775">
        <f>F23</f>
        <v>100</v>
      </c>
      <c r="T23" s="774" t="s">
        <v>17</v>
      </c>
      <c r="U23" s="775">
        <f>H23</f>
        <v>100</v>
      </c>
      <c r="V23" s="774" t="s">
        <v>17</v>
      </c>
      <c r="W23" s="775">
        <f>J23</f>
        <v>100</v>
      </c>
      <c r="X23" s="1816"/>
      <c r="Y23" s="3205"/>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05"/>
      <c r="Q24" s="1813">
        <f t="shared" ref="Q24:Q36" si="11">B24</f>
        <v>111</v>
      </c>
      <c r="R24" s="774" t="s">
        <v>17</v>
      </c>
      <c r="S24" s="775">
        <f>F24</f>
        <v>100</v>
      </c>
      <c r="T24" s="774" t="s">
        <v>17</v>
      </c>
      <c r="U24" s="775">
        <f>H24</f>
        <v>100</v>
      </c>
      <c r="V24" s="774" t="s">
        <v>17</v>
      </c>
      <c r="W24" s="775">
        <f>J24</f>
        <v>100</v>
      </c>
      <c r="X24" s="1816"/>
      <c r="Y24" s="3205"/>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05"/>
      <c r="Q25" s="1798">
        <f t="shared" si="11"/>
        <v>111</v>
      </c>
      <c r="R25" s="770" t="s">
        <v>17</v>
      </c>
      <c r="S25" s="771">
        <f>F25</f>
        <v>100</v>
      </c>
      <c r="T25" s="770" t="s">
        <v>17</v>
      </c>
      <c r="U25" s="771">
        <f>H25</f>
        <v>100</v>
      </c>
      <c r="V25" s="770" t="s">
        <v>17</v>
      </c>
      <c r="W25" s="771">
        <f>J25</f>
        <v>100</v>
      </c>
      <c r="X25" s="772"/>
      <c r="Y25" s="3205"/>
      <c r="Z25" s="55">
        <f>Q25</f>
        <v>111</v>
      </c>
      <c r="AA25" s="1814">
        <f>D25/F25</f>
        <v>1</v>
      </c>
      <c r="AB25" s="1814">
        <f>D25/H25</f>
        <v>1</v>
      </c>
      <c r="AC25" s="1814">
        <f>D25/J25</f>
        <v>1</v>
      </c>
    </row>
    <row r="26" spans="1:29" ht="15">
      <c r="A26" s="652" t="s">
        <v>2566</v>
      </c>
      <c r="B26" s="70" t="s">
        <v>2715</v>
      </c>
      <c r="C26" s="270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28" t="s">
        <v>2568</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09" t="s">
        <v>2568</v>
      </c>
      <c r="Z26" s="1817" t="str">
        <f t="shared" ref="Z26:Z36" si="15">Q26</f>
        <v>配套类型</v>
      </c>
      <c r="AA26" s="1814">
        <f t="shared" si="3"/>
        <v>1</v>
      </c>
      <c r="AB26" s="1814">
        <f t="shared" si="4"/>
        <v>1</v>
      </c>
      <c r="AC26" s="1814">
        <f t="shared" si="5"/>
        <v>1</v>
      </c>
    </row>
    <row r="27" spans="1:29" s="471" customFormat="1" ht="15">
      <c r="A27" s="653"/>
      <c r="B27" s="654" t="s">
        <v>2716</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09"/>
      <c r="Q27" s="776" t="str">
        <f t="shared" si="11"/>
        <v>项目停车位配比</v>
      </c>
      <c r="R27" s="777" t="s">
        <v>17</v>
      </c>
      <c r="S27" s="778">
        <f t="shared" si="12"/>
        <v>100</v>
      </c>
      <c r="T27" s="777" t="s">
        <v>17</v>
      </c>
      <c r="U27" s="778">
        <f t="shared" si="13"/>
        <v>100</v>
      </c>
      <c r="V27" s="777" t="s">
        <v>17</v>
      </c>
      <c r="W27" s="778">
        <f t="shared" si="14"/>
        <v>100</v>
      </c>
      <c r="X27" s="779"/>
      <c r="Y27" s="3209"/>
      <c r="Z27" s="780" t="str">
        <f t="shared" si="15"/>
        <v>项目停车位配比</v>
      </c>
      <c r="AA27" s="1814">
        <f t="shared" si="3"/>
        <v>1</v>
      </c>
      <c r="AB27" s="1814">
        <f t="shared" si="4"/>
        <v>1</v>
      </c>
      <c r="AC27" s="1814">
        <f t="shared" si="5"/>
        <v>1</v>
      </c>
    </row>
    <row r="28" spans="1:29" ht="15">
      <c r="A28" s="656"/>
      <c r="B28" s="654" t="s">
        <v>2717</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09"/>
      <c r="Q28" s="1813" t="str">
        <f t="shared" si="11"/>
        <v>公共部分装修</v>
      </c>
      <c r="R28" s="774" t="s">
        <v>17</v>
      </c>
      <c r="S28" s="775">
        <f t="shared" si="12"/>
        <v>100</v>
      </c>
      <c r="T28" s="774" t="s">
        <v>17</v>
      </c>
      <c r="U28" s="775">
        <f t="shared" si="13"/>
        <v>100</v>
      </c>
      <c r="V28" s="774" t="s">
        <v>17</v>
      </c>
      <c r="W28" s="775">
        <f t="shared" si="14"/>
        <v>100</v>
      </c>
      <c r="X28" s="1816"/>
      <c r="Y28" s="3209"/>
      <c r="Z28" s="1817" t="str">
        <f t="shared" si="15"/>
        <v>公共部分装修</v>
      </c>
      <c r="AA28" s="1814">
        <f t="shared" si="3"/>
        <v>1</v>
      </c>
      <c r="AB28" s="1814">
        <f t="shared" si="4"/>
        <v>1</v>
      </c>
      <c r="AC28" s="1814">
        <f t="shared" si="5"/>
        <v>1</v>
      </c>
    </row>
    <row r="29" spans="1:29" ht="15">
      <c r="A29" s="656"/>
      <c r="B29" s="654" t="s">
        <v>2718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09"/>
      <c r="Q29" s="1813" t="str">
        <f t="shared" si="11"/>
        <v>成新率</v>
      </c>
      <c r="R29" s="774" t="s">
        <v>17</v>
      </c>
      <c r="S29" s="775" t="e">
        <f t="shared" si="12"/>
        <v>#N/A</v>
      </c>
      <c r="T29" s="774" t="s">
        <v>17</v>
      </c>
      <c r="U29" s="775" t="e">
        <f t="shared" si="13"/>
        <v>#N/A</v>
      </c>
      <c r="V29" s="774" t="s">
        <v>17</v>
      </c>
      <c r="W29" s="775" t="e">
        <f t="shared" si="14"/>
        <v>#N/A</v>
      </c>
      <c r="X29" s="1816"/>
      <c r="Y29" s="3209"/>
      <c r="Z29" s="1817" t="str">
        <f t="shared" si="15"/>
        <v>成新率</v>
      </c>
      <c r="AA29" s="1814" t="e">
        <f t="shared" si="3"/>
        <v>#N/A</v>
      </c>
      <c r="AB29" s="1814" t="e">
        <f t="shared" si="4"/>
        <v>#N/A</v>
      </c>
      <c r="AC29" s="1814" t="e">
        <f t="shared" si="5"/>
        <v>#N/A</v>
      </c>
    </row>
    <row r="30" spans="1:29" ht="15">
      <c r="A30" s="656"/>
      <c r="B30" s="654" t="s">
        <v>2719</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09"/>
      <c r="Q30" s="1813" t="str">
        <f t="shared" si="11"/>
        <v>物业等级</v>
      </c>
      <c r="R30" s="774" t="s">
        <v>17</v>
      </c>
      <c r="S30" s="775">
        <f t="shared" si="12"/>
        <v>100</v>
      </c>
      <c r="T30" s="774" t="s">
        <v>17</v>
      </c>
      <c r="U30" s="775">
        <f t="shared" si="13"/>
        <v>100</v>
      </c>
      <c r="V30" s="774" t="s">
        <v>17</v>
      </c>
      <c r="W30" s="775">
        <f t="shared" si="14"/>
        <v>100</v>
      </c>
      <c r="X30" s="1816"/>
      <c r="Y30" s="3209"/>
      <c r="Z30" s="1817" t="str">
        <f t="shared" si="15"/>
        <v>物业等级</v>
      </c>
      <c r="AA30" s="1814">
        <f t="shared" si="3"/>
        <v>1</v>
      </c>
      <c r="AB30" s="1814">
        <f t="shared" si="4"/>
        <v>1</v>
      </c>
      <c r="AC30" s="1814">
        <f t="shared" si="5"/>
        <v>1</v>
      </c>
    </row>
    <row r="31" spans="1:29" s="117" customFormat="1" ht="15">
      <c r="A31" s="658"/>
      <c r="B31" s="654" t="s">
        <v>2720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09"/>
      <c r="Q31" s="1798" t="str">
        <f t="shared" si="11"/>
        <v>停车位面积</v>
      </c>
      <c r="R31" s="770" t="s">
        <v>17</v>
      </c>
      <c r="S31" s="771" t="e">
        <f t="shared" si="12"/>
        <v>#N/A</v>
      </c>
      <c r="T31" s="770" t="s">
        <v>17</v>
      </c>
      <c r="U31" s="771" t="e">
        <f t="shared" si="13"/>
        <v>#N/A</v>
      </c>
      <c r="V31" s="770" t="s">
        <v>17</v>
      </c>
      <c r="W31" s="771" t="e">
        <f t="shared" si="14"/>
        <v>#N/A</v>
      </c>
      <c r="X31" s="772"/>
      <c r="Y31" s="3209"/>
      <c r="Z31" s="55" t="str">
        <f t="shared" si="15"/>
        <v>停车位面积</v>
      </c>
      <c r="AA31" s="773" t="e">
        <f t="shared" si="3"/>
        <v>#N/A</v>
      </c>
      <c r="AB31" s="773" t="e">
        <f t="shared" si="4"/>
        <v>#N/A</v>
      </c>
      <c r="AC31" s="773" t="e">
        <f t="shared" si="5"/>
        <v>#N/A</v>
      </c>
    </row>
    <row r="32" spans="1:29" ht="15">
      <c r="A32" s="656"/>
      <c r="B32" s="654" t="s">
        <v>2721</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09" t="s">
        <v>2568</v>
      </c>
      <c r="Q32" s="1813" t="str">
        <f t="shared" si="11"/>
        <v>车位类型</v>
      </c>
      <c r="R32" s="774" t="s">
        <v>17</v>
      </c>
      <c r="S32" s="775">
        <f t="shared" si="12"/>
        <v>100</v>
      </c>
      <c r="T32" s="774" t="s">
        <v>17</v>
      </c>
      <c r="U32" s="775">
        <f t="shared" si="13"/>
        <v>100</v>
      </c>
      <c r="V32" s="774" t="s">
        <v>17</v>
      </c>
      <c r="W32" s="775">
        <f t="shared" si="14"/>
        <v>100</v>
      </c>
      <c r="X32" s="1816"/>
      <c r="Y32" s="3209" t="s">
        <v>2568</v>
      </c>
      <c r="Z32" s="1817" t="str">
        <f t="shared" si="15"/>
        <v>车位类型</v>
      </c>
      <c r="AA32" s="1814">
        <f t="shared" si="3"/>
        <v>1</v>
      </c>
      <c r="AB32" s="1814">
        <f t="shared" si="4"/>
        <v>1</v>
      </c>
      <c r="AC32" s="1814">
        <f t="shared" si="5"/>
        <v>1</v>
      </c>
    </row>
    <row r="33" spans="1:29" ht="15">
      <c r="A33" s="656"/>
      <c r="B33" s="654" t="s">
        <v>2722</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09"/>
      <c r="Q33" s="1813" t="str">
        <f t="shared" si="11"/>
        <v>是否直接入户</v>
      </c>
      <c r="R33" s="774" t="s">
        <v>17</v>
      </c>
      <c r="S33" s="775">
        <f t="shared" si="12"/>
        <v>100</v>
      </c>
      <c r="T33" s="774" t="s">
        <v>17</v>
      </c>
      <c r="U33" s="775">
        <f t="shared" si="13"/>
        <v>100</v>
      </c>
      <c r="V33" s="774" t="s">
        <v>17</v>
      </c>
      <c r="W33" s="775">
        <f t="shared" si="14"/>
        <v>100</v>
      </c>
      <c r="X33" s="1816"/>
      <c r="Y33" s="3209"/>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09"/>
      <c r="Q35" s="776">
        <f t="shared" si="11"/>
        <v>111</v>
      </c>
      <c r="R35" s="777" t="s">
        <v>17</v>
      </c>
      <c r="S35" s="778">
        <f t="shared" si="12"/>
        <v>100</v>
      </c>
      <c r="T35" s="777" t="s">
        <v>17</v>
      </c>
      <c r="U35" s="778">
        <f t="shared" si="13"/>
        <v>100</v>
      </c>
      <c r="V35" s="777" t="s">
        <v>17</v>
      </c>
      <c r="W35" s="778">
        <f t="shared" si="14"/>
        <v>100</v>
      </c>
      <c r="X35" s="779"/>
      <c r="Y35" s="3209"/>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09"/>
      <c r="Q36" s="1813">
        <f t="shared" si="11"/>
        <v>111</v>
      </c>
      <c r="R36" s="774" t="s">
        <v>17</v>
      </c>
      <c r="S36" s="775">
        <f t="shared" si="12"/>
        <v>100</v>
      </c>
      <c r="T36" s="774" t="s">
        <v>17</v>
      </c>
      <c r="U36" s="775">
        <f t="shared" si="13"/>
        <v>100</v>
      </c>
      <c r="V36" s="774" t="s">
        <v>17</v>
      </c>
      <c r="W36" s="775">
        <f t="shared" si="14"/>
        <v>100</v>
      </c>
      <c r="X36" s="1816"/>
      <c r="Y36" s="3209"/>
      <c r="Z36" s="1817">
        <f t="shared" si="15"/>
        <v>111</v>
      </c>
      <c r="AA36" s="1814">
        <f t="shared" si="3"/>
        <v>1</v>
      </c>
      <c r="AB36" s="1814">
        <f t="shared" si="4"/>
        <v>1</v>
      </c>
      <c r="AC36" s="1814">
        <f t="shared" si="5"/>
        <v>1</v>
      </c>
    </row>
    <row r="37" spans="1:29" ht="15">
      <c r="A37" s="479" t="s">
        <v>2723</v>
      </c>
      <c r="B37" s="2702" t="s">
        <v>2724</v>
      </c>
      <c r="C37" s="1410" t="s">
        <v>1</v>
      </c>
      <c r="D37" s="1411"/>
      <c r="E37" s="1412"/>
      <c r="F37" s="1413"/>
      <c r="G37" s="1414"/>
      <c r="H37" s="1415"/>
      <c r="I37" s="1412"/>
      <c r="J37" s="1415"/>
      <c r="K37" s="619"/>
      <c r="L37" s="1146"/>
      <c r="M37" s="1147"/>
      <c r="N37" s="1134"/>
      <c r="O37" s="1147"/>
      <c r="P37" s="3202" t="str">
        <f>A37</f>
        <v>成交单价</v>
      </c>
      <c r="Q37" s="3202"/>
      <c r="R37" s="3203">
        <f>E37</f>
        <v>0</v>
      </c>
      <c r="S37" s="3203"/>
      <c r="T37" s="3203">
        <f>G37</f>
        <v>0</v>
      </c>
      <c r="U37" s="3203"/>
      <c r="V37" s="3203">
        <f>I37</f>
        <v>0</v>
      </c>
      <c r="W37" s="3203"/>
      <c r="X37" s="759"/>
      <c r="Y37" s="781"/>
      <c r="Z37" s="759"/>
      <c r="AA37" s="759"/>
      <c r="AB37" s="759"/>
      <c r="AC37" s="759"/>
    </row>
    <row r="38" spans="1:29" ht="15.75" thickBot="1">
      <c r="A38" s="486" t="s">
        <v>2725</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02" t="str">
        <f>A38</f>
        <v>比较价值（元/平方米）</v>
      </c>
      <c r="Q38" s="3202"/>
      <c r="R38" s="3203" t="e">
        <f>IF(F1="售价",ROUND(PRODUCT(R37,AA7:AA36),0),ROUND(PRODUCT(R37,AA7:AA36),1))</f>
        <v>#DIV/0!</v>
      </c>
      <c r="S38" s="3203"/>
      <c r="T38" s="3203" t="e">
        <f>IF(F1="售价",ROUND(PRODUCT(T37,AB7:AB36),0),ROUND(PRODUCT(T37,AB7:AB36),1))</f>
        <v>#DIV/0!</v>
      </c>
      <c r="U38" s="3203"/>
      <c r="V38" s="3203" t="e">
        <f>IF(F1="售价",ROUND(PRODUCT(V37,AC7:AC36),0),ROUND(PRODUCT(V37,AC7:AC36),1))</f>
        <v>#DIV/0!</v>
      </c>
      <c r="W38" s="3203"/>
      <c r="X38" s="759"/>
      <c r="Y38" s="759"/>
      <c r="Z38" s="759"/>
      <c r="AA38" s="759"/>
      <c r="AB38" s="759"/>
      <c r="AC38" s="759"/>
    </row>
    <row r="39" spans="1:29" ht="15.75" thickBot="1">
      <c r="A39" s="492" t="s">
        <v>2726</v>
      </c>
      <c r="B39" s="493"/>
      <c r="C39" s="1420" t="e">
        <f>R39</f>
        <v>#DIV/0!</v>
      </c>
      <c r="D39" s="1420"/>
      <c r="E39" s="1420"/>
      <c r="F39" s="1420"/>
      <c r="G39" s="1420"/>
      <c r="H39" s="1420"/>
      <c r="I39" s="1420"/>
      <c r="J39" s="1420"/>
      <c r="K39" s="621"/>
      <c r="L39" s="1146"/>
      <c r="M39" s="1147"/>
      <c r="N39" s="1147"/>
      <c r="O39" s="1147"/>
      <c r="P39" s="3199" t="str">
        <f>A39</f>
        <v>估价对象XX用房的比较价值（楼面单价，元/平方米）</v>
      </c>
      <c r="Q39" s="3200"/>
      <c r="R39" s="3201" t="e">
        <f>IF(F1="售价",ROUND(AVERAGE(R38:V38),0),ROUND(AVERAGE(R38:V38),1))</f>
        <v>#DIV/0!</v>
      </c>
      <c r="S39" s="3201"/>
      <c r="T39" s="3201"/>
      <c r="U39" s="3201"/>
      <c r="V39" s="3201"/>
      <c r="W39" s="320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2730</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2731</v>
      </c>
      <c r="B48" s="506"/>
      <c r="C48" s="1577" t="str">
        <f>YEAR(C7)&amp;"-"&amp;MONTH(C7)</f>
        <v>2018-11</v>
      </c>
      <c r="D48" s="1578">
        <f>EDATE(C48,-1)</f>
        <v>43374</v>
      </c>
      <c r="E48" s="1578">
        <f t="shared" ref="E48:O48" si="16">EDATE(D48,-1)</f>
        <v>43344</v>
      </c>
      <c r="F48" s="1578">
        <f t="shared" si="16"/>
        <v>43313</v>
      </c>
      <c r="G48" s="1578">
        <f t="shared" si="16"/>
        <v>43282</v>
      </c>
      <c r="H48" s="1578">
        <f t="shared" si="16"/>
        <v>43252</v>
      </c>
      <c r="I48" s="1578">
        <f t="shared" si="16"/>
        <v>43221</v>
      </c>
      <c r="J48" s="1578">
        <f t="shared" si="16"/>
        <v>43191</v>
      </c>
      <c r="K48" s="1578">
        <f t="shared" si="16"/>
        <v>43160</v>
      </c>
      <c r="L48" s="1578">
        <f t="shared" si="16"/>
        <v>43132</v>
      </c>
      <c r="M48" s="1578">
        <f t="shared" si="16"/>
        <v>43101</v>
      </c>
      <c r="N48" s="1578">
        <f t="shared" si="16"/>
        <v>43070</v>
      </c>
      <c r="O48" s="1578">
        <f t="shared" si="16"/>
        <v>43040</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2588</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2553</v>
      </c>
      <c r="B51" s="510"/>
      <c r="C51" s="522" t="s">
        <v>2655</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2591</v>
      </c>
      <c r="B53" s="528" t="s">
        <v>2557</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2560</v>
      </c>
      <c r="C55" s="539" t="s">
        <v>2592</v>
      </c>
      <c r="D55" s="539" t="s">
        <v>2593</v>
      </c>
      <c r="E55" s="539" t="s">
        <v>2594</v>
      </c>
      <c r="F55" s="539" t="s">
        <v>2595</v>
      </c>
      <c r="G55" s="539" t="s">
        <v>2596</v>
      </c>
      <c r="H55" s="539" t="s">
        <v>2597</v>
      </c>
      <c r="I55" s="539" t="s">
        <v>2598</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2562</v>
      </c>
      <c r="B63" s="528" t="s">
        <v>2605</v>
      </c>
      <c r="C63" s="573" t="s">
        <v>2600</v>
      </c>
      <c r="D63" s="573" t="s">
        <v>2601</v>
      </c>
      <c r="E63" s="573" t="s">
        <v>2602</v>
      </c>
      <c r="F63" s="573" t="s">
        <v>2603</v>
      </c>
      <c r="G63" s="573" t="s">
        <v>2604</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2606</v>
      </c>
      <c r="C65" s="578" t="s">
        <v>2600</v>
      </c>
      <c r="D65" s="578" t="s">
        <v>2601</v>
      </c>
      <c r="E65" s="578" t="s">
        <v>2602</v>
      </c>
      <c r="F65" s="578" t="s">
        <v>2603</v>
      </c>
      <c r="G65" s="578" t="s">
        <v>2604</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2692</v>
      </c>
      <c r="C67" s="660" t="s">
        <v>2678</v>
      </c>
      <c r="D67" s="660" t="s">
        <v>2679</v>
      </c>
      <c r="E67" s="660" t="s">
        <v>2680</v>
      </c>
      <c r="F67" s="660" t="s">
        <v>2681</v>
      </c>
      <c r="G67" s="660" t="s">
        <v>2682</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2612</v>
      </c>
      <c r="C69" s="578" t="s">
        <v>2600</v>
      </c>
      <c r="D69" s="578" t="s">
        <v>2601</v>
      </c>
      <c r="E69" s="578" t="s">
        <v>2602</v>
      </c>
      <c r="F69" s="578" t="s">
        <v>2603</v>
      </c>
      <c r="G69" s="578" t="s">
        <v>2604</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2732</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2566</v>
      </c>
      <c r="B79" s="528" t="s">
        <v>2733</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2734</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2619</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2736</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2738</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2739</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2710</v>
      </c>
      <c r="B1" s="1622"/>
      <c r="C1" s="1623" t="s">
        <v>2533</v>
      </c>
      <c r="D1" s="1624"/>
      <c r="E1" s="1633"/>
      <c r="F1" s="2591"/>
      <c r="G1" s="1634" t="s">
        <v>2646</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t="e">
        <f ca="1">IF(C2="——",ROUND(C37*D3/10000,0),ROUND(C37*D3/10000,0)-D2)</f>
        <v>#DIV/0!</v>
      </c>
      <c r="C2" s="2593"/>
      <c r="D2" s="1127" t="e">
        <f ca="1">SUMIF(INDIRECT("'"&amp;F2&amp;"'"&amp;"!A:A"),"承租人权益价值",INDIRECT("'"&amp;F2&amp;"'"&amp;"!c:c"))</f>
        <v>#REF!</v>
      </c>
      <c r="E2" s="2594" t="s">
        <v>2331</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IF(C2="——",C37,ROUND(B2*10000/D3,0))</f>
        <v>#DIV/0!</v>
      </c>
      <c r="C3" s="400" t="s">
        <v>2647</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68" t="s">
        <v>2651</v>
      </c>
      <c r="AC4" s="3167" t="s">
        <v>2652</v>
      </c>
    </row>
    <row r="5" spans="1:29" ht="15">
      <c r="A5" s="404"/>
      <c r="B5" s="405"/>
      <c r="C5" s="3178" t="s">
        <v>2545</v>
      </c>
      <c r="D5" s="3179"/>
      <c r="E5" s="3176" t="s">
        <v>2546</v>
      </c>
      <c r="F5" s="3177"/>
      <c r="G5" s="3178" t="s">
        <v>2547</v>
      </c>
      <c r="H5" s="3179"/>
      <c r="I5" s="3178" t="s">
        <v>2548</v>
      </c>
      <c r="J5" s="3179"/>
      <c r="K5" s="610"/>
      <c r="L5" s="1133"/>
      <c r="M5" s="1134"/>
      <c r="N5" s="1134"/>
      <c r="O5" s="1134"/>
      <c r="P5" s="3191"/>
      <c r="Q5" s="3192"/>
      <c r="R5" s="3174"/>
      <c r="S5" s="3175"/>
      <c r="T5" s="3174"/>
      <c r="U5" s="3175"/>
      <c r="V5" s="3197"/>
      <c r="W5" s="3197"/>
      <c r="X5" s="1816"/>
      <c r="Y5" s="3174"/>
      <c r="Z5" s="3175"/>
      <c r="AA5" s="3168"/>
      <c r="AB5" s="3168"/>
      <c r="AC5" s="3168"/>
    </row>
    <row r="6" spans="1:29" ht="15.75" thickBot="1">
      <c r="A6" s="406"/>
      <c r="B6" s="407"/>
      <c r="C6" s="3180" t="s">
        <v>2549</v>
      </c>
      <c r="D6" s="3181"/>
      <c r="E6" s="3182" t="s">
        <v>2549</v>
      </c>
      <c r="F6" s="3183"/>
      <c r="G6" s="3180" t="s">
        <v>2549</v>
      </c>
      <c r="H6" s="3181"/>
      <c r="I6" s="3180" t="s">
        <v>2549</v>
      </c>
      <c r="J6" s="3181"/>
      <c r="K6" s="610" t="s">
        <v>2550</v>
      </c>
      <c r="L6" s="1133"/>
      <c r="M6" s="1134"/>
      <c r="N6" s="1134"/>
      <c r="O6" s="1134"/>
      <c r="P6" s="3193"/>
      <c r="Q6" s="3194"/>
      <c r="R6" s="3174"/>
      <c r="S6" s="3175"/>
      <c r="T6" s="3195"/>
      <c r="U6" s="3196"/>
      <c r="V6" s="3197"/>
      <c r="W6" s="3197"/>
      <c r="X6" s="1816"/>
      <c r="Y6" s="3195"/>
      <c r="Z6" s="3196"/>
      <c r="AA6" s="3169"/>
      <c r="AB6" s="3169"/>
      <c r="AC6" s="3169"/>
    </row>
    <row r="7" spans="1:29" s="117" customFormat="1" ht="15.75" thickBot="1">
      <c r="A7" s="408" t="s">
        <v>2551</v>
      </c>
      <c r="B7" s="409"/>
      <c r="C7" s="410">
        <f>'数据-取费表'!B2</f>
        <v>43423</v>
      </c>
      <c r="D7" s="411">
        <v>100</v>
      </c>
      <c r="E7" s="412"/>
      <c r="F7" s="413">
        <f>SUMIF(46:46,YEAR(E7)&amp;"-"&amp;MONTH(E7),47:47)</f>
        <v>0</v>
      </c>
      <c r="G7" s="2703"/>
      <c r="H7" s="411">
        <f>SUMIF(46:46,YEAR(G7)&amp;"-"&amp;MONTH(G7),47:47)</f>
        <v>0</v>
      </c>
      <c r="I7" s="412"/>
      <c r="J7" s="411">
        <f>SUMIF(46:46,YEAR(I7)&amp;"-"&amp;MONTH(I7),47:47)</f>
        <v>0</v>
      </c>
      <c r="K7" s="611"/>
      <c r="L7" s="1135"/>
      <c r="M7" s="1136"/>
      <c r="N7" s="1136"/>
      <c r="O7" s="1136"/>
      <c r="P7" s="3170" t="s">
        <v>2552</v>
      </c>
      <c r="Q7" s="3198"/>
      <c r="R7" s="770" t="s">
        <v>17</v>
      </c>
      <c r="S7" s="771">
        <f t="shared" ref="S7:S14" si="0">F7</f>
        <v>0</v>
      </c>
      <c r="T7" s="770" t="s">
        <v>17</v>
      </c>
      <c r="U7" s="771">
        <f t="shared" ref="U7:U14" si="1">H7</f>
        <v>0</v>
      </c>
      <c r="V7" s="770" t="s">
        <v>17</v>
      </c>
      <c r="W7" s="771">
        <f t="shared" ref="W7:W14" si="2">J7</f>
        <v>0</v>
      </c>
      <c r="X7" s="772"/>
      <c r="Y7" s="3170" t="s">
        <v>2552</v>
      </c>
      <c r="Z7" s="3171"/>
      <c r="AA7" s="773" t="e">
        <f>D7/F7</f>
        <v>#DIV/0!</v>
      </c>
      <c r="AB7" s="773" t="e">
        <f>D7/H7</f>
        <v>#DIV/0!</v>
      </c>
      <c r="AC7" s="773" t="e">
        <f>D7/J7</f>
        <v>#DIV/0!</v>
      </c>
    </row>
    <row r="8" spans="1:29" s="117" customFormat="1" ht="15.75" thickBot="1">
      <c r="A8" s="408" t="s">
        <v>2553</v>
      </c>
      <c r="B8" s="409"/>
      <c r="C8" s="414" t="s">
        <v>2655</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70" t="s">
        <v>2555</v>
      </c>
      <c r="Q8" s="3171"/>
      <c r="R8" s="770" t="s">
        <v>17</v>
      </c>
      <c r="S8" s="771">
        <f t="shared" si="0"/>
        <v>0</v>
      </c>
      <c r="T8" s="770" t="s">
        <v>17</v>
      </c>
      <c r="U8" s="771">
        <f t="shared" si="1"/>
        <v>0</v>
      </c>
      <c r="V8" s="770" t="s">
        <v>17</v>
      </c>
      <c r="W8" s="771">
        <f t="shared" si="2"/>
        <v>0</v>
      </c>
      <c r="X8" s="772"/>
      <c r="Y8" s="3170" t="s">
        <v>2555</v>
      </c>
      <c r="Z8" s="3171"/>
      <c r="AA8" s="773" t="e">
        <f t="shared" ref="AA8:AA34" si="3">D8/F8</f>
        <v>#DIV/0!</v>
      </c>
      <c r="AB8" s="773" t="e">
        <f t="shared" ref="AB8:AB34" si="4">D8/H8</f>
        <v>#DIV/0!</v>
      </c>
      <c r="AC8" s="773" t="e">
        <f t="shared" ref="AC8:AC34" si="5">D8/J8</f>
        <v>#DIV/0!</v>
      </c>
    </row>
    <row r="9" spans="1:29" s="117" customFormat="1">
      <c r="A9" s="415" t="s">
        <v>2556</v>
      </c>
      <c r="B9" s="71" t="s">
        <v>2557</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02" t="s">
        <v>2558</v>
      </c>
      <c r="Q9" s="1798" t="str">
        <f t="shared" ref="Q9:Q14" si="6">B9</f>
        <v>用途</v>
      </c>
      <c r="R9" s="770" t="s">
        <v>17</v>
      </c>
      <c r="S9" s="771">
        <f t="shared" si="0"/>
        <v>100</v>
      </c>
      <c r="T9" s="770" t="s">
        <v>17</v>
      </c>
      <c r="U9" s="771">
        <f t="shared" si="1"/>
        <v>100</v>
      </c>
      <c r="V9" s="770" t="s">
        <v>17</v>
      </c>
      <c r="W9" s="771">
        <f t="shared" si="2"/>
        <v>100</v>
      </c>
      <c r="X9" s="772"/>
      <c r="Y9" s="3017" t="s">
        <v>2559</v>
      </c>
      <c r="Z9" s="55" t="str">
        <f t="shared" ref="Z9:Z14" si="7">Q9</f>
        <v>用途</v>
      </c>
      <c r="AA9" s="773">
        <f t="shared" si="3"/>
        <v>1</v>
      </c>
      <c r="AB9" s="773">
        <f t="shared" si="4"/>
        <v>1</v>
      </c>
      <c r="AC9" s="773">
        <f t="shared" si="5"/>
        <v>1</v>
      </c>
    </row>
    <row r="10" spans="1:29" s="427" customFormat="1" ht="27">
      <c r="A10" s="421"/>
      <c r="B10" s="422" t="s">
        <v>2560</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02"/>
      <c r="Q10" s="1798" t="str">
        <f t="shared" si="6"/>
        <v>土地使用年限（年）</v>
      </c>
      <c r="R10" s="770" t="s">
        <v>17</v>
      </c>
      <c r="S10" s="771">
        <f t="shared" si="0"/>
        <v>100</v>
      </c>
      <c r="T10" s="770" t="s">
        <v>17</v>
      </c>
      <c r="U10" s="771">
        <f t="shared" si="1"/>
        <v>100</v>
      </c>
      <c r="V10" s="770" t="s">
        <v>17</v>
      </c>
      <c r="W10" s="771">
        <f t="shared" si="2"/>
        <v>100</v>
      </c>
      <c r="X10" s="772"/>
      <c r="Y10" s="3017"/>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02"/>
      <c r="Q11" s="1798">
        <f t="shared" si="6"/>
        <v>111</v>
      </c>
      <c r="R11" s="770" t="s">
        <v>17</v>
      </c>
      <c r="S11" s="771">
        <f t="shared" si="0"/>
        <v>100</v>
      </c>
      <c r="T11" s="770" t="s">
        <v>17</v>
      </c>
      <c r="U11" s="771">
        <f t="shared" si="1"/>
        <v>100</v>
      </c>
      <c r="V11" s="770" t="s">
        <v>17</v>
      </c>
      <c r="W11" s="771">
        <f t="shared" si="2"/>
        <v>100</v>
      </c>
      <c r="X11" s="772"/>
      <c r="Y11" s="3017"/>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4"/>
      <c r="H13" s="438">
        <f>SUMIF(59:59,G13,60:60)-SUMIF(59:59,C13,60:60)+100</f>
        <v>100</v>
      </c>
      <c r="I13" s="469"/>
      <c r="J13" s="435">
        <f>SUMIF(59:59,I13,60:60)-SUMIF(59:59,C13,60:60)+100</f>
        <v>100</v>
      </c>
      <c r="K13" s="613"/>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773">
        <f t="shared" si="5"/>
        <v>1</v>
      </c>
    </row>
    <row r="14" spans="1:29" ht="85.5">
      <c r="A14" s="440" t="s">
        <v>2562</v>
      </c>
      <c r="B14" s="69" t="s">
        <v>2712</v>
      </c>
      <c r="C14" s="270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04" t="s">
        <v>2563</v>
      </c>
      <c r="Q14" s="1813" t="str">
        <f t="shared" si="6"/>
        <v>交通便捷度</v>
      </c>
      <c r="R14" s="774" t="s">
        <v>17</v>
      </c>
      <c r="S14" s="775">
        <f t="shared" si="0"/>
        <v>100</v>
      </c>
      <c r="T14" s="774" t="s">
        <v>17</v>
      </c>
      <c r="U14" s="775">
        <f t="shared" si="1"/>
        <v>100</v>
      </c>
      <c r="V14" s="774" t="s">
        <v>17</v>
      </c>
      <c r="W14" s="775">
        <f t="shared" si="2"/>
        <v>100</v>
      </c>
      <c r="X14" s="1816"/>
      <c r="Y14" s="3204" t="s">
        <v>2563</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05"/>
      <c r="Q15" s="1813"/>
      <c r="R15" s="774"/>
      <c r="S15" s="775"/>
      <c r="T15" s="774"/>
      <c r="U15" s="775"/>
      <c r="V15" s="774"/>
      <c r="W15" s="775"/>
      <c r="X15" s="1816"/>
      <c r="Y15" s="3205"/>
      <c r="Z15" s="1817"/>
      <c r="AA15" s="1814">
        <v>1</v>
      </c>
      <c r="AB15" s="1814">
        <v>1</v>
      </c>
      <c r="AC15" s="1814">
        <v>1</v>
      </c>
    </row>
    <row r="16" spans="1:29" ht="42.75">
      <c r="A16" s="428"/>
      <c r="B16" s="451" t="s">
        <v>2691</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05"/>
      <c r="Q16" s="1813" t="str">
        <f>B16</f>
        <v>公共配套设施</v>
      </c>
      <c r="R16" s="774" t="s">
        <v>17</v>
      </c>
      <c r="S16" s="775">
        <f>F16</f>
        <v>100</v>
      </c>
      <c r="T16" s="774" t="s">
        <v>17</v>
      </c>
      <c r="U16" s="775">
        <f>H16</f>
        <v>100</v>
      </c>
      <c r="V16" s="774" t="s">
        <v>17</v>
      </c>
      <c r="W16" s="775">
        <f>J16</f>
        <v>100</v>
      </c>
      <c r="X16" s="1816"/>
      <c r="Y16" s="3205"/>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205"/>
      <c r="Q17" s="1813"/>
      <c r="R17" s="774"/>
      <c r="S17" s="775"/>
      <c r="T17" s="774"/>
      <c r="U17" s="775"/>
      <c r="V17" s="774"/>
      <c r="W17" s="775"/>
      <c r="X17" s="1816"/>
      <c r="Y17" s="3205"/>
      <c r="Z17" s="1817"/>
      <c r="AA17" s="1814">
        <v>1</v>
      </c>
      <c r="AB17" s="1814">
        <v>1</v>
      </c>
      <c r="AC17" s="1814">
        <v>1</v>
      </c>
    </row>
    <row r="18" spans="1:29" ht="28.5">
      <c r="A18" s="428"/>
      <c r="B18" s="1387" t="s">
        <v>2692</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05"/>
      <c r="Q18" s="1813" t="str">
        <f>B18</f>
        <v>基础设施水平</v>
      </c>
      <c r="R18" s="774" t="s">
        <v>17</v>
      </c>
      <c r="S18" s="775">
        <f>F18</f>
        <v>100</v>
      </c>
      <c r="T18" s="774" t="s">
        <v>17</v>
      </c>
      <c r="U18" s="775">
        <f>H18</f>
        <v>100</v>
      </c>
      <c r="V18" s="774" t="s">
        <v>17</v>
      </c>
      <c r="W18" s="775">
        <f>J18</f>
        <v>100</v>
      </c>
      <c r="X18" s="1816"/>
      <c r="Y18" s="3205"/>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205"/>
      <c r="Q19" s="1813"/>
      <c r="R19" s="774"/>
      <c r="S19" s="775"/>
      <c r="T19" s="774"/>
      <c r="U19" s="775"/>
      <c r="V19" s="774"/>
      <c r="W19" s="775"/>
      <c r="X19" s="1816"/>
      <c r="Y19" s="3205"/>
      <c r="Z19" s="1817"/>
      <c r="AA19" s="1814">
        <v>1</v>
      </c>
      <c r="AB19" s="1814">
        <v>1</v>
      </c>
      <c r="AC19" s="1814">
        <v>1</v>
      </c>
    </row>
    <row r="20" spans="1:29" ht="57">
      <c r="A20" s="428"/>
      <c r="B20" s="451" t="s">
        <v>2713</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05"/>
      <c r="Q20" s="1813" t="str">
        <f>B20</f>
        <v>自然及人文环境</v>
      </c>
      <c r="R20" s="774" t="s">
        <v>17</v>
      </c>
      <c r="S20" s="775">
        <f>F20</f>
        <v>100</v>
      </c>
      <c r="T20" s="774" t="s">
        <v>17</v>
      </c>
      <c r="U20" s="775">
        <f>H20</f>
        <v>100</v>
      </c>
      <c r="V20" s="774" t="s">
        <v>17</v>
      </c>
      <c r="W20" s="775">
        <f>J20</f>
        <v>100</v>
      </c>
      <c r="X20" s="1816"/>
      <c r="Y20" s="3205"/>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05"/>
      <c r="Q21" s="1813"/>
      <c r="R21" s="774"/>
      <c r="S21" s="775"/>
      <c r="T21" s="774"/>
      <c r="U21" s="775"/>
      <c r="V21" s="774"/>
      <c r="W21" s="775"/>
      <c r="X21" s="1816"/>
      <c r="Y21" s="3205"/>
      <c r="Z21" s="1817"/>
      <c r="AA21" s="1814">
        <v>1</v>
      </c>
      <c r="AB21" s="1814">
        <v>1</v>
      </c>
      <c r="AC21" s="1814">
        <v>1</v>
      </c>
    </row>
    <row r="22" spans="1:29" ht="15">
      <c r="A22" s="428"/>
      <c r="B22" s="451" t="s">
        <v>2714</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05"/>
      <c r="Q22" s="1813" t="str">
        <f>B22</f>
        <v>楼层</v>
      </c>
      <c r="R22" s="774" t="s">
        <v>17</v>
      </c>
      <c r="S22" s="775">
        <f>F22</f>
        <v>100</v>
      </c>
      <c r="T22" s="774" t="s">
        <v>17</v>
      </c>
      <c r="U22" s="775">
        <f>H22</f>
        <v>100</v>
      </c>
      <c r="V22" s="774" t="s">
        <v>17</v>
      </c>
      <c r="W22" s="775">
        <f>J22</f>
        <v>100</v>
      </c>
      <c r="X22" s="1816"/>
      <c r="Y22" s="3205"/>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05"/>
      <c r="Q23" s="1813">
        <f>B23</f>
        <v>111</v>
      </c>
      <c r="R23" s="774" t="s">
        <v>17</v>
      </c>
      <c r="S23" s="775">
        <f>F23</f>
        <v>100</v>
      </c>
      <c r="T23" s="774" t="s">
        <v>17</v>
      </c>
      <c r="U23" s="775">
        <f>H23</f>
        <v>100</v>
      </c>
      <c r="V23" s="774" t="s">
        <v>17</v>
      </c>
      <c r="W23" s="775">
        <f>J23</f>
        <v>100</v>
      </c>
      <c r="X23" s="1816"/>
      <c r="Y23" s="3205"/>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05"/>
      <c r="Q24" s="1813">
        <f t="shared" ref="Q24:Q34" si="11">B24</f>
        <v>111</v>
      </c>
      <c r="R24" s="774" t="s">
        <v>17</v>
      </c>
      <c r="S24" s="775">
        <f>F24</f>
        <v>100</v>
      </c>
      <c r="T24" s="774" t="s">
        <v>17</v>
      </c>
      <c r="U24" s="775">
        <f>H24</f>
        <v>100</v>
      </c>
      <c r="V24" s="774" t="s">
        <v>17</v>
      </c>
      <c r="W24" s="775">
        <f>J24</f>
        <v>100</v>
      </c>
      <c r="X24" s="1816"/>
      <c r="Y24" s="3205"/>
      <c r="Z24" s="1817">
        <f>Q24</f>
        <v>111</v>
      </c>
      <c r="AA24" s="1814">
        <f t="shared" si="3"/>
        <v>1</v>
      </c>
      <c r="AB24" s="1814">
        <f t="shared" si="4"/>
        <v>1</v>
      </c>
      <c r="AC24" s="1814">
        <f t="shared" si="5"/>
        <v>1</v>
      </c>
    </row>
    <row r="25" spans="1:29" s="117" customFormat="1" ht="15.75" thickBot="1">
      <c r="A25" s="431"/>
      <c r="B25" s="2607">
        <v>111</v>
      </c>
      <c r="C25" s="2705"/>
      <c r="D25" s="665">
        <v>100</v>
      </c>
      <c r="E25" s="2705"/>
      <c r="F25" s="666">
        <f>SUMIF(75:75,E25,76:76)-SUMIF(75:75,C25,76:76)+100</f>
        <v>100</v>
      </c>
      <c r="G25" s="2705"/>
      <c r="H25" s="665">
        <f>SUMIF(75:75,G25,76:76)-SUMIF(75:75,C25,76:76)+100</f>
        <v>100</v>
      </c>
      <c r="I25" s="2705"/>
      <c r="J25" s="665">
        <f>SUMIF(75:75,I25,76:76)-SUMIF(75:75,C25,76:76)+100</f>
        <v>100</v>
      </c>
      <c r="K25" s="613"/>
      <c r="L25" s="1135"/>
      <c r="M25" s="1136"/>
      <c r="N25" s="1136"/>
      <c r="O25" s="1137"/>
      <c r="P25" s="3205"/>
      <c r="Q25" s="1798">
        <f t="shared" si="11"/>
        <v>111</v>
      </c>
      <c r="R25" s="770" t="s">
        <v>17</v>
      </c>
      <c r="S25" s="771">
        <f>F25</f>
        <v>100</v>
      </c>
      <c r="T25" s="770" t="s">
        <v>17</v>
      </c>
      <c r="U25" s="771">
        <f>H25</f>
        <v>100</v>
      </c>
      <c r="V25" s="770" t="s">
        <v>17</v>
      </c>
      <c r="W25" s="771">
        <f>J25</f>
        <v>100</v>
      </c>
      <c r="X25" s="772"/>
      <c r="Y25" s="3205"/>
      <c r="Z25" s="55">
        <f>Q25</f>
        <v>111</v>
      </c>
      <c r="AA25" s="1814">
        <f>D25/F25</f>
        <v>1</v>
      </c>
      <c r="AB25" s="1814">
        <f>D25/H25</f>
        <v>1</v>
      </c>
      <c r="AC25" s="1814">
        <f>D25/J25</f>
        <v>1</v>
      </c>
    </row>
    <row r="26" spans="1:29" ht="15">
      <c r="A26" s="466" t="s">
        <v>2566</v>
      </c>
      <c r="B26" s="71" t="s">
        <v>2717</v>
      </c>
      <c r="C26" s="2686"/>
      <c r="D26" s="467">
        <v>100</v>
      </c>
      <c r="E26" s="2686"/>
      <c r="F26" s="667">
        <f>SUMIF(77:77,E26,78:78)-SUMIF(77:77,C26,78:78)+100</f>
        <v>100</v>
      </c>
      <c r="G26" s="2686"/>
      <c r="H26" s="467">
        <f>SUMIF(77:77,G26,78:78)-SUMIF(77:77,C26,78:78)+100</f>
        <v>100</v>
      </c>
      <c r="I26" s="2686"/>
      <c r="J26" s="467">
        <f>SUMIF(77:77,I26,78:78)-SUMIF(77:77,C26,78:78)+100</f>
        <v>100</v>
      </c>
      <c r="K26" s="612"/>
      <c r="L26" s="1143"/>
      <c r="M26" s="1134"/>
      <c r="N26" s="1134"/>
      <c r="O26" s="1142"/>
      <c r="P26" s="3228" t="s">
        <v>2568</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09" t="s">
        <v>2568</v>
      </c>
      <c r="Z26" s="1817" t="str">
        <f t="shared" ref="Z26:Z34" si="15">Q26</f>
        <v>公共部分装修</v>
      </c>
      <c r="AA26" s="1814">
        <f t="shared" si="3"/>
        <v>1</v>
      </c>
      <c r="AB26" s="1814">
        <f t="shared" si="4"/>
        <v>1</v>
      </c>
      <c r="AC26" s="1814">
        <f t="shared" si="5"/>
        <v>1</v>
      </c>
    </row>
    <row r="27" spans="1:29" s="471" customFormat="1" ht="15">
      <c r="A27" s="468"/>
      <c r="B27" s="422" t="s">
        <v>2718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09"/>
      <c r="Q27" s="776" t="str">
        <f t="shared" si="11"/>
        <v>成新率</v>
      </c>
      <c r="R27" s="777" t="s">
        <v>17</v>
      </c>
      <c r="S27" s="778" t="e">
        <f t="shared" si="12"/>
        <v>#N/A</v>
      </c>
      <c r="T27" s="777" t="s">
        <v>17</v>
      </c>
      <c r="U27" s="778" t="e">
        <f t="shared" si="13"/>
        <v>#N/A</v>
      </c>
      <c r="V27" s="777" t="s">
        <v>17</v>
      </c>
      <c r="W27" s="778" t="e">
        <f t="shared" si="14"/>
        <v>#N/A</v>
      </c>
      <c r="X27" s="779"/>
      <c r="Y27" s="3209"/>
      <c r="Z27" s="780" t="str">
        <f t="shared" si="15"/>
        <v>成新率</v>
      </c>
      <c r="AA27" s="1814" t="e">
        <f t="shared" si="3"/>
        <v>#N/A</v>
      </c>
      <c r="AB27" s="1814" t="e">
        <f t="shared" si="4"/>
        <v>#N/A</v>
      </c>
      <c r="AC27" s="1814" t="e">
        <f t="shared" si="5"/>
        <v>#N/A</v>
      </c>
    </row>
    <row r="28" spans="1:29" ht="15">
      <c r="A28" s="472"/>
      <c r="B28" s="422" t="s">
        <v>2719</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09"/>
      <c r="Q28" s="1813" t="str">
        <f t="shared" si="11"/>
        <v>物业等级</v>
      </c>
      <c r="R28" s="774" t="s">
        <v>17</v>
      </c>
      <c r="S28" s="775">
        <f t="shared" si="12"/>
        <v>100</v>
      </c>
      <c r="T28" s="774" t="s">
        <v>17</v>
      </c>
      <c r="U28" s="775">
        <f t="shared" si="13"/>
        <v>100</v>
      </c>
      <c r="V28" s="774" t="s">
        <v>17</v>
      </c>
      <c r="W28" s="775">
        <f t="shared" si="14"/>
        <v>100</v>
      </c>
      <c r="X28" s="1816"/>
      <c r="Y28" s="3209"/>
      <c r="Z28" s="1817" t="str">
        <f t="shared" si="15"/>
        <v>物业等级</v>
      </c>
      <c r="AA28" s="1814">
        <f t="shared" si="3"/>
        <v>1</v>
      </c>
      <c r="AB28" s="1814">
        <f t="shared" si="4"/>
        <v>1</v>
      </c>
      <c r="AC28" s="1814">
        <f t="shared" si="5"/>
        <v>1</v>
      </c>
    </row>
    <row r="29" spans="1:29" ht="15">
      <c r="A29" s="472"/>
      <c r="B29" s="422" t="s">
        <v>2740</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09"/>
      <c r="Q29" s="1813" t="str">
        <f t="shared" si="11"/>
        <v>有无电梯</v>
      </c>
      <c r="R29" s="774" t="s">
        <v>17</v>
      </c>
      <c r="S29" s="775">
        <f t="shared" si="12"/>
        <v>100</v>
      </c>
      <c r="T29" s="774" t="s">
        <v>17</v>
      </c>
      <c r="U29" s="775">
        <f t="shared" si="13"/>
        <v>100</v>
      </c>
      <c r="V29" s="774" t="s">
        <v>17</v>
      </c>
      <c r="W29" s="775">
        <f t="shared" si="14"/>
        <v>100</v>
      </c>
      <c r="X29" s="1816"/>
      <c r="Y29" s="3209"/>
      <c r="Z29" s="1817" t="str">
        <f t="shared" si="15"/>
        <v>有无电梯</v>
      </c>
      <c r="AA29" s="1814">
        <f t="shared" si="3"/>
        <v>1</v>
      </c>
      <c r="AB29" s="1814">
        <f t="shared" si="4"/>
        <v>1</v>
      </c>
      <c r="AC29" s="1814">
        <f t="shared" si="5"/>
        <v>1</v>
      </c>
    </row>
    <row r="30" spans="1:29" ht="15">
      <c r="A30" s="472"/>
      <c r="B30" s="422" t="s">
        <v>2741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09"/>
      <c r="Q30" s="1813" t="str">
        <f t="shared" si="11"/>
        <v>建筑面积</v>
      </c>
      <c r="R30" s="774" t="s">
        <v>17</v>
      </c>
      <c r="S30" s="775" t="e">
        <f t="shared" si="12"/>
        <v>#N/A</v>
      </c>
      <c r="T30" s="774" t="s">
        <v>17</v>
      </c>
      <c r="U30" s="775" t="e">
        <f t="shared" si="13"/>
        <v>#N/A</v>
      </c>
      <c r="V30" s="774" t="s">
        <v>17</v>
      </c>
      <c r="W30" s="775" t="e">
        <f t="shared" si="14"/>
        <v>#N/A</v>
      </c>
      <c r="X30" s="1816"/>
      <c r="Y30" s="3209"/>
      <c r="Z30" s="1817" t="str">
        <f t="shared" si="15"/>
        <v>建筑面积</v>
      </c>
      <c r="AA30" s="1814" t="e">
        <f t="shared" si="3"/>
        <v>#N/A</v>
      </c>
      <c r="AB30" s="1814" t="e">
        <f t="shared" si="4"/>
        <v>#N/A</v>
      </c>
      <c r="AC30" s="1814" t="e">
        <f t="shared" si="5"/>
        <v>#N/A</v>
      </c>
    </row>
    <row r="31" spans="1:29" s="117" customFormat="1" ht="15">
      <c r="A31" s="473"/>
      <c r="B31" s="422" t="s">
        <v>2742</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09"/>
      <c r="Q31" s="1798" t="str">
        <f t="shared" si="11"/>
        <v>是否封闭</v>
      </c>
      <c r="R31" s="770" t="s">
        <v>17</v>
      </c>
      <c r="S31" s="771">
        <f t="shared" si="12"/>
        <v>100</v>
      </c>
      <c r="T31" s="770" t="s">
        <v>17</v>
      </c>
      <c r="U31" s="771">
        <f t="shared" si="13"/>
        <v>100</v>
      </c>
      <c r="V31" s="770" t="s">
        <v>17</v>
      </c>
      <c r="W31" s="771">
        <f t="shared" si="14"/>
        <v>100</v>
      </c>
      <c r="X31" s="772"/>
      <c r="Y31" s="3209"/>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09" t="s">
        <v>2568</v>
      </c>
      <c r="Q32" s="1813">
        <f t="shared" si="11"/>
        <v>111</v>
      </c>
      <c r="R32" s="774" t="s">
        <v>17</v>
      </c>
      <c r="S32" s="775">
        <f t="shared" si="12"/>
        <v>100</v>
      </c>
      <c r="T32" s="774" t="s">
        <v>17</v>
      </c>
      <c r="U32" s="775">
        <f t="shared" si="13"/>
        <v>100</v>
      </c>
      <c r="V32" s="774" t="s">
        <v>17</v>
      </c>
      <c r="W32" s="775">
        <f t="shared" si="14"/>
        <v>100</v>
      </c>
      <c r="X32" s="1816"/>
      <c r="Y32" s="3209" t="s">
        <v>2568</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09"/>
      <c r="Q33" s="1813">
        <f t="shared" si="11"/>
        <v>111</v>
      </c>
      <c r="R33" s="774" t="s">
        <v>17</v>
      </c>
      <c r="S33" s="775">
        <f t="shared" si="12"/>
        <v>100</v>
      </c>
      <c r="T33" s="774" t="s">
        <v>17</v>
      </c>
      <c r="U33" s="775">
        <f t="shared" si="13"/>
        <v>100</v>
      </c>
      <c r="V33" s="774" t="s">
        <v>17</v>
      </c>
      <c r="W33" s="775">
        <f t="shared" si="14"/>
        <v>100</v>
      </c>
      <c r="X33" s="1816"/>
      <c r="Y33" s="3209"/>
      <c r="Z33" s="1817">
        <f t="shared" si="15"/>
        <v>111</v>
      </c>
      <c r="AA33" s="1814">
        <f t="shared" si="3"/>
        <v>1</v>
      </c>
      <c r="AB33" s="1814">
        <f t="shared" si="4"/>
        <v>1</v>
      </c>
      <c r="AC33" s="1814">
        <f t="shared" si="5"/>
        <v>1</v>
      </c>
    </row>
    <row r="34" spans="1:29" ht="15.75" thickBot="1">
      <c r="A34" s="478"/>
      <c r="B34" s="2609">
        <v>111</v>
      </c>
      <c r="C34" s="437"/>
      <c r="D34" s="438">
        <v>100</v>
      </c>
      <c r="E34" s="2704"/>
      <c r="F34" s="439">
        <f>SUMIF(95:95,E34,96:96)-SUMIF(95:95,C34,96:96)+100</f>
        <v>100</v>
      </c>
      <c r="G34" s="2704"/>
      <c r="H34" s="438">
        <f>SUMIF(95:95,G34,96:96)-SUMIF(95:95,C34,96:96)+100</f>
        <v>100</v>
      </c>
      <c r="I34" s="2704"/>
      <c r="J34" s="438">
        <f>SUMIF(95:95,I34,96:96)-SUMIF(95:95,C34,96:96)+100</f>
        <v>100</v>
      </c>
      <c r="K34" s="613"/>
      <c r="L34" s="1143"/>
      <c r="M34" s="1134"/>
      <c r="N34" s="1134"/>
      <c r="O34" s="1142"/>
      <c r="P34" s="3209"/>
      <c r="Q34" s="1813">
        <f t="shared" si="11"/>
        <v>111</v>
      </c>
      <c r="R34" s="774" t="s">
        <v>17</v>
      </c>
      <c r="S34" s="775">
        <f t="shared" si="12"/>
        <v>100</v>
      </c>
      <c r="T34" s="774" t="s">
        <v>17</v>
      </c>
      <c r="U34" s="775">
        <f t="shared" si="13"/>
        <v>100</v>
      </c>
      <c r="V34" s="774" t="s">
        <v>17</v>
      </c>
      <c r="W34" s="775">
        <f t="shared" si="14"/>
        <v>100</v>
      </c>
      <c r="X34" s="1816"/>
      <c r="Y34" s="3209"/>
      <c r="Z34" s="1817">
        <f t="shared" si="15"/>
        <v>111</v>
      </c>
      <c r="AA34" s="1814">
        <f t="shared" si="3"/>
        <v>1</v>
      </c>
      <c r="AB34" s="1814">
        <f t="shared" si="4"/>
        <v>1</v>
      </c>
      <c r="AC34" s="1814">
        <f t="shared" si="5"/>
        <v>1</v>
      </c>
    </row>
    <row r="35" spans="1:29" ht="15">
      <c r="A35" s="479" t="s">
        <v>2580</v>
      </c>
      <c r="B35" s="480"/>
      <c r="C35" s="1410" t="s">
        <v>1</v>
      </c>
      <c r="D35" s="1411"/>
      <c r="E35" s="1412"/>
      <c r="F35" s="1413"/>
      <c r="G35" s="1414"/>
      <c r="H35" s="1415"/>
      <c r="I35" s="1412"/>
      <c r="J35" s="1415"/>
      <c r="K35" s="783"/>
      <c r="L35" s="1146"/>
      <c r="M35" s="1147"/>
      <c r="N35" s="1134"/>
      <c r="O35" s="1147"/>
      <c r="P35" s="3202" t="str">
        <f>A35</f>
        <v>成交单价（元/平方米）</v>
      </c>
      <c r="Q35" s="3202"/>
      <c r="R35" s="3203">
        <f>E35</f>
        <v>0</v>
      </c>
      <c r="S35" s="3203"/>
      <c r="T35" s="3203">
        <f>G35</f>
        <v>0</v>
      </c>
      <c r="U35" s="3203"/>
      <c r="V35" s="3203">
        <f>I35</f>
        <v>0</v>
      </c>
      <c r="W35" s="3203"/>
      <c r="X35" s="759"/>
      <c r="Y35" s="781"/>
      <c r="Z35" s="759"/>
      <c r="AA35" s="759"/>
      <c r="AB35" s="759"/>
      <c r="AC35" s="759"/>
    </row>
    <row r="36" spans="1:29" ht="15.75" thickBot="1">
      <c r="A36" s="486" t="s">
        <v>2672</v>
      </c>
      <c r="B36" s="487"/>
      <c r="C36" s="1416" t="e">
        <f>R37</f>
        <v>#DIV/0!</v>
      </c>
      <c r="D36" s="1417"/>
      <c r="E36" s="1418" t="e">
        <f>R36</f>
        <v>#DIV/0!</v>
      </c>
      <c r="F36" s="1418"/>
      <c r="G36" s="1416" t="e">
        <f>T36</f>
        <v>#DIV/0!</v>
      </c>
      <c r="H36" s="1417"/>
      <c r="I36" s="1418" t="e">
        <f>V36</f>
        <v>#DIV/0!</v>
      </c>
      <c r="J36" s="1417"/>
      <c r="K36" s="784"/>
      <c r="L36" s="1146"/>
      <c r="M36" s="1147"/>
      <c r="N36" s="1134"/>
      <c r="O36" s="1147"/>
      <c r="P36" s="3202" t="str">
        <f>A36</f>
        <v>比较价值（元/平方米）</v>
      </c>
      <c r="Q36" s="3202"/>
      <c r="R36" s="3203" t="e">
        <f>IF(F1="售价",ROUND(PRODUCT(R35,AA7:AA34),0),ROUND(PRODUCT(R35,AA7:AA34),1))</f>
        <v>#DIV/0!</v>
      </c>
      <c r="S36" s="3203"/>
      <c r="T36" s="3203" t="e">
        <f>IF(F1="售价",ROUND(PRODUCT(T35,AB7:AB34),0),ROUND(PRODUCT(T35,AB7:AB34),1))</f>
        <v>#DIV/0!</v>
      </c>
      <c r="U36" s="3203"/>
      <c r="V36" s="3203" t="e">
        <f>IF(F1="售价",ROUND(PRODUCT(V35,AC7:AC34),0),ROUND(PRODUCT(V35,AC7:AC34),1))</f>
        <v>#DIV/0!</v>
      </c>
      <c r="W36" s="3203"/>
      <c r="X36" s="759"/>
      <c r="Y36" s="759"/>
      <c r="Z36" s="759"/>
      <c r="AA36" s="759"/>
      <c r="AB36" s="759"/>
      <c r="AC36" s="759"/>
    </row>
    <row r="37" spans="1:29" ht="15.75" thickBot="1">
      <c r="A37" s="492" t="s">
        <v>2673</v>
      </c>
      <c r="B37" s="493"/>
      <c r="C37" s="1420" t="e">
        <f>R37</f>
        <v>#DIV/0!</v>
      </c>
      <c r="D37" s="1420"/>
      <c r="E37" s="1420"/>
      <c r="F37" s="1420"/>
      <c r="G37" s="1420"/>
      <c r="H37" s="1420"/>
      <c r="I37" s="1420"/>
      <c r="J37" s="1420"/>
      <c r="K37" s="785"/>
      <c r="L37" s="1146"/>
      <c r="M37" s="1147"/>
      <c r="N37" s="1147"/>
      <c r="O37" s="1147"/>
      <c r="P37" s="3199" t="str">
        <f>A37</f>
        <v>估价对象XX用房的比较价值（楼面单价，元/平方米）</v>
      </c>
      <c r="Q37" s="3200"/>
      <c r="R37" s="3201" t="e">
        <f>IF(F1="售价",ROUND(AVERAGE(R36:V36),0),ROUND(AVERAGE(R36:V36),1))</f>
        <v>#DIV/0!</v>
      </c>
      <c r="S37" s="3201"/>
      <c r="T37" s="3201"/>
      <c r="U37" s="3201"/>
      <c r="V37" s="3201"/>
      <c r="W37" s="320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2677</v>
      </c>
      <c r="B45" s="759"/>
      <c r="C45" s="764"/>
      <c r="D45" s="764"/>
      <c r="E45" s="764"/>
      <c r="F45" s="765"/>
      <c r="G45" s="765"/>
      <c r="H45" s="764"/>
      <c r="I45" s="764"/>
      <c r="J45" s="764"/>
      <c r="K45" s="766"/>
      <c r="L45" s="767"/>
      <c r="M45" s="764"/>
      <c r="N45" s="764"/>
      <c r="O45" s="764"/>
      <c r="P45" s="503"/>
      <c r="Q45" s="504"/>
    </row>
    <row r="46" spans="1:29" s="508" customFormat="1" ht="15">
      <c r="A46" s="505" t="s">
        <v>2551</v>
      </c>
      <c r="B46" s="506"/>
      <c r="C46" s="1577" t="str">
        <f>YEAR(C7)&amp;"-"&amp;MONTH(C7)</f>
        <v>2018-11</v>
      </c>
      <c r="D46" s="1578">
        <f>EDATE(C46,-1)</f>
        <v>43374</v>
      </c>
      <c r="E46" s="1578">
        <f t="shared" ref="E46:O46" si="16">EDATE(D46,-1)</f>
        <v>43344</v>
      </c>
      <c r="F46" s="1578">
        <f t="shared" si="16"/>
        <v>43313</v>
      </c>
      <c r="G46" s="1578">
        <f t="shared" si="16"/>
        <v>43282</v>
      </c>
      <c r="H46" s="1578">
        <f t="shared" si="16"/>
        <v>43252</v>
      </c>
      <c r="I46" s="1578">
        <f t="shared" si="16"/>
        <v>43221</v>
      </c>
      <c r="J46" s="1578">
        <f t="shared" si="16"/>
        <v>43191</v>
      </c>
      <c r="K46" s="1578">
        <f t="shared" si="16"/>
        <v>43160</v>
      </c>
      <c r="L46" s="1578">
        <f t="shared" si="16"/>
        <v>43132</v>
      </c>
      <c r="M46" s="1578">
        <f t="shared" si="16"/>
        <v>43101</v>
      </c>
      <c r="N46" s="1578">
        <f t="shared" si="16"/>
        <v>43070</v>
      </c>
      <c r="O46" s="1578">
        <f t="shared" si="16"/>
        <v>43040</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2588</v>
      </c>
      <c r="B48" s="516"/>
      <c r="C48" s="517"/>
      <c r="D48" s="518"/>
      <c r="E48" s="518"/>
      <c r="F48" s="518"/>
      <c r="G48" s="518"/>
      <c r="H48" s="518"/>
      <c r="I48" s="518"/>
      <c r="J48" s="518"/>
      <c r="K48" s="518"/>
      <c r="L48" s="518"/>
      <c r="M48" s="519"/>
      <c r="N48" s="518"/>
      <c r="O48" s="520"/>
      <c r="P48" s="504"/>
      <c r="Q48" s="504"/>
    </row>
    <row r="49" spans="1:17" s="117" customFormat="1" ht="15">
      <c r="A49" s="521" t="s">
        <v>2553</v>
      </c>
      <c r="B49" s="510"/>
      <c r="C49" s="522" t="s">
        <v>2655</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2591</v>
      </c>
      <c r="B51" s="528" t="s">
        <v>2557</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2560</v>
      </c>
      <c r="C53" s="539" t="s">
        <v>2592</v>
      </c>
      <c r="D53" s="539" t="s">
        <v>2593</v>
      </c>
      <c r="E53" s="539" t="s">
        <v>2594</v>
      </c>
      <c r="F53" s="539" t="s">
        <v>2595</v>
      </c>
      <c r="G53" s="539" t="s">
        <v>2596</v>
      </c>
      <c r="H53" s="539" t="s">
        <v>2597</v>
      </c>
      <c r="I53" s="539" t="s">
        <v>2598</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2562</v>
      </c>
      <c r="B61" s="528" t="s">
        <v>2605</v>
      </c>
      <c r="C61" s="573" t="s">
        <v>2600</v>
      </c>
      <c r="D61" s="573" t="s">
        <v>2601</v>
      </c>
      <c r="E61" s="573" t="s">
        <v>2602</v>
      </c>
      <c r="F61" s="573" t="s">
        <v>2603</v>
      </c>
      <c r="G61" s="573" t="s">
        <v>2604</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2743</v>
      </c>
      <c r="C63" s="578" t="s">
        <v>2600</v>
      </c>
      <c r="D63" s="578" t="s">
        <v>2601</v>
      </c>
      <c r="E63" s="578" t="s">
        <v>2602</v>
      </c>
      <c r="F63" s="578" t="s">
        <v>2603</v>
      </c>
      <c r="G63" s="578" t="s">
        <v>2604</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2692</v>
      </c>
      <c r="C65" s="660" t="s">
        <v>2678</v>
      </c>
      <c r="D65" s="660" t="s">
        <v>2679</v>
      </c>
      <c r="E65" s="660" t="s">
        <v>2680</v>
      </c>
      <c r="F65" s="660" t="s">
        <v>2681</v>
      </c>
      <c r="G65" s="660" t="s">
        <v>2682</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2612</v>
      </c>
      <c r="C67" s="578" t="s">
        <v>2600</v>
      </c>
      <c r="D67" s="578" t="s">
        <v>2601</v>
      </c>
      <c r="E67" s="578" t="s">
        <v>2602</v>
      </c>
      <c r="F67" s="578" t="s">
        <v>2603</v>
      </c>
      <c r="G67" s="578" t="s">
        <v>2604</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2732</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2566</v>
      </c>
      <c r="B77" s="528" t="s">
        <v>2619</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2736</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2744</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2746</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2747</v>
      </c>
      <c r="B1" s="395"/>
      <c r="C1" s="396" t="s">
        <v>2748</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2330</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2332</v>
      </c>
      <c r="B3" s="609" t="e">
        <f>ROUND(IF(D3="",B2*10000/'数据-汇总表'!E3,B2*10000/D3),0)</f>
        <v>#DIV/0!</v>
      </c>
      <c r="C3" s="247" t="s">
        <v>2749</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68" t="s">
        <v>2651</v>
      </c>
      <c r="AC4" s="3167" t="s">
        <v>2652</v>
      </c>
    </row>
    <row r="5" spans="1:30" ht="15">
      <c r="A5" s="404"/>
      <c r="B5" s="405"/>
      <c r="C5" s="3178" t="s">
        <v>2545</v>
      </c>
      <c r="D5" s="3179"/>
      <c r="E5" s="3176" t="s">
        <v>2546</v>
      </c>
      <c r="F5" s="3177"/>
      <c r="G5" s="3178" t="s">
        <v>2547</v>
      </c>
      <c r="H5" s="3179"/>
      <c r="I5" s="3178" t="s">
        <v>2548</v>
      </c>
      <c r="J5" s="3179"/>
      <c r="K5" s="610"/>
      <c r="L5" s="1133"/>
      <c r="M5" s="1134"/>
      <c r="N5" s="1134"/>
      <c r="O5" s="1134"/>
      <c r="P5" s="3191"/>
      <c r="Q5" s="3192"/>
      <c r="R5" s="3174"/>
      <c r="S5" s="3175"/>
      <c r="T5" s="3174"/>
      <c r="U5" s="3175"/>
      <c r="V5" s="3197"/>
      <c r="W5" s="3197"/>
      <c r="X5" s="1816"/>
      <c r="Y5" s="3174"/>
      <c r="Z5" s="3175"/>
      <c r="AA5" s="3168"/>
      <c r="AB5" s="3168"/>
      <c r="AC5" s="3168"/>
    </row>
    <row r="6" spans="1:30" ht="15.75" thickBot="1">
      <c r="A6" s="406"/>
      <c r="B6" s="407"/>
      <c r="C6" s="3180" t="s">
        <v>2549</v>
      </c>
      <c r="D6" s="3181"/>
      <c r="E6" s="3182" t="s">
        <v>2549</v>
      </c>
      <c r="F6" s="3183"/>
      <c r="G6" s="3180" t="s">
        <v>2549</v>
      </c>
      <c r="H6" s="3181"/>
      <c r="I6" s="3180" t="s">
        <v>2549</v>
      </c>
      <c r="J6" s="3181"/>
      <c r="K6" s="610" t="s">
        <v>2550</v>
      </c>
      <c r="L6" s="1133"/>
      <c r="M6" s="1134"/>
      <c r="N6" s="1134"/>
      <c r="O6" s="1134"/>
      <c r="P6" s="3193"/>
      <c r="Q6" s="3194"/>
      <c r="R6" s="3174"/>
      <c r="S6" s="3175"/>
      <c r="T6" s="3195"/>
      <c r="U6" s="3196"/>
      <c r="V6" s="3197"/>
      <c r="W6" s="3197"/>
      <c r="X6" s="1816"/>
      <c r="Y6" s="3195"/>
      <c r="Z6" s="3196"/>
      <c r="AA6" s="3169"/>
      <c r="AB6" s="3169"/>
      <c r="AC6" s="3169"/>
    </row>
    <row r="7" spans="1:30" s="117" customFormat="1" ht="15.75" thickBot="1">
      <c r="A7" s="408" t="s">
        <v>2551</v>
      </c>
      <c r="B7" s="409"/>
      <c r="C7" s="410">
        <f>'数据-取费表'!B2</f>
        <v>43423</v>
      </c>
      <c r="D7" s="411">
        <v>100</v>
      </c>
      <c r="E7" s="412">
        <v>42309</v>
      </c>
      <c r="F7" s="413">
        <f>SUMIF(70:70,YEAR(E7)&amp;"-"&amp;INT((MONTH(E7)+2)/3),71:71)</f>
        <v>0</v>
      </c>
      <c r="G7" s="2703">
        <v>42309</v>
      </c>
      <c r="H7" s="411">
        <f>SUMIF(70:70,YEAR(G7)&amp;"-"&amp;INT((MONTH(G7)+2)/3),71:71)</f>
        <v>0</v>
      </c>
      <c r="I7" s="2703">
        <v>42036</v>
      </c>
      <c r="J7" s="411">
        <f>SUMIF(70:70,YEAR(I7)&amp;"-"&amp;INT((MONTH(I7)+2)/3),71:71)</f>
        <v>0</v>
      </c>
      <c r="K7" s="611"/>
      <c r="L7" s="1135"/>
      <c r="M7" s="1136"/>
      <c r="N7" s="1136"/>
      <c r="O7" s="1136"/>
      <c r="P7" s="3170" t="s">
        <v>2552</v>
      </c>
      <c r="Q7" s="3198"/>
      <c r="R7" s="770" t="s">
        <v>17</v>
      </c>
      <c r="S7" s="771">
        <f t="shared" ref="S7:S15" si="0">F7</f>
        <v>0</v>
      </c>
      <c r="T7" s="770" t="s">
        <v>17</v>
      </c>
      <c r="U7" s="771">
        <f t="shared" ref="U7:U15" si="1">H7</f>
        <v>0</v>
      </c>
      <c r="V7" s="770" t="s">
        <v>17</v>
      </c>
      <c r="W7" s="771">
        <f t="shared" ref="W7:W15" si="2">J7</f>
        <v>0</v>
      </c>
      <c r="X7" s="772"/>
      <c r="Y7" s="3170" t="s">
        <v>2552</v>
      </c>
      <c r="Z7" s="3171"/>
      <c r="AA7" s="773" t="e">
        <f>D7/F7</f>
        <v>#DIV/0!</v>
      </c>
      <c r="AB7" s="773" t="e">
        <f>D7/H7</f>
        <v>#DIV/0!</v>
      </c>
      <c r="AC7" s="773" t="e">
        <f>D7/J7</f>
        <v>#DIV/0!</v>
      </c>
    </row>
    <row r="8" spans="1:30" s="117" customFormat="1" ht="15.75" thickBot="1">
      <c r="A8" s="408" t="s">
        <v>2553</v>
      </c>
      <c r="B8" s="409"/>
      <c r="C8" s="414" t="s">
        <v>2554</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170" t="s">
        <v>2555</v>
      </c>
      <c r="Q8" s="3171"/>
      <c r="R8" s="770" t="s">
        <v>17</v>
      </c>
      <c r="S8" s="771">
        <f t="shared" si="0"/>
        <v>0</v>
      </c>
      <c r="T8" s="770" t="s">
        <v>17</v>
      </c>
      <c r="U8" s="771">
        <f t="shared" si="1"/>
        <v>0</v>
      </c>
      <c r="V8" s="770" t="s">
        <v>17</v>
      </c>
      <c r="W8" s="771">
        <f t="shared" si="2"/>
        <v>0</v>
      </c>
      <c r="X8" s="772"/>
      <c r="Y8" s="3170" t="s">
        <v>2555</v>
      </c>
      <c r="Z8" s="3171"/>
      <c r="AA8" s="773" t="e">
        <f t="shared" ref="AA8:AA45" si="3">D8/F8</f>
        <v>#DIV/0!</v>
      </c>
      <c r="AB8" s="773" t="e">
        <f t="shared" ref="AB8:AB45" si="4">D8/H8</f>
        <v>#DIV/0!</v>
      </c>
      <c r="AC8" s="773" t="e">
        <f t="shared" ref="AC8:AC45" si="5">D8/J8</f>
        <v>#DIV/0!</v>
      </c>
    </row>
    <row r="9" spans="1:30" s="117" customFormat="1">
      <c r="A9" s="415" t="s">
        <v>2556</v>
      </c>
      <c r="B9" s="71" t="s">
        <v>2557</v>
      </c>
      <c r="C9" s="2706"/>
      <c r="D9" s="135">
        <v>100</v>
      </c>
      <c r="E9" s="2706"/>
      <c r="F9" s="135">
        <f>SUMIF(75:75,E9,76:76)-SUMIF(75:75,C9,76:76)+100</f>
        <v>100</v>
      </c>
      <c r="G9" s="2706"/>
      <c r="H9" s="135">
        <f>SUMIF(75:75,G9,76:76)-SUMIF(75:75,C9,76:76)+100</f>
        <v>100</v>
      </c>
      <c r="I9" s="2706"/>
      <c r="J9" s="135">
        <f>SUMIF(75:75,I9,76:76)-SUMIF(75:75,C9,76:76)+100</f>
        <v>100</v>
      </c>
      <c r="K9" s="611"/>
      <c r="L9" s="1135"/>
      <c r="M9" s="1136"/>
      <c r="N9" s="1136"/>
      <c r="O9" s="1137"/>
      <c r="P9" s="3202"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773">
        <f t="shared" si="5"/>
        <v>1</v>
      </c>
    </row>
    <row r="10" spans="1:30" s="427" customFormat="1" ht="27">
      <c r="A10" s="421"/>
      <c r="B10" s="422" t="s">
        <v>2560</v>
      </c>
      <c r="C10" s="432"/>
      <c r="D10" s="136">
        <v>100</v>
      </c>
      <c r="E10" s="465"/>
      <c r="F10" s="136">
        <f>ROUND(100/'数据-取费表'!G16,0)</f>
        <v>104</v>
      </c>
      <c r="G10" s="463"/>
      <c r="H10" s="136">
        <f>ROUND(100/'数据-取费表'!G16,0)</f>
        <v>104</v>
      </c>
      <c r="I10" s="463"/>
      <c r="J10" s="136">
        <f>ROUND(100/'数据-取费表'!G16,0)</f>
        <v>104</v>
      </c>
      <c r="K10" s="672"/>
      <c r="L10" s="1138"/>
      <c r="M10" s="1139"/>
      <c r="N10" s="1139"/>
      <c r="O10" s="1140"/>
      <c r="P10" s="3202"/>
      <c r="Q10" s="1798" t="str">
        <f t="shared" si="6"/>
        <v>土地使用年限（年）</v>
      </c>
      <c r="R10" s="770" t="s">
        <v>17</v>
      </c>
      <c r="S10" s="771">
        <f t="shared" si="0"/>
        <v>104</v>
      </c>
      <c r="T10" s="770" t="s">
        <v>17</v>
      </c>
      <c r="U10" s="771">
        <f t="shared" si="1"/>
        <v>104</v>
      </c>
      <c r="V10" s="770" t="s">
        <v>17</v>
      </c>
      <c r="W10" s="771">
        <f t="shared" si="2"/>
        <v>104</v>
      </c>
      <c r="X10" s="772"/>
      <c r="Y10" s="3017"/>
      <c r="Z10" s="55" t="str">
        <f t="shared" si="7"/>
        <v>土地使用年限（年）</v>
      </c>
      <c r="AA10" s="773">
        <f t="shared" si="3"/>
        <v>0.96153846153846156</v>
      </c>
      <c r="AB10" s="773">
        <f t="shared" si="4"/>
        <v>0.96153846153846156</v>
      </c>
      <c r="AC10" s="773">
        <f t="shared" si="5"/>
        <v>0.96153846153846156</v>
      </c>
    </row>
    <row r="11" spans="1:30" ht="15">
      <c r="A11" s="428"/>
      <c r="B11" s="422" t="s">
        <v>2561</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02"/>
      <c r="Q11" s="1798" t="str">
        <f t="shared" si="6"/>
        <v>容积率</v>
      </c>
      <c r="R11" s="770" t="s">
        <v>17</v>
      </c>
      <c r="S11" s="771" t="e">
        <f t="shared" si="0"/>
        <v>#N/A</v>
      </c>
      <c r="T11" s="770" t="s">
        <v>17</v>
      </c>
      <c r="U11" s="771" t="e">
        <f t="shared" si="1"/>
        <v>#N/A</v>
      </c>
      <c r="V11" s="770" t="s">
        <v>17</v>
      </c>
      <c r="W11" s="771" t="e">
        <f t="shared" si="2"/>
        <v>#N/A</v>
      </c>
      <c r="X11" s="772"/>
      <c r="Y11" s="3017"/>
      <c r="Z11" s="55" t="str">
        <f t="shared" si="7"/>
        <v>容积率</v>
      </c>
      <c r="AA11" s="773" t="e">
        <f t="shared" si="3"/>
        <v>#N/A</v>
      </c>
      <c r="AB11" s="773" t="e">
        <f t="shared" si="4"/>
        <v>#N/A</v>
      </c>
      <c r="AC11" s="773" t="e">
        <f t="shared" si="5"/>
        <v>#N/A</v>
      </c>
    </row>
    <row r="12" spans="1:30" s="117" customFormat="1" ht="15">
      <c r="A12" s="431"/>
      <c r="B12" s="2607" t="s">
        <v>2750</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02"/>
      <c r="Q12" s="1798" t="str">
        <f t="shared" si="6"/>
        <v>配建</v>
      </c>
      <c r="R12" s="770" t="s">
        <v>17</v>
      </c>
      <c r="S12" s="771">
        <f t="shared" si="0"/>
        <v>100</v>
      </c>
      <c r="T12" s="770" t="s">
        <v>17</v>
      </c>
      <c r="U12" s="771">
        <f t="shared" si="1"/>
        <v>100</v>
      </c>
      <c r="V12" s="770" t="s">
        <v>17</v>
      </c>
      <c r="W12" s="771">
        <f t="shared" si="2"/>
        <v>100</v>
      </c>
      <c r="X12" s="772"/>
      <c r="Y12" s="3017"/>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17"/>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17"/>
      <c r="Z14" s="55">
        <f t="shared" si="7"/>
        <v>111</v>
      </c>
      <c r="AA14" s="773">
        <f>D14/F14</f>
        <v>1</v>
      </c>
      <c r="AB14" s="773">
        <f>D14/H14</f>
        <v>1</v>
      </c>
      <c r="AC14" s="773">
        <f>D14/J14</f>
        <v>1</v>
      </c>
    </row>
    <row r="15" spans="1:30" ht="99.75">
      <c r="A15" s="440" t="s">
        <v>2562</v>
      </c>
      <c r="B15" s="69" t="s">
        <v>2087</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04" t="s">
        <v>2563</v>
      </c>
      <c r="Q15" s="1813" t="str">
        <f t="shared" si="6"/>
        <v>居住社区成熟度</v>
      </c>
      <c r="R15" s="774" t="s">
        <v>17</v>
      </c>
      <c r="S15" s="775">
        <f t="shared" si="0"/>
        <v>100</v>
      </c>
      <c r="T15" s="774" t="s">
        <v>17</v>
      </c>
      <c r="U15" s="775">
        <f t="shared" si="1"/>
        <v>100</v>
      </c>
      <c r="V15" s="774" t="s">
        <v>17</v>
      </c>
      <c r="W15" s="775">
        <f t="shared" si="2"/>
        <v>100</v>
      </c>
      <c r="X15" s="1816"/>
      <c r="Y15" s="3204" t="s">
        <v>2563</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205"/>
      <c r="Q16" s="1813"/>
      <c r="R16" s="774"/>
      <c r="S16" s="775"/>
      <c r="T16" s="774"/>
      <c r="U16" s="775"/>
      <c r="V16" s="774"/>
      <c r="W16" s="775"/>
      <c r="X16" s="1816"/>
      <c r="Y16" s="3205"/>
      <c r="Z16" s="1817"/>
      <c r="AA16" s="1814">
        <v>1</v>
      </c>
      <c r="AB16" s="1814">
        <v>1</v>
      </c>
      <c r="AC16" s="1814">
        <v>1</v>
      </c>
    </row>
    <row r="17" spans="1:29" ht="71.25">
      <c r="A17" s="428"/>
      <c r="B17" s="451" t="s">
        <v>2656</v>
      </c>
      <c r="C17" s="267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05"/>
      <c r="Q17" s="1813" t="str">
        <f>B17</f>
        <v>商业繁华度</v>
      </c>
      <c r="R17" s="774" t="s">
        <v>17</v>
      </c>
      <c r="S17" s="775">
        <f>F17</f>
        <v>100</v>
      </c>
      <c r="T17" s="774" t="s">
        <v>17</v>
      </c>
      <c r="U17" s="775">
        <f>H17</f>
        <v>100</v>
      </c>
      <c r="V17" s="774" t="s">
        <v>17</v>
      </c>
      <c r="W17" s="775">
        <f>J17</f>
        <v>100</v>
      </c>
      <c r="X17" s="1816"/>
      <c r="Y17" s="3205"/>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205"/>
      <c r="Q18" s="1813"/>
      <c r="R18" s="774"/>
      <c r="S18" s="775"/>
      <c r="T18" s="774"/>
      <c r="U18" s="775"/>
      <c r="V18" s="774"/>
      <c r="W18" s="775"/>
      <c r="X18" s="1816"/>
      <c r="Y18" s="3205"/>
      <c r="Z18" s="1817"/>
      <c r="AA18" s="1814">
        <v>1</v>
      </c>
      <c r="AB18" s="1814">
        <v>1</v>
      </c>
      <c r="AC18" s="1814">
        <v>1</v>
      </c>
    </row>
    <row r="19" spans="1:29" ht="71.25">
      <c r="A19" s="428"/>
      <c r="B19" s="451" t="s">
        <v>2690</v>
      </c>
      <c r="C19" s="267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05"/>
      <c r="Q19" s="1813" t="str">
        <f>B19</f>
        <v>办公集聚程度</v>
      </c>
      <c r="R19" s="774" t="s">
        <v>17</v>
      </c>
      <c r="S19" s="775">
        <f>F19</f>
        <v>100</v>
      </c>
      <c r="T19" s="774" t="s">
        <v>17</v>
      </c>
      <c r="U19" s="775">
        <f>H19</f>
        <v>100</v>
      </c>
      <c r="V19" s="774" t="s">
        <v>17</v>
      </c>
      <c r="W19" s="775">
        <f>J19</f>
        <v>100</v>
      </c>
      <c r="X19" s="1816"/>
      <c r="Y19" s="3205"/>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205"/>
      <c r="Q20" s="1813"/>
      <c r="R20" s="774"/>
      <c r="S20" s="775"/>
      <c r="T20" s="774"/>
      <c r="U20" s="775"/>
      <c r="V20" s="774"/>
      <c r="W20" s="775"/>
      <c r="X20" s="1816"/>
      <c r="Y20" s="3205"/>
      <c r="Z20" s="1817"/>
      <c r="AA20" s="1814">
        <v>1</v>
      </c>
      <c r="AB20" s="1814">
        <v>1</v>
      </c>
      <c r="AC20" s="1814">
        <v>1</v>
      </c>
    </row>
    <row r="21" spans="1:29" ht="85.5">
      <c r="A21" s="428"/>
      <c r="B21" s="451" t="s">
        <v>2712</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05"/>
      <c r="Q21" s="1813" t="str">
        <f>B21</f>
        <v>交通便捷度</v>
      </c>
      <c r="R21" s="774" t="s">
        <v>17</v>
      </c>
      <c r="S21" s="775">
        <f>F21</f>
        <v>100</v>
      </c>
      <c r="T21" s="774" t="s">
        <v>17</v>
      </c>
      <c r="U21" s="775">
        <f>H21</f>
        <v>100</v>
      </c>
      <c r="V21" s="774" t="s">
        <v>17</v>
      </c>
      <c r="W21" s="775">
        <f>J21</f>
        <v>100</v>
      </c>
      <c r="X21" s="1816"/>
      <c r="Y21" s="3205"/>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205"/>
      <c r="Q22" s="1813"/>
      <c r="R22" s="774"/>
      <c r="S22" s="775"/>
      <c r="T22" s="774"/>
      <c r="U22" s="775"/>
      <c r="V22" s="774"/>
      <c r="W22" s="775"/>
      <c r="X22" s="1816"/>
      <c r="Y22" s="3205"/>
      <c r="Z22" s="1817"/>
      <c r="AA22" s="1814">
        <v>1</v>
      </c>
      <c r="AB22" s="1814">
        <v>1</v>
      </c>
      <c r="AC22" s="1814">
        <v>1</v>
      </c>
    </row>
    <row r="23" spans="1:29" ht="15">
      <c r="A23" s="404"/>
      <c r="B23" s="451" t="s">
        <v>2751</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05"/>
      <c r="Q23" s="1813" t="str">
        <f t="shared" ref="Q23:Q37" si="8">B23</f>
        <v>区域土地利用方向</v>
      </c>
      <c r="R23" s="774" t="s">
        <v>17</v>
      </c>
      <c r="S23" s="775">
        <f>F23</f>
        <v>100</v>
      </c>
      <c r="T23" s="774" t="s">
        <v>17</v>
      </c>
      <c r="U23" s="775">
        <f>H23</f>
        <v>100</v>
      </c>
      <c r="V23" s="774" t="s">
        <v>17</v>
      </c>
      <c r="W23" s="775">
        <f>J23</f>
        <v>100</v>
      </c>
      <c r="X23" s="1816"/>
      <c r="Y23" s="3205"/>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205"/>
      <c r="Q24" s="1813"/>
      <c r="R24" s="774"/>
      <c r="S24" s="775"/>
      <c r="T24" s="774"/>
      <c r="U24" s="775"/>
      <c r="V24" s="774"/>
      <c r="W24" s="775"/>
      <c r="X24" s="1816"/>
      <c r="Y24" s="3205"/>
      <c r="Z24" s="1817"/>
      <c r="AA24" s="1814"/>
      <c r="AB24" s="1814"/>
      <c r="AC24" s="1814"/>
    </row>
    <row r="25" spans="1:29" ht="57">
      <c r="A25" s="404"/>
      <c r="B25" s="1387" t="s">
        <v>2752</v>
      </c>
      <c r="C25" s="267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05"/>
      <c r="Q25" s="1813" t="str">
        <f t="shared" si="8"/>
        <v>自然及人文环境状况</v>
      </c>
      <c r="R25" s="774" t="s">
        <v>17</v>
      </c>
      <c r="S25" s="775">
        <f>F25</f>
        <v>100</v>
      </c>
      <c r="T25" s="774" t="s">
        <v>17</v>
      </c>
      <c r="U25" s="775">
        <f>H25</f>
        <v>100</v>
      </c>
      <c r="V25" s="774" t="s">
        <v>17</v>
      </c>
      <c r="W25" s="775">
        <f>J25</f>
        <v>100</v>
      </c>
      <c r="X25" s="1816"/>
      <c r="Y25" s="3205"/>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205"/>
      <c r="Q26" s="1813"/>
      <c r="R26" s="774"/>
      <c r="S26" s="775"/>
      <c r="T26" s="774"/>
      <c r="U26" s="775"/>
      <c r="V26" s="774"/>
      <c r="W26" s="775"/>
      <c r="X26" s="1816"/>
      <c r="Y26" s="3205"/>
      <c r="Z26" s="1817"/>
      <c r="AA26" s="1814">
        <v>1</v>
      </c>
      <c r="AB26" s="1814">
        <v>1</v>
      </c>
      <c r="AC26" s="1814">
        <v>1</v>
      </c>
    </row>
    <row r="27" spans="1:29" s="117" customFormat="1" ht="42.75">
      <c r="A27" s="649"/>
      <c r="B27" s="1387" t="s">
        <v>2657</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05"/>
      <c r="Q27" s="1798" t="str">
        <f t="shared" si="8"/>
        <v>公共配套设施</v>
      </c>
      <c r="R27" s="770" t="s">
        <v>17</v>
      </c>
      <c r="S27" s="771">
        <f>F27</f>
        <v>100</v>
      </c>
      <c r="T27" s="770" t="s">
        <v>17</v>
      </c>
      <c r="U27" s="771">
        <f>H27</f>
        <v>100</v>
      </c>
      <c r="V27" s="770" t="s">
        <v>17</v>
      </c>
      <c r="W27" s="771">
        <f>J27</f>
        <v>100</v>
      </c>
      <c r="X27" s="772"/>
      <c r="Y27" s="3205"/>
      <c r="Z27" s="55" t="str">
        <f>Q27</f>
        <v>公共配套设施</v>
      </c>
      <c r="AA27" s="1814">
        <f>D27/F27</f>
        <v>1</v>
      </c>
      <c r="AB27" s="1814">
        <f>D27/H27</f>
        <v>1</v>
      </c>
      <c r="AC27" s="1814">
        <f>D27/J27</f>
        <v>1</v>
      </c>
    </row>
    <row r="28" spans="1:29" s="117" customFormat="1" ht="15">
      <c r="A28" s="649"/>
      <c r="B28" s="456"/>
      <c r="C28" s="2707"/>
      <c r="D28" s="448"/>
      <c r="E28" s="2618"/>
      <c r="F28" s="448"/>
      <c r="G28" s="2618"/>
      <c r="H28" s="448"/>
      <c r="I28" s="447"/>
      <c r="J28" s="448"/>
      <c r="K28" s="672"/>
      <c r="L28" s="1135"/>
      <c r="M28" s="1136"/>
      <c r="N28" s="1136"/>
      <c r="O28" s="1137"/>
      <c r="P28" s="3205"/>
      <c r="Q28" s="1798"/>
      <c r="R28" s="770"/>
      <c r="S28" s="771"/>
      <c r="T28" s="770"/>
      <c r="U28" s="771"/>
      <c r="V28" s="770"/>
      <c r="W28" s="771"/>
      <c r="X28" s="772"/>
      <c r="Y28" s="3205"/>
      <c r="Z28" s="55"/>
      <c r="AA28" s="1814">
        <v>1</v>
      </c>
      <c r="AB28" s="1814">
        <v>1</v>
      </c>
      <c r="AC28" s="1814">
        <v>1</v>
      </c>
    </row>
    <row r="29" spans="1:29" s="117" customFormat="1" ht="28.5">
      <c r="A29" s="649"/>
      <c r="B29" s="1387" t="s">
        <v>2658</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05"/>
      <c r="Q29" s="1798" t="str">
        <f t="shared" ref="Q29" si="9">B29</f>
        <v>基础设施水平</v>
      </c>
      <c r="R29" s="770" t="s">
        <v>17</v>
      </c>
      <c r="S29" s="771">
        <f>F29</f>
        <v>100</v>
      </c>
      <c r="T29" s="770" t="s">
        <v>17</v>
      </c>
      <c r="U29" s="771">
        <f>H29</f>
        <v>100</v>
      </c>
      <c r="V29" s="770" t="s">
        <v>17</v>
      </c>
      <c r="W29" s="771">
        <f>J29</f>
        <v>100</v>
      </c>
      <c r="X29" s="772"/>
      <c r="Y29" s="3205"/>
      <c r="Z29" s="55" t="str">
        <f>Q29</f>
        <v>基础设施水平</v>
      </c>
      <c r="AA29" s="1814">
        <f>D29/F29</f>
        <v>1</v>
      </c>
      <c r="AB29" s="1814">
        <f>D29/H29</f>
        <v>1</v>
      </c>
      <c r="AC29" s="1814">
        <f>D29/J29</f>
        <v>1</v>
      </c>
    </row>
    <row r="30" spans="1:29" s="117" customFormat="1" ht="15">
      <c r="A30" s="649"/>
      <c r="B30" s="456"/>
      <c r="C30" s="2707"/>
      <c r="D30" s="448"/>
      <c r="E30" s="2708"/>
      <c r="F30" s="448"/>
      <c r="G30" s="2708"/>
      <c r="H30" s="448"/>
      <c r="I30" s="2708"/>
      <c r="J30" s="448"/>
      <c r="K30" s="672"/>
      <c r="L30" s="1135"/>
      <c r="M30" s="1136"/>
      <c r="N30" s="1136"/>
      <c r="O30" s="1137"/>
      <c r="P30" s="3205"/>
      <c r="Q30" s="1798"/>
      <c r="R30" s="770"/>
      <c r="S30" s="771"/>
      <c r="T30" s="770"/>
      <c r="U30" s="771"/>
      <c r="V30" s="770"/>
      <c r="W30" s="771"/>
      <c r="X30" s="772"/>
      <c r="Y30" s="3205"/>
      <c r="Z30" s="55"/>
      <c r="AA30" s="1814">
        <v>1</v>
      </c>
      <c r="AB30" s="1814">
        <v>1</v>
      </c>
      <c r="AC30" s="1814">
        <v>1</v>
      </c>
    </row>
    <row r="31" spans="1:29" ht="15">
      <c r="A31" s="428"/>
      <c r="B31" s="456" t="s">
        <v>2659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05"/>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05"/>
      <c r="Z31" s="1817" t="str">
        <f t="shared" ref="Z31:Z45" si="13">Q31</f>
        <v>临街状况</v>
      </c>
      <c r="AA31" s="1814">
        <f t="shared" si="3"/>
        <v>1</v>
      </c>
      <c r="AB31" s="1814">
        <f t="shared" si="4"/>
        <v>1</v>
      </c>
      <c r="AC31" s="1814">
        <f t="shared" si="5"/>
        <v>1</v>
      </c>
    </row>
    <row r="32" spans="1:29" ht="27">
      <c r="A32" s="428"/>
      <c r="B32" s="1387" t="s">
        <v>2694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05"/>
      <c r="Q32" s="1813" t="str">
        <f t="shared" si="8"/>
        <v>毗邻道路的类型与等级</v>
      </c>
      <c r="R32" s="774" t="s">
        <v>17</v>
      </c>
      <c r="S32" s="775">
        <f t="shared" si="10"/>
        <v>100</v>
      </c>
      <c r="T32" s="774" t="s">
        <v>17</v>
      </c>
      <c r="U32" s="775">
        <f t="shared" si="11"/>
        <v>100</v>
      </c>
      <c r="V32" s="774" t="s">
        <v>17</v>
      </c>
      <c r="W32" s="775">
        <f t="shared" si="12"/>
        <v>100</v>
      </c>
      <c r="X32" s="1816"/>
      <c r="Y32" s="3205"/>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205"/>
      <c r="Q33" s="1813"/>
      <c r="R33" s="774"/>
      <c r="S33" s="775"/>
      <c r="T33" s="774"/>
      <c r="U33" s="775"/>
      <c r="V33" s="774"/>
      <c r="W33" s="775"/>
      <c r="X33" s="1816"/>
      <c r="Y33" s="3205"/>
      <c r="Z33" s="1817"/>
      <c r="AA33" s="1814">
        <v>1</v>
      </c>
      <c r="AB33" s="1814">
        <v>1</v>
      </c>
      <c r="AC33" s="1814">
        <v>1</v>
      </c>
    </row>
    <row r="34" spans="1:29" ht="15">
      <c r="A34" s="428"/>
      <c r="B34" s="422" t="s">
        <v>2753</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05"/>
      <c r="Q34" s="1813" t="str">
        <f t="shared" si="8"/>
        <v>土地级别</v>
      </c>
      <c r="R34" s="774" t="s">
        <v>17</v>
      </c>
      <c r="S34" s="775">
        <f t="shared" si="10"/>
        <v>100</v>
      </c>
      <c r="T34" s="774" t="s">
        <v>17</v>
      </c>
      <c r="U34" s="775">
        <f t="shared" si="11"/>
        <v>100</v>
      </c>
      <c r="V34" s="774" t="s">
        <v>17</v>
      </c>
      <c r="W34" s="775">
        <f t="shared" si="12"/>
        <v>100</v>
      </c>
      <c r="X34" s="1816"/>
      <c r="Y34" s="3205"/>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05"/>
      <c r="Q35" s="1813">
        <f t="shared" si="8"/>
        <v>111</v>
      </c>
      <c r="R35" s="774" t="s">
        <v>17</v>
      </c>
      <c r="S35" s="775">
        <f t="shared" si="10"/>
        <v>100</v>
      </c>
      <c r="T35" s="774" t="s">
        <v>17</v>
      </c>
      <c r="U35" s="775">
        <f t="shared" si="11"/>
        <v>100</v>
      </c>
      <c r="V35" s="774" t="s">
        <v>17</v>
      </c>
      <c r="W35" s="775">
        <f t="shared" si="12"/>
        <v>100</v>
      </c>
      <c r="X35" s="1816"/>
      <c r="Y35" s="3205"/>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28" t="s">
        <v>2568</v>
      </c>
      <c r="Q36" s="1813">
        <f t="shared" si="8"/>
        <v>111</v>
      </c>
      <c r="R36" s="774" t="s">
        <v>17</v>
      </c>
      <c r="S36" s="775">
        <f t="shared" si="10"/>
        <v>100</v>
      </c>
      <c r="T36" s="774" t="s">
        <v>17</v>
      </c>
      <c r="U36" s="775">
        <f t="shared" si="11"/>
        <v>100</v>
      </c>
      <c r="V36" s="774" t="s">
        <v>17</v>
      </c>
      <c r="W36" s="775">
        <f t="shared" si="12"/>
        <v>100</v>
      </c>
      <c r="X36" s="1816"/>
      <c r="Y36" s="3209" t="s">
        <v>2568</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09"/>
      <c r="Q37" s="1813">
        <f t="shared" si="8"/>
        <v>111</v>
      </c>
      <c r="R37" s="777" t="s">
        <v>17</v>
      </c>
      <c r="S37" s="778">
        <f t="shared" si="10"/>
        <v>100</v>
      </c>
      <c r="T37" s="777" t="s">
        <v>17</v>
      </c>
      <c r="U37" s="778">
        <f t="shared" si="11"/>
        <v>100</v>
      </c>
      <c r="V37" s="777" t="s">
        <v>17</v>
      </c>
      <c r="W37" s="778">
        <f t="shared" si="12"/>
        <v>100</v>
      </c>
      <c r="X37" s="779"/>
      <c r="Y37" s="3209"/>
      <c r="Z37" s="780">
        <f t="shared" si="13"/>
        <v>111</v>
      </c>
      <c r="AA37" s="1814">
        <f t="shared" si="3"/>
        <v>1</v>
      </c>
      <c r="AB37" s="1814">
        <f t="shared" si="4"/>
        <v>1</v>
      </c>
      <c r="AC37" s="1814">
        <f t="shared" si="5"/>
        <v>1</v>
      </c>
    </row>
    <row r="38" spans="1:29" ht="15">
      <c r="A38" s="472" t="s">
        <v>2566</v>
      </c>
      <c r="B38" s="456" t="s">
        <v>2754</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09"/>
      <c r="Q38" s="1813" t="str">
        <f>B38</f>
        <v>宗地面积</v>
      </c>
      <c r="R38" s="774" t="s">
        <v>17</v>
      </c>
      <c r="S38" s="775" t="e">
        <f t="shared" si="10"/>
        <v>#N/A</v>
      </c>
      <c r="T38" s="774" t="s">
        <v>17</v>
      </c>
      <c r="U38" s="775" t="e">
        <f t="shared" si="11"/>
        <v>#N/A</v>
      </c>
      <c r="V38" s="774" t="s">
        <v>17</v>
      </c>
      <c r="W38" s="775" t="e">
        <f t="shared" si="12"/>
        <v>#N/A</v>
      </c>
      <c r="X38" s="1816"/>
      <c r="Y38" s="3209"/>
      <c r="Z38" s="1817" t="str">
        <f t="shared" si="13"/>
        <v>宗地面积</v>
      </c>
      <c r="AA38" s="1814" t="e">
        <f t="shared" si="3"/>
        <v>#N/A</v>
      </c>
      <c r="AB38" s="1814" t="e">
        <f t="shared" si="4"/>
        <v>#N/A</v>
      </c>
      <c r="AC38" s="1814" t="e">
        <f t="shared" si="5"/>
        <v>#N/A</v>
      </c>
    </row>
    <row r="39" spans="1:29" ht="15">
      <c r="A39" s="472"/>
      <c r="B39" s="422" t="s">
        <v>2755</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209"/>
      <c r="Q39" s="1813" t="str">
        <f t="shared" ref="Q39:Q45" si="14">B39</f>
        <v>宗地形状</v>
      </c>
      <c r="R39" s="774" t="s">
        <v>17</v>
      </c>
      <c r="S39" s="775">
        <f t="shared" si="10"/>
        <v>100</v>
      </c>
      <c r="T39" s="774" t="s">
        <v>17</v>
      </c>
      <c r="U39" s="775">
        <f t="shared" si="11"/>
        <v>100</v>
      </c>
      <c r="V39" s="774" t="s">
        <v>17</v>
      </c>
      <c r="W39" s="775">
        <f t="shared" si="12"/>
        <v>100</v>
      </c>
      <c r="X39" s="1816"/>
      <c r="Y39" s="3209"/>
      <c r="Z39" s="1817" t="str">
        <f t="shared" si="13"/>
        <v>宗地形状</v>
      </c>
      <c r="AA39" s="1814">
        <f t="shared" si="3"/>
        <v>1</v>
      </c>
      <c r="AB39" s="1814">
        <f t="shared" si="4"/>
        <v>1</v>
      </c>
      <c r="AC39" s="1814">
        <f t="shared" si="5"/>
        <v>1</v>
      </c>
    </row>
    <row r="40" spans="1:29" ht="15">
      <c r="A40" s="472"/>
      <c r="B40" s="422" t="s">
        <v>2756</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209"/>
      <c r="Q40" s="1813" t="str">
        <f t="shared" si="14"/>
        <v>临街宽度及深度</v>
      </c>
      <c r="R40" s="774" t="s">
        <v>17</v>
      </c>
      <c r="S40" s="775">
        <f t="shared" si="10"/>
        <v>100</v>
      </c>
      <c r="T40" s="774" t="s">
        <v>17</v>
      </c>
      <c r="U40" s="775">
        <f t="shared" si="11"/>
        <v>100</v>
      </c>
      <c r="V40" s="774" t="s">
        <v>17</v>
      </c>
      <c r="W40" s="775">
        <f t="shared" si="12"/>
        <v>100</v>
      </c>
      <c r="X40" s="1816"/>
      <c r="Y40" s="3209"/>
      <c r="Z40" s="1817" t="str">
        <f t="shared" si="13"/>
        <v>临街宽度及深度</v>
      </c>
      <c r="AA40" s="1814">
        <f t="shared" si="3"/>
        <v>1</v>
      </c>
      <c r="AB40" s="1814">
        <f t="shared" si="4"/>
        <v>1</v>
      </c>
      <c r="AC40" s="1814">
        <f t="shared" si="5"/>
        <v>1</v>
      </c>
    </row>
    <row r="41" spans="1:29" s="117" customFormat="1" ht="15">
      <c r="A41" s="473"/>
      <c r="B41" s="422" t="s">
        <v>2757</v>
      </c>
      <c r="C41" s="2709"/>
      <c r="D41" s="136">
        <v>100</v>
      </c>
      <c r="E41" s="2709"/>
      <c r="F41" s="435">
        <f>SUMIF(123:123,E41,124:124)-SUMIF(123:123,C41,124:124)+100</f>
        <v>100</v>
      </c>
      <c r="G41" s="2709"/>
      <c r="H41" s="435">
        <f>SUMIF(123:123,G41,124:124)-SUMIF(123:123,C41,124:124)+100</f>
        <v>100</v>
      </c>
      <c r="I41" s="2709"/>
      <c r="J41" s="435">
        <f>SUMIF(123:123,I41,124:124)-SUMIF(123:123,C41,124:124)+100</f>
        <v>100</v>
      </c>
      <c r="K41" s="612"/>
      <c r="L41" s="1135"/>
      <c r="M41" s="1136"/>
      <c r="N41" s="1136"/>
      <c r="O41" s="1137"/>
      <c r="P41" s="3209"/>
      <c r="Q41" s="1813" t="str">
        <f t="shared" si="14"/>
        <v>宗地开发程度</v>
      </c>
      <c r="R41" s="770" t="s">
        <v>17</v>
      </c>
      <c r="S41" s="771">
        <f t="shared" si="10"/>
        <v>100</v>
      </c>
      <c r="T41" s="770" t="s">
        <v>17</v>
      </c>
      <c r="U41" s="771">
        <f t="shared" si="11"/>
        <v>100</v>
      </c>
      <c r="V41" s="770" t="s">
        <v>17</v>
      </c>
      <c r="W41" s="771">
        <f t="shared" si="12"/>
        <v>100</v>
      </c>
      <c r="X41" s="772"/>
      <c r="Y41" s="3209"/>
      <c r="Z41" s="55" t="str">
        <f t="shared" si="13"/>
        <v>宗地开发程度</v>
      </c>
      <c r="AA41" s="773">
        <f t="shared" si="3"/>
        <v>1</v>
      </c>
      <c r="AB41" s="773">
        <f t="shared" si="4"/>
        <v>1</v>
      </c>
      <c r="AC41" s="773">
        <f t="shared" si="5"/>
        <v>1</v>
      </c>
    </row>
    <row r="42" spans="1:29" ht="15">
      <c r="A42" s="472"/>
      <c r="B42" s="422" t="s">
        <v>2758</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209" t="s">
        <v>2568</v>
      </c>
      <c r="Q42" s="1813" t="str">
        <f t="shared" si="14"/>
        <v>工程地质条件</v>
      </c>
      <c r="R42" s="774" t="s">
        <v>17</v>
      </c>
      <c r="S42" s="775">
        <f t="shared" si="10"/>
        <v>100</v>
      </c>
      <c r="T42" s="774" t="s">
        <v>17</v>
      </c>
      <c r="U42" s="775">
        <f t="shared" si="11"/>
        <v>100</v>
      </c>
      <c r="V42" s="774" t="s">
        <v>17</v>
      </c>
      <c r="W42" s="775">
        <f t="shared" si="12"/>
        <v>100</v>
      </c>
      <c r="X42" s="1816"/>
      <c r="Y42" s="3209" t="s">
        <v>2568</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09"/>
      <c r="Q43" s="1813">
        <f t="shared" si="14"/>
        <v>111</v>
      </c>
      <c r="R43" s="774" t="s">
        <v>17</v>
      </c>
      <c r="S43" s="775">
        <f t="shared" si="10"/>
        <v>100</v>
      </c>
      <c r="T43" s="774" t="s">
        <v>17</v>
      </c>
      <c r="U43" s="775">
        <f t="shared" si="11"/>
        <v>100</v>
      </c>
      <c r="V43" s="774" t="s">
        <v>17</v>
      </c>
      <c r="W43" s="775">
        <f t="shared" si="12"/>
        <v>100</v>
      </c>
      <c r="X43" s="1816"/>
      <c r="Y43" s="3209"/>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09"/>
      <c r="Q44" s="1813">
        <f t="shared" si="14"/>
        <v>111</v>
      </c>
      <c r="R44" s="774" t="s">
        <v>17</v>
      </c>
      <c r="S44" s="775">
        <f t="shared" si="10"/>
        <v>100</v>
      </c>
      <c r="T44" s="774" t="s">
        <v>17</v>
      </c>
      <c r="U44" s="775">
        <f t="shared" si="11"/>
        <v>100</v>
      </c>
      <c r="V44" s="774" t="s">
        <v>17</v>
      </c>
      <c r="W44" s="775">
        <f t="shared" si="12"/>
        <v>100</v>
      </c>
      <c r="X44" s="1816"/>
      <c r="Y44" s="3209"/>
      <c r="Z44" s="1817">
        <f t="shared" si="13"/>
        <v>111</v>
      </c>
      <c r="AA44" s="1814">
        <f t="shared" si="3"/>
        <v>1</v>
      </c>
      <c r="AB44" s="1814">
        <f t="shared" si="4"/>
        <v>1</v>
      </c>
      <c r="AC44" s="1814">
        <f t="shared" si="5"/>
        <v>1</v>
      </c>
    </row>
    <row r="45" spans="1:29" s="471" customFormat="1" ht="15.75" thickBot="1">
      <c r="A45" s="468"/>
      <c r="B45" s="1390">
        <v>111</v>
      </c>
      <c r="C45" s="271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09"/>
      <c r="Q45" s="1813">
        <f t="shared" si="14"/>
        <v>111</v>
      </c>
      <c r="R45" s="777" t="s">
        <v>17</v>
      </c>
      <c r="S45" s="778">
        <f t="shared" si="10"/>
        <v>100</v>
      </c>
      <c r="T45" s="777" t="s">
        <v>17</v>
      </c>
      <c r="U45" s="778">
        <f t="shared" si="11"/>
        <v>100</v>
      </c>
      <c r="V45" s="777" t="s">
        <v>17</v>
      </c>
      <c r="W45" s="778">
        <f t="shared" si="12"/>
        <v>100</v>
      </c>
      <c r="X45" s="779"/>
      <c r="Y45" s="3209"/>
      <c r="Z45" s="780">
        <f t="shared" si="13"/>
        <v>111</v>
      </c>
      <c r="AA45" s="1814">
        <f t="shared" si="3"/>
        <v>1</v>
      </c>
      <c r="AB45" s="1814">
        <f t="shared" si="4"/>
        <v>1</v>
      </c>
      <c r="AC45" s="1814">
        <f t="shared" si="5"/>
        <v>1</v>
      </c>
    </row>
    <row r="46" spans="1:29" ht="15">
      <c r="A46" s="479" t="s">
        <v>2723</v>
      </c>
      <c r="B46" s="2711" t="s">
        <v>2759</v>
      </c>
      <c r="C46" s="682" t="s">
        <v>1</v>
      </c>
      <c r="D46" s="481"/>
      <c r="E46" s="482"/>
      <c r="F46" s="483"/>
      <c r="G46" s="484"/>
      <c r="H46" s="485"/>
      <c r="I46" s="482"/>
      <c r="J46" s="485"/>
      <c r="K46" s="783"/>
      <c r="L46" s="1146"/>
      <c r="M46" s="1147"/>
      <c r="N46" s="1134"/>
      <c r="O46" s="1147"/>
      <c r="P46" s="3202" t="str">
        <f>A46</f>
        <v>成交单价</v>
      </c>
      <c r="Q46" s="3202"/>
      <c r="R46" s="3197">
        <f>E46</f>
        <v>0</v>
      </c>
      <c r="S46" s="3197"/>
      <c r="T46" s="3197">
        <f>G46</f>
        <v>0</v>
      </c>
      <c r="U46" s="3197"/>
      <c r="V46" s="3197">
        <f>I46</f>
        <v>0</v>
      </c>
      <c r="W46" s="3197"/>
      <c r="X46" s="759"/>
      <c r="Y46" s="781"/>
      <c r="Z46" s="759"/>
      <c r="AA46" s="759"/>
      <c r="AB46" s="759"/>
      <c r="AC46" s="759"/>
    </row>
    <row r="47" spans="1:29" ht="15.75" thickBot="1">
      <c r="A47" s="486" t="s">
        <v>2672</v>
      </c>
      <c r="B47" s="683"/>
      <c r="C47" s="490" t="e">
        <f>R48</f>
        <v>#DIV/0!</v>
      </c>
      <c r="D47" s="489"/>
      <c r="E47" s="490" t="e">
        <f>R47</f>
        <v>#DIV/0!</v>
      </c>
      <c r="F47" s="491"/>
      <c r="G47" s="488" t="e">
        <f>T47</f>
        <v>#DIV/0!</v>
      </c>
      <c r="H47" s="489"/>
      <c r="I47" s="490" t="e">
        <f>V47</f>
        <v>#DIV/0!</v>
      </c>
      <c r="J47" s="489"/>
      <c r="K47" s="784"/>
      <c r="L47" s="1146"/>
      <c r="M47" s="1147"/>
      <c r="N47" s="1147"/>
      <c r="O47" s="1147"/>
      <c r="P47" s="3202" t="str">
        <f>A47</f>
        <v>比较价值（元/平方米）</v>
      </c>
      <c r="Q47" s="3202"/>
      <c r="R47" s="3229" t="e">
        <f>ROUND(PRODUCT(R46,AA7:AA45),0)</f>
        <v>#DIV/0!</v>
      </c>
      <c r="S47" s="3229"/>
      <c r="T47" s="3229" t="e">
        <f>ROUND(PRODUCT(T46,AB7:AB45),0)</f>
        <v>#DIV/0!</v>
      </c>
      <c r="U47" s="3229"/>
      <c r="V47" s="3229" t="e">
        <f>ROUND(PRODUCT(V46,AC7:AC45),0)</f>
        <v>#DIV/0!</v>
      </c>
      <c r="W47" s="3229"/>
      <c r="X47" s="759"/>
      <c r="Y47" s="759"/>
      <c r="Z47" s="759"/>
      <c r="AA47" s="759"/>
      <c r="AB47" s="759"/>
      <c r="AC47" s="759"/>
    </row>
    <row r="48" spans="1:29" ht="15.75" thickBot="1">
      <c r="A48" s="492" t="s">
        <v>2760</v>
      </c>
      <c r="B48" s="493"/>
      <c r="C48" s="494" t="e">
        <f>R48</f>
        <v>#DIV/0!</v>
      </c>
      <c r="D48" s="494"/>
      <c r="E48" s="494"/>
      <c r="F48" s="494"/>
      <c r="G48" s="494"/>
      <c r="H48" s="494"/>
      <c r="I48" s="494"/>
      <c r="J48" s="494"/>
      <c r="K48" s="785"/>
      <c r="L48" s="1146"/>
      <c r="M48" s="1147"/>
      <c r="N48" s="1147"/>
      <c r="O48" s="1147"/>
      <c r="P48" s="3199" t="str">
        <f>A48</f>
        <v>估价对象XX用房的比较价值（楼面单价，元/平方米）</v>
      </c>
      <c r="Q48" s="3200"/>
      <c r="R48" s="3230" t="e">
        <f>ROUND(AVERAGE(R47:V47),0)</f>
        <v>#DIV/0!</v>
      </c>
      <c r="S48" s="3230"/>
      <c r="T48" s="3230"/>
      <c r="U48" s="3230"/>
      <c r="V48" s="3230"/>
      <c r="W48" s="3230"/>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2674</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2675</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2676</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2761</v>
      </c>
      <c r="B55" s="685" t="s">
        <v>2762</v>
      </c>
      <c r="C55" s="2712" t="s">
        <v>2763</v>
      </c>
      <c r="D55" s="2713" t="s">
        <v>2764</v>
      </c>
      <c r="E55" s="686" t="s">
        <v>2765</v>
      </c>
      <c r="F55" s="1110" t="s">
        <v>2766</v>
      </c>
      <c r="G55" s="3185" t="s">
        <v>2767</v>
      </c>
      <c r="H55" s="3231"/>
      <c r="I55" s="144" t="s">
        <v>2768</v>
      </c>
      <c r="J55" s="2714">
        <f>项目基本情况!F35</f>
        <v>0</v>
      </c>
      <c r="K55" s="2715" t="s">
        <v>2769</v>
      </c>
      <c r="L55" s="1109"/>
      <c r="M55" s="1147"/>
      <c r="N55" s="1147"/>
      <c r="O55" s="1147"/>
    </row>
    <row r="56" spans="1:15" s="692" customFormat="1">
      <c r="A56" s="688" t="s">
        <v>2770</v>
      </c>
      <c r="B56" s="689" t="e">
        <f>C48</f>
        <v>#DIV/0!</v>
      </c>
      <c r="C56" s="690">
        <v>1</v>
      </c>
      <c r="D56" s="1166">
        <v>1</v>
      </c>
      <c r="E56" s="690">
        <f>'数据-汇总表'!E8+'数据-汇总表'!E9</f>
        <v>43834.770000000004</v>
      </c>
      <c r="F56" s="1106" t="e">
        <f t="shared" ref="F56:F65" si="15">ROUND(B56*E56/10000,0)</f>
        <v>#DIV/0!</v>
      </c>
      <c r="G56" s="3184"/>
      <c r="H56" s="3202"/>
      <c r="I56" s="1111">
        <v>1</v>
      </c>
      <c r="J56" s="1114">
        <v>1</v>
      </c>
      <c r="K56" s="1148"/>
      <c r="L56" s="944"/>
      <c r="M56" s="944"/>
      <c r="N56" s="944"/>
      <c r="O56" s="944"/>
    </row>
    <row r="57" spans="1:15" s="692" customFormat="1">
      <c r="A57" s="693" t="s">
        <v>2771</v>
      </c>
      <c r="B57" s="262" t="e">
        <f>ROUND($C$48*C57*D57,0)</f>
        <v>#DIV/0!</v>
      </c>
      <c r="C57" s="200">
        <f t="shared" ref="C57:C65" si="16">IF($C$55="北京市系数",I57,J57)</f>
        <v>0</v>
      </c>
      <c r="D57" s="1167">
        <v>0.25</v>
      </c>
      <c r="E57" s="694"/>
      <c r="F57" s="1106" t="e">
        <f t="shared" si="15"/>
        <v>#DIV/0!</v>
      </c>
      <c r="G57" s="3232" t="s">
        <v>2772</v>
      </c>
      <c r="H57" s="1107">
        <f>项目基本情况!B37</f>
        <v>0</v>
      </c>
      <c r="I57" s="1111">
        <f>SUMIF(修正!A45:A56,H57,修正!B45:B56)</f>
        <v>0</v>
      </c>
      <c r="J57" s="1115"/>
      <c r="K57" s="1147"/>
      <c r="L57" s="944"/>
      <c r="M57" s="944"/>
      <c r="N57" s="944"/>
      <c r="O57" s="944"/>
    </row>
    <row r="58" spans="1:15" s="692" customFormat="1">
      <c r="A58" s="693" t="s">
        <v>2773</v>
      </c>
      <c r="B58" s="262" t="e">
        <f t="shared" ref="B58:B65" si="17">ROUND($C$48*C58*D58,0)</f>
        <v>#DIV/0!</v>
      </c>
      <c r="C58" s="200">
        <f t="shared" si="16"/>
        <v>0</v>
      </c>
      <c r="D58" s="1167">
        <v>0.25</v>
      </c>
      <c r="E58" s="694"/>
      <c r="F58" s="1106" t="e">
        <f t="shared" si="15"/>
        <v>#DIV/0!</v>
      </c>
      <c r="G58" s="3232"/>
      <c r="H58" s="1107">
        <f>项目基本情况!B37</f>
        <v>0</v>
      </c>
      <c r="I58" s="1111">
        <f>SUMIF(修正!A45:A56,H58,修正!C45:C56)</f>
        <v>0</v>
      </c>
      <c r="J58" s="1115"/>
      <c r="K58" s="1148"/>
      <c r="L58" s="944"/>
      <c r="M58" s="944"/>
      <c r="N58" s="944"/>
      <c r="O58" s="944"/>
    </row>
    <row r="59" spans="1:15" s="692" customFormat="1">
      <c r="A59" s="693" t="s">
        <v>2774</v>
      </c>
      <c r="B59" s="262" t="e">
        <f t="shared" si="17"/>
        <v>#DIV/0!</v>
      </c>
      <c r="C59" s="200">
        <f t="shared" si="16"/>
        <v>0</v>
      </c>
      <c r="D59" s="1167">
        <v>0.25</v>
      </c>
      <c r="E59" s="694"/>
      <c r="F59" s="1106" t="e">
        <f t="shared" si="15"/>
        <v>#DIV/0!</v>
      </c>
      <c r="G59" s="3232"/>
      <c r="H59" s="1107">
        <f>项目基本情况!B37</f>
        <v>0</v>
      </c>
      <c r="I59" s="1111">
        <f>SUMIF(修正!A45:A56,H59,修正!D45:D56)</f>
        <v>0</v>
      </c>
      <c r="J59" s="1115"/>
      <c r="K59" s="1147"/>
      <c r="L59" s="944"/>
      <c r="M59" s="944"/>
      <c r="N59" s="944"/>
      <c r="O59" s="944"/>
    </row>
    <row r="60" spans="1:15" s="692" customFormat="1">
      <c r="A60" s="693" t="s">
        <v>2775</v>
      </c>
      <c r="B60" s="262" t="e">
        <f t="shared" si="17"/>
        <v>#DIV/0!</v>
      </c>
      <c r="C60" s="200">
        <f t="shared" si="16"/>
        <v>0</v>
      </c>
      <c r="D60" s="1167">
        <v>0.25</v>
      </c>
      <c r="E60" s="694"/>
      <c r="F60" s="1106" t="e">
        <f t="shared" si="15"/>
        <v>#DIV/0!</v>
      </c>
      <c r="G60" s="3232"/>
      <c r="H60" s="1107">
        <f>项目基本情况!B37</f>
        <v>0</v>
      </c>
      <c r="I60" s="1111">
        <f>SUMIF(修正!A45:A56,H60,修正!E45:E56)</f>
        <v>0</v>
      </c>
      <c r="J60" s="1115"/>
      <c r="K60" s="1148"/>
      <c r="L60" s="944"/>
      <c r="M60" s="944"/>
      <c r="N60" s="944"/>
      <c r="O60" s="944"/>
    </row>
    <row r="61" spans="1:15" s="692" customFormat="1">
      <c r="A61" s="693" t="s">
        <v>2776</v>
      </c>
      <c r="B61" s="262" t="e">
        <f t="shared" si="17"/>
        <v>#DIV/0!</v>
      </c>
      <c r="C61" s="200">
        <f t="shared" si="16"/>
        <v>0</v>
      </c>
      <c r="D61" s="1167">
        <v>0.25</v>
      </c>
      <c r="E61" s="261">
        <f>'数据-汇总表'!E11</f>
        <v>0</v>
      </c>
      <c r="F61" s="1106" t="e">
        <f t="shared" si="15"/>
        <v>#DIV/0!</v>
      </c>
      <c r="G61" s="2716" t="s">
        <v>2777</v>
      </c>
      <c r="H61" s="1107">
        <f>项目基本情况!C37</f>
        <v>0</v>
      </c>
      <c r="I61" s="1111">
        <f>SUMIF(修正!A45:A56,H61,修正!F45:F56)</f>
        <v>0</v>
      </c>
      <c r="J61" s="1115"/>
      <c r="K61" s="1147"/>
      <c r="L61" s="944"/>
      <c r="M61" s="944"/>
      <c r="N61" s="944"/>
      <c r="O61" s="944"/>
    </row>
    <row r="62" spans="1:15" s="692" customFormat="1">
      <c r="A62" s="693" t="s">
        <v>2778</v>
      </c>
      <c r="B62" s="262" t="e">
        <f t="shared" si="17"/>
        <v>#DIV/0!</v>
      </c>
      <c r="C62" s="200">
        <f t="shared" si="16"/>
        <v>0</v>
      </c>
      <c r="D62" s="1167">
        <v>0.25</v>
      </c>
      <c r="E62" s="261">
        <f>'数据-汇总表'!E12</f>
        <v>0</v>
      </c>
      <c r="F62" s="1106" t="e">
        <f t="shared" si="15"/>
        <v>#DIV/0!</v>
      </c>
      <c r="G62" s="1112" t="s">
        <v>2779</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2780</v>
      </c>
      <c r="B63" s="262" t="e">
        <f t="shared" si="17"/>
        <v>#DIV/0!</v>
      </c>
      <c r="C63" s="200">
        <f t="shared" si="16"/>
        <v>0.2</v>
      </c>
      <c r="D63" s="1167">
        <v>0.25</v>
      </c>
      <c r="E63" s="261">
        <f>'数据-汇总表'!E13</f>
        <v>13844.9</v>
      </c>
      <c r="F63" s="1106" t="e">
        <f t="shared" si="15"/>
        <v>#DIV/0!</v>
      </c>
      <c r="G63" s="1112" t="s">
        <v>2781</v>
      </c>
      <c r="H63" s="1107" t="str">
        <f>IF(G63="商业",项目基本情况!B37,IF(G63="办公",项目基本情况!C37,IF(G63="住宅",项目基本情况!D37,项目基本情况!E37)))</f>
        <v>五级</v>
      </c>
      <c r="I63" s="1111">
        <f>SUMIF(修正!A45:A56,H63,修正!H45:H56)</f>
        <v>0.2</v>
      </c>
      <c r="J63" s="1115"/>
      <c r="K63" s="1147"/>
      <c r="L63" s="944"/>
      <c r="M63" s="944"/>
      <c r="N63" s="944"/>
      <c r="O63" s="944"/>
    </row>
    <row r="64" spans="1:15" s="692" customFormat="1">
      <c r="A64" s="693" t="s">
        <v>2782</v>
      </c>
      <c r="B64" s="262" t="e">
        <f t="shared" si="17"/>
        <v>#DIV/0!</v>
      </c>
      <c r="C64" s="200">
        <f t="shared" si="16"/>
        <v>0</v>
      </c>
      <c r="D64" s="1167">
        <v>0.25</v>
      </c>
      <c r="E64" s="261">
        <f>'数据-汇总表'!E14</f>
        <v>0</v>
      </c>
      <c r="F64" s="1106" t="e">
        <f t="shared" si="15"/>
        <v>#DIV/0!</v>
      </c>
      <c r="G64" s="2716" t="s">
        <v>2772</v>
      </c>
      <c r="H64" s="1107">
        <f>项目基本情况!B37</f>
        <v>0</v>
      </c>
      <c r="I64" s="1111">
        <f>SUMIF(修正!A45:A56,H64,修正!H45:H56)</f>
        <v>0</v>
      </c>
      <c r="J64" s="1115"/>
      <c r="K64" s="1148"/>
      <c r="L64" s="944"/>
      <c r="M64" s="944"/>
      <c r="N64" s="944"/>
      <c r="O64" s="944"/>
    </row>
    <row r="65" spans="1:17" s="692" customFormat="1" ht="15" thickBot="1">
      <c r="A65" s="693" t="s">
        <v>2783</v>
      </c>
      <c r="B65" s="262" t="e">
        <f t="shared" si="17"/>
        <v>#DIV/0!</v>
      </c>
      <c r="C65" s="200">
        <f t="shared" si="16"/>
        <v>0</v>
      </c>
      <c r="D65" s="1167">
        <v>0.25</v>
      </c>
      <c r="E65" s="261">
        <f>'数据-汇总表'!E15</f>
        <v>0</v>
      </c>
      <c r="F65" s="1106" t="e">
        <f t="shared" si="15"/>
        <v>#DIV/0!</v>
      </c>
      <c r="G65" s="2717" t="s">
        <v>2777</v>
      </c>
      <c r="H65" s="1117">
        <f>项目基本情况!C37</f>
        <v>0</v>
      </c>
      <c r="I65" s="1113">
        <f>SUMIF(修正!A45:A56,H65,修正!H45:H56)</f>
        <v>0</v>
      </c>
      <c r="J65" s="1116"/>
      <c r="K65" s="1147"/>
      <c r="L65" s="944"/>
      <c r="M65" s="944"/>
      <c r="N65" s="944"/>
      <c r="O65" s="944"/>
    </row>
    <row r="66" spans="1:17" s="692" customFormat="1" ht="13.5" thickBot="1">
      <c r="A66" s="695" t="s">
        <v>2784</v>
      </c>
      <c r="B66" s="696" t="s">
        <v>28</v>
      </c>
      <c r="C66" s="696" t="s">
        <v>29</v>
      </c>
      <c r="D66" s="696" t="s">
        <v>1029</v>
      </c>
      <c r="E66" s="696">
        <f>IF(B46="楼面地价",SUM(E56:E65),'数据-汇总表'!D3)</f>
        <v>57679.670000000006</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2018-11-1</v>
      </c>
      <c r="D68" s="761">
        <f>EDATE(C68,-3)</f>
        <v>43313</v>
      </c>
      <c r="E68" s="761">
        <f>EDATE(D68,-3)</f>
        <v>43221</v>
      </c>
      <c r="F68" s="761">
        <f t="shared" ref="F68:O68" si="18">EDATE(E68,-3)</f>
        <v>43132</v>
      </c>
      <c r="G68" s="761">
        <f t="shared" si="18"/>
        <v>43040</v>
      </c>
      <c r="H68" s="761">
        <f t="shared" si="18"/>
        <v>42948</v>
      </c>
      <c r="I68" s="761">
        <f t="shared" si="18"/>
        <v>42856</v>
      </c>
      <c r="J68" s="761">
        <f t="shared" si="18"/>
        <v>42767</v>
      </c>
      <c r="K68" s="761">
        <f t="shared" si="18"/>
        <v>42675</v>
      </c>
      <c r="L68" s="761">
        <f t="shared" si="18"/>
        <v>42583</v>
      </c>
      <c r="M68" s="761">
        <f t="shared" si="18"/>
        <v>42491</v>
      </c>
      <c r="N68" s="761">
        <f t="shared" si="18"/>
        <v>42401</v>
      </c>
      <c r="O68" s="761">
        <f t="shared" si="18"/>
        <v>42309</v>
      </c>
    </row>
    <row r="69" spans="1:17" ht="21.75" thickBot="1">
      <c r="A69" s="763" t="s">
        <v>2677</v>
      </c>
      <c r="B69" s="759"/>
      <c r="C69" s="764"/>
      <c r="D69" s="764"/>
      <c r="E69" s="764"/>
      <c r="F69" s="765"/>
      <c r="G69" s="765"/>
      <c r="H69" s="764"/>
      <c r="I69" s="764"/>
      <c r="J69" s="1162"/>
      <c r="K69" s="1163"/>
      <c r="L69" s="1164"/>
      <c r="M69" s="1162"/>
      <c r="N69" s="1162"/>
      <c r="O69" s="1162"/>
      <c r="P69" s="503"/>
      <c r="Q69" s="504"/>
    </row>
    <row r="70" spans="1:17" s="508" customFormat="1" ht="15">
      <c r="A70" s="2718" t="s">
        <v>2785</v>
      </c>
      <c r="B70" s="1362"/>
      <c r="C70" s="1575" t="str">
        <f>YEAR(C68)&amp;"-"&amp;ROUNDUP(MONTH(C68)/3,0)</f>
        <v>2018-4</v>
      </c>
      <c r="D70" s="1575" t="str">
        <f>YEAR(D68)&amp;"-"&amp;ROUNDUP(MONTH(D68)/3,0)</f>
        <v>2018-3</v>
      </c>
      <c r="E70" s="1575" t="str">
        <f t="shared" ref="E70:O70" si="19">YEAR(E68)&amp;"-"&amp;ROUNDUP(MONTH(E68)/3,0)</f>
        <v>2018-2</v>
      </c>
      <c r="F70" s="1575" t="str">
        <f t="shared" si="19"/>
        <v>2018-1</v>
      </c>
      <c r="G70" s="1575" t="str">
        <f t="shared" si="19"/>
        <v>2017-4</v>
      </c>
      <c r="H70" s="1575" t="str">
        <f t="shared" si="19"/>
        <v>2017-3</v>
      </c>
      <c r="I70" s="1575" t="str">
        <f t="shared" si="19"/>
        <v>2017-2</v>
      </c>
      <c r="J70" s="1575" t="str">
        <f t="shared" si="19"/>
        <v>2017-1</v>
      </c>
      <c r="K70" s="1575" t="str">
        <f t="shared" si="19"/>
        <v>2016-4</v>
      </c>
      <c r="L70" s="1575" t="str">
        <f t="shared" si="19"/>
        <v>2016-3</v>
      </c>
      <c r="M70" s="1575" t="str">
        <f t="shared" si="19"/>
        <v>2016-2</v>
      </c>
      <c r="N70" s="1575" t="str">
        <f t="shared" si="19"/>
        <v>2016-1</v>
      </c>
      <c r="O70" s="1575" t="str">
        <f t="shared" si="19"/>
        <v>2015-4</v>
      </c>
      <c r="P70" s="507"/>
    </row>
    <row r="71" spans="1:17" s="117" customFormat="1" ht="30" customHeight="1">
      <c r="A71" s="2719" t="s">
        <v>2786</v>
      </c>
      <c r="B71" s="332" t="str">
        <f>"北京市平均增长率"&amp;TEXT(SUMIF(基准地价修正!N21:N25,A71,基准地价修正!P21:P25),"0.00%")</f>
        <v>北京市平均增长率2.41%</v>
      </c>
      <c r="C71" s="603">
        <v>100</v>
      </c>
      <c r="D71" s="595"/>
      <c r="E71" s="595"/>
      <c r="F71" s="595"/>
      <c r="G71" s="595"/>
      <c r="H71" s="595"/>
      <c r="I71" s="595"/>
      <c r="J71" s="595"/>
      <c r="K71" s="595"/>
      <c r="L71" s="595"/>
      <c r="M71" s="1570"/>
      <c r="N71" s="595"/>
      <c r="O71" s="1571"/>
      <c r="P71" s="504"/>
    </row>
    <row r="72" spans="1:17" s="117" customFormat="1" ht="15.75" thickBot="1">
      <c r="A72" s="515" t="s">
        <v>2588</v>
      </c>
      <c r="B72" s="516"/>
      <c r="C72" s="517"/>
      <c r="D72" s="518"/>
      <c r="E72" s="518"/>
      <c r="F72" s="518"/>
      <c r="G72" s="518"/>
      <c r="H72" s="518"/>
      <c r="I72" s="518"/>
      <c r="J72" s="518"/>
      <c r="K72" s="518"/>
      <c r="L72" s="518"/>
      <c r="M72" s="519"/>
      <c r="N72" s="518"/>
      <c r="O72" s="1165"/>
      <c r="P72" s="504"/>
      <c r="Q72" s="504"/>
    </row>
    <row r="73" spans="1:17" s="117" customFormat="1" ht="15">
      <c r="A73" s="521" t="s">
        <v>2553</v>
      </c>
      <c r="B73" s="510"/>
      <c r="C73" s="522" t="s">
        <v>2655</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2591</v>
      </c>
      <c r="B75" s="528" t="s">
        <v>2557</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2560</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2561</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2562</v>
      </c>
      <c r="B88" s="528" t="s">
        <v>2599</v>
      </c>
      <c r="C88" s="573" t="s">
        <v>2600</v>
      </c>
      <c r="D88" s="573" t="s">
        <v>2601</v>
      </c>
      <c r="E88" s="573" t="s">
        <v>2602</v>
      </c>
      <c r="F88" s="573" t="s">
        <v>2603</v>
      </c>
      <c r="G88" s="573" t="s">
        <v>2604</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2787</v>
      </c>
      <c r="C90" s="578" t="s">
        <v>2600</v>
      </c>
      <c r="D90" s="578" t="s">
        <v>2601</v>
      </c>
      <c r="E90" s="578" t="s">
        <v>2602</v>
      </c>
      <c r="F90" s="578" t="s">
        <v>2603</v>
      </c>
      <c r="G90" s="578" t="s">
        <v>2604</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2700</v>
      </c>
      <c r="C92" s="578" t="s">
        <v>2600</v>
      </c>
      <c r="D92" s="578" t="s">
        <v>2601</v>
      </c>
      <c r="E92" s="578" t="s">
        <v>2602</v>
      </c>
      <c r="F92" s="578" t="s">
        <v>2603</v>
      </c>
      <c r="G92" s="578" t="s">
        <v>2604</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2605</v>
      </c>
      <c r="C94" s="578" t="s">
        <v>2600</v>
      </c>
      <c r="D94" s="578" t="s">
        <v>2601</v>
      </c>
      <c r="E94" s="578" t="s">
        <v>2602</v>
      </c>
      <c r="F94" s="578" t="s">
        <v>2603</v>
      </c>
      <c r="G94" s="578" t="s">
        <v>2604</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2788</v>
      </c>
      <c r="C96" s="578" t="s">
        <v>2600</v>
      </c>
      <c r="D96" s="578" t="s">
        <v>2601</v>
      </c>
      <c r="E96" s="578" t="s">
        <v>2602</v>
      </c>
      <c r="F96" s="578" t="s">
        <v>2603</v>
      </c>
      <c r="G96" s="578" t="s">
        <v>2604</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2789</v>
      </c>
      <c r="C98" s="573" t="s">
        <v>2600</v>
      </c>
      <c r="D98" s="573" t="s">
        <v>2601</v>
      </c>
      <c r="E98" s="573" t="s">
        <v>2602</v>
      </c>
      <c r="F98" s="573" t="s">
        <v>2603</v>
      </c>
      <c r="G98" s="573" t="s">
        <v>2604</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2657</v>
      </c>
      <c r="C100" s="573" t="s">
        <v>2600</v>
      </c>
      <c r="D100" s="573" t="s">
        <v>2601</v>
      </c>
      <c r="E100" s="573" t="s">
        <v>2602</v>
      </c>
      <c r="F100" s="573" t="s">
        <v>2603</v>
      </c>
      <c r="G100" s="573" t="s">
        <v>2604</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2658</v>
      </c>
      <c r="C102" s="660" t="s">
        <v>2678</v>
      </c>
      <c r="D102" s="660" t="s">
        <v>2679</v>
      </c>
      <c r="E102" s="660" t="s">
        <v>2680</v>
      </c>
      <c r="F102" s="660" t="s">
        <v>2681</v>
      </c>
      <c r="G102" s="660" t="s">
        <v>2682</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2790</v>
      </c>
      <c r="D104" s="539" t="s">
        <v>2791</v>
      </c>
      <c r="E104" s="539" t="s">
        <v>2792</v>
      </c>
      <c r="F104" s="539" t="s">
        <v>2793</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2694</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2753</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2566</v>
      </c>
      <c r="B116" s="528" t="s">
        <v>2794</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2795</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2796</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2797</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2798</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2747</v>
      </c>
      <c r="B1" s="395"/>
      <c r="C1" s="396" t="s">
        <v>2799</v>
      </c>
      <c r="D1" s="755"/>
      <c r="E1" s="755"/>
      <c r="F1" s="754" t="s">
        <v>2646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2330</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ROUND(IF(D3="",B2*10000/'数据-汇总表'!E3,B2*10000/D3),0)</f>
        <v>#DIV/0!</v>
      </c>
      <c r="C3" s="247" t="s">
        <v>2749</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2648</v>
      </c>
      <c r="B4" s="402"/>
      <c r="C4" s="3185" t="s">
        <v>2649</v>
      </c>
      <c r="D4" s="3186"/>
      <c r="E4" s="3187" t="s">
        <v>2650</v>
      </c>
      <c r="F4" s="3188"/>
      <c r="G4" s="3185" t="s">
        <v>2651</v>
      </c>
      <c r="H4" s="3186"/>
      <c r="I4" s="3185" t="s">
        <v>2652</v>
      </c>
      <c r="J4" s="3186"/>
      <c r="K4" s="610" t="s">
        <v>2653</v>
      </c>
      <c r="L4" s="1133"/>
      <c r="M4" s="1134"/>
      <c r="N4" s="1134"/>
      <c r="O4" s="1134"/>
      <c r="P4" s="3189" t="s">
        <v>2654</v>
      </c>
      <c r="Q4" s="3190"/>
      <c r="R4" s="3172" t="s">
        <v>2650</v>
      </c>
      <c r="S4" s="3173"/>
      <c r="T4" s="3172" t="s">
        <v>2651</v>
      </c>
      <c r="U4" s="3173"/>
      <c r="V4" s="3197" t="s">
        <v>2652</v>
      </c>
      <c r="W4" s="3197"/>
      <c r="X4" s="1816"/>
      <c r="Y4" s="3172" t="s">
        <v>2654</v>
      </c>
      <c r="Z4" s="3173"/>
      <c r="AA4" s="3167" t="s">
        <v>2650</v>
      </c>
      <c r="AB4" s="3168" t="s">
        <v>2651</v>
      </c>
      <c r="AC4" s="3167" t="s">
        <v>2652</v>
      </c>
    </row>
    <row r="5" spans="1:29" ht="15">
      <c r="A5" s="404"/>
      <c r="B5" s="405"/>
      <c r="C5" s="3178" t="s">
        <v>2545</v>
      </c>
      <c r="D5" s="3179"/>
      <c r="E5" s="3176" t="s">
        <v>2546</v>
      </c>
      <c r="F5" s="3177"/>
      <c r="G5" s="3178" t="s">
        <v>2547</v>
      </c>
      <c r="H5" s="3179"/>
      <c r="I5" s="3178" t="s">
        <v>2548</v>
      </c>
      <c r="J5" s="3179"/>
      <c r="K5" s="610"/>
      <c r="L5" s="1133"/>
      <c r="M5" s="1134"/>
      <c r="N5" s="1134"/>
      <c r="O5" s="1134"/>
      <c r="P5" s="3191"/>
      <c r="Q5" s="3192"/>
      <c r="R5" s="3174"/>
      <c r="S5" s="3175"/>
      <c r="T5" s="3174"/>
      <c r="U5" s="3175"/>
      <c r="V5" s="3197"/>
      <c r="W5" s="3197"/>
      <c r="X5" s="1816"/>
      <c r="Y5" s="3174"/>
      <c r="Z5" s="3175"/>
      <c r="AA5" s="3168"/>
      <c r="AB5" s="3168"/>
      <c r="AC5" s="3168"/>
    </row>
    <row r="6" spans="1:29" ht="15.75" thickBot="1">
      <c r="A6" s="406"/>
      <c r="B6" s="407"/>
      <c r="C6" s="3233" t="s">
        <v>2800</v>
      </c>
      <c r="D6" s="3234"/>
      <c r="E6" s="3235" t="s">
        <v>2800</v>
      </c>
      <c r="F6" s="3236"/>
      <c r="G6" s="3233" t="s">
        <v>2800</v>
      </c>
      <c r="H6" s="3234"/>
      <c r="I6" s="3233" t="s">
        <v>2800</v>
      </c>
      <c r="J6" s="3234"/>
      <c r="K6" s="610" t="s">
        <v>2550</v>
      </c>
      <c r="L6" s="1133"/>
      <c r="M6" s="1134"/>
      <c r="N6" s="1134"/>
      <c r="O6" s="1134"/>
      <c r="P6" s="3193"/>
      <c r="Q6" s="3194"/>
      <c r="R6" s="3174"/>
      <c r="S6" s="3175"/>
      <c r="T6" s="3195"/>
      <c r="U6" s="3196"/>
      <c r="V6" s="3197"/>
      <c r="W6" s="3197"/>
      <c r="X6" s="1816"/>
      <c r="Y6" s="3195"/>
      <c r="Z6" s="3196"/>
      <c r="AA6" s="3169"/>
      <c r="AB6" s="3169"/>
      <c r="AC6" s="3169"/>
    </row>
    <row r="7" spans="1:29" s="117" customFormat="1" ht="15.75" thickBot="1">
      <c r="A7" s="408" t="s">
        <v>2551</v>
      </c>
      <c r="B7" s="409"/>
      <c r="C7" s="410">
        <f>'数据-取费表'!B2</f>
        <v>43423</v>
      </c>
      <c r="D7" s="411">
        <v>100</v>
      </c>
      <c r="E7" s="412"/>
      <c r="F7" s="413">
        <f>SUMIF(65:65,YEAR(E7)&amp;"-"&amp;INT((MONTH(E7)+2)/3),66:66)</f>
        <v>0</v>
      </c>
      <c r="G7" s="2703"/>
      <c r="H7" s="411">
        <f>SUMIF(65:65,YEAR(G7)&amp;"-"&amp;INT((MONTH(G7)+2)/3),66:66)</f>
        <v>0</v>
      </c>
      <c r="I7" s="2703"/>
      <c r="J7" s="411">
        <f>SUMIF(65:65,YEAR(I7)&amp;"-"&amp;INT((MONTH(I7)+2)/3),66:66)</f>
        <v>0</v>
      </c>
      <c r="K7" s="611"/>
      <c r="L7" s="1135"/>
      <c r="M7" s="1136"/>
      <c r="N7" s="1136"/>
      <c r="O7" s="1136"/>
      <c r="P7" s="3170" t="s">
        <v>2552</v>
      </c>
      <c r="Q7" s="3198"/>
      <c r="R7" s="770" t="s">
        <v>17</v>
      </c>
      <c r="S7" s="771">
        <f t="shared" ref="S7:S15" si="0">F7</f>
        <v>0</v>
      </c>
      <c r="T7" s="770" t="s">
        <v>17</v>
      </c>
      <c r="U7" s="771">
        <f t="shared" ref="U7:U15" si="1">H7</f>
        <v>0</v>
      </c>
      <c r="V7" s="770" t="s">
        <v>17</v>
      </c>
      <c r="W7" s="771">
        <f t="shared" ref="W7:W15" si="2">J7</f>
        <v>0</v>
      </c>
      <c r="X7" s="772"/>
      <c r="Y7" s="3170" t="s">
        <v>2552</v>
      </c>
      <c r="Z7" s="3171"/>
      <c r="AA7" s="773" t="e">
        <f>D7/F7</f>
        <v>#DIV/0!</v>
      </c>
      <c r="AB7" s="773" t="e">
        <f>D7/H7</f>
        <v>#DIV/0!</v>
      </c>
      <c r="AC7" s="773" t="e">
        <f>D7/J7</f>
        <v>#DIV/0!</v>
      </c>
    </row>
    <row r="8" spans="1:29" s="117" customFormat="1" ht="15.75" thickBot="1">
      <c r="A8" s="408" t="s">
        <v>2553</v>
      </c>
      <c r="B8" s="409"/>
      <c r="C8" s="414" t="s">
        <v>2554</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70" t="s">
        <v>2555</v>
      </c>
      <c r="Q8" s="3171"/>
      <c r="R8" s="770" t="s">
        <v>17</v>
      </c>
      <c r="S8" s="771">
        <f t="shared" si="0"/>
        <v>0</v>
      </c>
      <c r="T8" s="770" t="s">
        <v>17</v>
      </c>
      <c r="U8" s="771">
        <f t="shared" si="1"/>
        <v>0</v>
      </c>
      <c r="V8" s="770" t="s">
        <v>17</v>
      </c>
      <c r="W8" s="771">
        <f t="shared" si="2"/>
        <v>0</v>
      </c>
      <c r="X8" s="772"/>
      <c r="Y8" s="3170" t="s">
        <v>2555</v>
      </c>
      <c r="Z8" s="3171"/>
      <c r="AA8" s="773" t="e">
        <f t="shared" ref="AA8:AA40" si="3">D8/F8</f>
        <v>#DIV/0!</v>
      </c>
      <c r="AB8" s="773" t="e">
        <f t="shared" ref="AB8:AB40" si="4">D8/H8</f>
        <v>#DIV/0!</v>
      </c>
      <c r="AC8" s="773" t="e">
        <f t="shared" ref="AC8:AC40" si="5">D8/J8</f>
        <v>#DIV/0!</v>
      </c>
    </row>
    <row r="9" spans="1:29" s="117" customFormat="1">
      <c r="A9" s="415" t="s">
        <v>2556</v>
      </c>
      <c r="B9" s="71" t="s">
        <v>2557</v>
      </c>
      <c r="C9" s="2706"/>
      <c r="D9" s="135">
        <v>100</v>
      </c>
      <c r="E9" s="2706"/>
      <c r="F9" s="135">
        <f>SUMIF(70:70,E9,71:71)-SUMIF(70:70,C9,71:71)+100</f>
        <v>100</v>
      </c>
      <c r="G9" s="2706"/>
      <c r="H9" s="135">
        <f>SUMIF(70:70,G9,71:71)-SUMIF(70:70,C9,71:71)+100</f>
        <v>100</v>
      </c>
      <c r="I9" s="2706"/>
      <c r="J9" s="135">
        <f>SUMIF(70:70,I9,71:71)-SUMIF(70:70,C9,71:71)+100</f>
        <v>100</v>
      </c>
      <c r="K9" s="611"/>
      <c r="L9" s="1135"/>
      <c r="M9" s="1136"/>
      <c r="N9" s="1136"/>
      <c r="O9" s="1137"/>
      <c r="P9" s="3202" t="s">
        <v>2558</v>
      </c>
      <c r="Q9" s="1798" t="str">
        <f t="shared" ref="Q9:Q15" si="6">B9</f>
        <v>用途</v>
      </c>
      <c r="R9" s="770" t="s">
        <v>17</v>
      </c>
      <c r="S9" s="771">
        <f t="shared" si="0"/>
        <v>100</v>
      </c>
      <c r="T9" s="770" t="s">
        <v>17</v>
      </c>
      <c r="U9" s="771">
        <f t="shared" si="1"/>
        <v>100</v>
      </c>
      <c r="V9" s="770" t="s">
        <v>17</v>
      </c>
      <c r="W9" s="771">
        <f t="shared" si="2"/>
        <v>100</v>
      </c>
      <c r="X9" s="772"/>
      <c r="Y9" s="3017" t="s">
        <v>2559</v>
      </c>
      <c r="Z9" s="55" t="str">
        <f t="shared" ref="Z9:Z15" si="7">Q9</f>
        <v>用途</v>
      </c>
      <c r="AA9" s="773">
        <f t="shared" si="3"/>
        <v>1</v>
      </c>
      <c r="AB9" s="773">
        <f t="shared" si="4"/>
        <v>1</v>
      </c>
      <c r="AC9" s="773">
        <f t="shared" si="5"/>
        <v>1</v>
      </c>
    </row>
    <row r="10" spans="1:29" s="427" customFormat="1" ht="27">
      <c r="A10" s="421"/>
      <c r="B10" s="422" t="s">
        <v>2560</v>
      </c>
      <c r="C10" s="432"/>
      <c r="D10" s="136">
        <v>100</v>
      </c>
      <c r="E10" s="432"/>
      <c r="F10" s="136">
        <f>ROUND(100/'数据-取费表'!G16,0)</f>
        <v>104</v>
      </c>
      <c r="G10" s="432"/>
      <c r="H10" s="136">
        <f>ROUND(100/'数据-取费表'!G16,0)</f>
        <v>104</v>
      </c>
      <c r="I10" s="432"/>
      <c r="J10" s="136">
        <f>ROUND(100/'数据-取费表'!G16,0)</f>
        <v>104</v>
      </c>
      <c r="K10" s="672"/>
      <c r="L10" s="1138"/>
      <c r="M10" s="1139"/>
      <c r="N10" s="1139"/>
      <c r="O10" s="1140"/>
      <c r="P10" s="3202"/>
      <c r="Q10" s="1798" t="str">
        <f t="shared" si="6"/>
        <v>土地使用年限（年）</v>
      </c>
      <c r="R10" s="770" t="s">
        <v>17</v>
      </c>
      <c r="S10" s="771">
        <f t="shared" si="0"/>
        <v>104</v>
      </c>
      <c r="T10" s="770" t="s">
        <v>17</v>
      </c>
      <c r="U10" s="771">
        <f t="shared" si="1"/>
        <v>104</v>
      </c>
      <c r="V10" s="770" t="s">
        <v>17</v>
      </c>
      <c r="W10" s="771">
        <f t="shared" si="2"/>
        <v>104</v>
      </c>
      <c r="X10" s="772"/>
      <c r="Y10" s="3017"/>
      <c r="Z10" s="55" t="str">
        <f t="shared" si="7"/>
        <v>土地使用年限（年）</v>
      </c>
      <c r="AA10" s="773">
        <f t="shared" si="3"/>
        <v>0.96153846153846156</v>
      </c>
      <c r="AB10" s="773">
        <f t="shared" si="4"/>
        <v>0.96153846153846156</v>
      </c>
      <c r="AC10" s="773">
        <f t="shared" si="5"/>
        <v>0.96153846153846156</v>
      </c>
    </row>
    <row r="11" spans="1:29" ht="15">
      <c r="A11" s="428"/>
      <c r="B11" s="422" t="s">
        <v>2561</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02"/>
      <c r="Q11" s="1798" t="str">
        <f t="shared" si="6"/>
        <v>容积率</v>
      </c>
      <c r="R11" s="770" t="s">
        <v>17</v>
      </c>
      <c r="S11" s="771" t="e">
        <f t="shared" si="0"/>
        <v>#N/A</v>
      </c>
      <c r="T11" s="770" t="s">
        <v>17</v>
      </c>
      <c r="U11" s="771" t="e">
        <f t="shared" si="1"/>
        <v>#N/A</v>
      </c>
      <c r="V11" s="770" t="s">
        <v>17</v>
      </c>
      <c r="W11" s="771" t="e">
        <f t="shared" si="2"/>
        <v>#N/A</v>
      </c>
      <c r="X11" s="772"/>
      <c r="Y11" s="3017"/>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02"/>
      <c r="Q12" s="1798">
        <f t="shared" si="6"/>
        <v>111</v>
      </c>
      <c r="R12" s="770" t="s">
        <v>17</v>
      </c>
      <c r="S12" s="771">
        <f t="shared" si="0"/>
        <v>100</v>
      </c>
      <c r="T12" s="770" t="s">
        <v>17</v>
      </c>
      <c r="U12" s="771">
        <f t="shared" si="1"/>
        <v>100</v>
      </c>
      <c r="V12" s="770" t="s">
        <v>17</v>
      </c>
      <c r="W12" s="771">
        <f t="shared" si="2"/>
        <v>100</v>
      </c>
      <c r="X12" s="772"/>
      <c r="Y12" s="3017"/>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02"/>
      <c r="Q13" s="1798">
        <f t="shared" si="6"/>
        <v>111</v>
      </c>
      <c r="R13" s="770" t="s">
        <v>17</v>
      </c>
      <c r="S13" s="771">
        <f t="shared" si="0"/>
        <v>100</v>
      </c>
      <c r="T13" s="770" t="s">
        <v>17</v>
      </c>
      <c r="U13" s="771">
        <f t="shared" si="1"/>
        <v>100</v>
      </c>
      <c r="V13" s="770" t="s">
        <v>17</v>
      </c>
      <c r="W13" s="771">
        <f t="shared" si="2"/>
        <v>100</v>
      </c>
      <c r="X13" s="772"/>
      <c r="Y13" s="3017"/>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02"/>
      <c r="Q14" s="1798">
        <f t="shared" si="6"/>
        <v>111</v>
      </c>
      <c r="R14" s="770" t="s">
        <v>17</v>
      </c>
      <c r="S14" s="771">
        <f t="shared" si="0"/>
        <v>100</v>
      </c>
      <c r="T14" s="770" t="s">
        <v>17</v>
      </c>
      <c r="U14" s="771">
        <f t="shared" si="1"/>
        <v>100</v>
      </c>
      <c r="V14" s="770" t="s">
        <v>17</v>
      </c>
      <c r="W14" s="771">
        <f t="shared" si="2"/>
        <v>100</v>
      </c>
      <c r="X14" s="772"/>
      <c r="Y14" s="3017"/>
      <c r="Z14" s="55">
        <f t="shared" si="7"/>
        <v>111</v>
      </c>
      <c r="AA14" s="773">
        <f t="shared" si="3"/>
        <v>1</v>
      </c>
      <c r="AB14" s="773">
        <f t="shared" si="4"/>
        <v>1</v>
      </c>
      <c r="AC14" s="773">
        <f t="shared" si="5"/>
        <v>1</v>
      </c>
    </row>
    <row r="15" spans="1:29" ht="57">
      <c r="A15" s="440" t="s">
        <v>2562</v>
      </c>
      <c r="B15" s="629" t="s">
        <v>2801</v>
      </c>
      <c r="C15" s="270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04" t="s">
        <v>2563</v>
      </c>
      <c r="Q15" s="1813" t="str">
        <f t="shared" si="6"/>
        <v>产业集聚程度</v>
      </c>
      <c r="R15" s="774" t="s">
        <v>17</v>
      </c>
      <c r="S15" s="775">
        <f t="shared" si="0"/>
        <v>100</v>
      </c>
      <c r="T15" s="774" t="s">
        <v>17</v>
      </c>
      <c r="U15" s="775">
        <f t="shared" si="1"/>
        <v>100</v>
      </c>
      <c r="V15" s="774" t="s">
        <v>17</v>
      </c>
      <c r="W15" s="775">
        <f t="shared" si="2"/>
        <v>100</v>
      </c>
      <c r="X15" s="1816"/>
      <c r="Y15" s="3204" t="s">
        <v>2563</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205"/>
      <c r="Q16" s="1813"/>
      <c r="R16" s="774"/>
      <c r="S16" s="775"/>
      <c r="T16" s="774"/>
      <c r="U16" s="775"/>
      <c r="V16" s="774"/>
      <c r="W16" s="775"/>
      <c r="X16" s="1816"/>
      <c r="Y16" s="3205"/>
      <c r="Z16" s="1817"/>
      <c r="AA16" s="1814">
        <v>1</v>
      </c>
      <c r="AB16" s="1814">
        <v>1</v>
      </c>
      <c r="AC16" s="1814">
        <v>1</v>
      </c>
    </row>
    <row r="17" spans="1:29" ht="85.5">
      <c r="A17" s="428"/>
      <c r="B17" s="631" t="s">
        <v>2712</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05"/>
      <c r="Q17" s="1813" t="str">
        <f>B17</f>
        <v>交通便捷度</v>
      </c>
      <c r="R17" s="774" t="s">
        <v>17</v>
      </c>
      <c r="S17" s="775">
        <f>F17</f>
        <v>100</v>
      </c>
      <c r="T17" s="774" t="s">
        <v>17</v>
      </c>
      <c r="U17" s="775">
        <f>H17</f>
        <v>100</v>
      </c>
      <c r="V17" s="774" t="s">
        <v>17</v>
      </c>
      <c r="W17" s="775">
        <f>J17</f>
        <v>100</v>
      </c>
      <c r="X17" s="1816"/>
      <c r="Y17" s="3205"/>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205"/>
      <c r="Q18" s="1813"/>
      <c r="R18" s="774"/>
      <c r="S18" s="775"/>
      <c r="T18" s="774"/>
      <c r="U18" s="775"/>
      <c r="V18" s="774"/>
      <c r="W18" s="775"/>
      <c r="X18" s="1816"/>
      <c r="Y18" s="3205"/>
      <c r="Z18" s="1817"/>
      <c r="AA18" s="1814">
        <v>1</v>
      </c>
      <c r="AB18" s="1814">
        <v>1</v>
      </c>
      <c r="AC18" s="1814">
        <v>1</v>
      </c>
    </row>
    <row r="19" spans="1:29" ht="15">
      <c r="A19" s="428"/>
      <c r="B19" s="631" t="s">
        <v>2751</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05"/>
      <c r="Q19" s="1813" t="str">
        <f t="shared" ref="Q19:Q33" si="8">B19</f>
        <v>区域土地利用方向</v>
      </c>
      <c r="R19" s="774" t="s">
        <v>17</v>
      </c>
      <c r="S19" s="775">
        <f>F19</f>
        <v>100</v>
      </c>
      <c r="T19" s="774" t="s">
        <v>17</v>
      </c>
      <c r="U19" s="775">
        <f>H19</f>
        <v>100</v>
      </c>
      <c r="V19" s="774" t="s">
        <v>17</v>
      </c>
      <c r="W19" s="775">
        <f>J19</f>
        <v>100</v>
      </c>
      <c r="X19" s="1816"/>
      <c r="Y19" s="3205"/>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205"/>
      <c r="Q20" s="1813"/>
      <c r="R20" s="774"/>
      <c r="S20" s="775"/>
      <c r="T20" s="774"/>
      <c r="U20" s="775"/>
      <c r="V20" s="774"/>
      <c r="W20" s="775"/>
      <c r="X20" s="1816"/>
      <c r="Y20" s="3205"/>
      <c r="Z20" s="1817"/>
      <c r="AA20" s="1814"/>
      <c r="AB20" s="1814"/>
      <c r="AC20" s="1814"/>
    </row>
    <row r="21" spans="1:29" ht="71.25">
      <c r="A21" s="404"/>
      <c r="B21" s="631" t="s">
        <v>2802</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05"/>
      <c r="Q21" s="1813" t="str">
        <f t="shared" si="8"/>
        <v>环境状况</v>
      </c>
      <c r="R21" s="774" t="s">
        <v>17</v>
      </c>
      <c r="S21" s="775">
        <f>F21</f>
        <v>100</v>
      </c>
      <c r="T21" s="774" t="s">
        <v>17</v>
      </c>
      <c r="U21" s="775">
        <f>H21</f>
        <v>100</v>
      </c>
      <c r="V21" s="774" t="s">
        <v>17</v>
      </c>
      <c r="W21" s="775">
        <f>J21</f>
        <v>100</v>
      </c>
      <c r="X21" s="1816"/>
      <c r="Y21" s="3205"/>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205"/>
      <c r="Q22" s="1813"/>
      <c r="R22" s="774"/>
      <c r="S22" s="775"/>
      <c r="T22" s="774"/>
      <c r="U22" s="775"/>
      <c r="V22" s="774"/>
      <c r="W22" s="775"/>
      <c r="X22" s="1816"/>
      <c r="Y22" s="3205"/>
      <c r="Z22" s="1817"/>
      <c r="AA22" s="1814">
        <v>1</v>
      </c>
      <c r="AB22" s="1814">
        <v>1</v>
      </c>
      <c r="AC22" s="1814">
        <v>1</v>
      </c>
    </row>
    <row r="23" spans="1:29" s="117" customFormat="1" ht="42.75">
      <c r="A23" s="649"/>
      <c r="B23" s="633" t="s">
        <v>2657</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05"/>
      <c r="Q23" s="1798" t="str">
        <f t="shared" si="8"/>
        <v>公共配套设施</v>
      </c>
      <c r="R23" s="770" t="s">
        <v>17</v>
      </c>
      <c r="S23" s="771">
        <f>F23</f>
        <v>100</v>
      </c>
      <c r="T23" s="770" t="s">
        <v>17</v>
      </c>
      <c r="U23" s="771">
        <f>H23</f>
        <v>100</v>
      </c>
      <c r="V23" s="770" t="s">
        <v>17</v>
      </c>
      <c r="W23" s="771">
        <f>J23</f>
        <v>100</v>
      </c>
      <c r="X23" s="772"/>
      <c r="Y23" s="3205"/>
      <c r="Z23" s="55" t="str">
        <f>Q23</f>
        <v>公共配套设施</v>
      </c>
      <c r="AA23" s="1814">
        <f>D23/F23</f>
        <v>1</v>
      </c>
      <c r="AB23" s="1814">
        <f>D23/H23</f>
        <v>1</v>
      </c>
      <c r="AC23" s="1814">
        <f>D23/J23</f>
        <v>1</v>
      </c>
    </row>
    <row r="24" spans="1:29" s="117" customFormat="1" ht="15">
      <c r="A24" s="649"/>
      <c r="B24" s="632"/>
      <c r="C24" s="2707"/>
      <c r="D24" s="448"/>
      <c r="E24" s="2618"/>
      <c r="F24" s="448"/>
      <c r="G24" s="2618"/>
      <c r="H24" s="448"/>
      <c r="I24" s="447"/>
      <c r="J24" s="448"/>
      <c r="K24" s="672"/>
      <c r="L24" s="1135"/>
      <c r="M24" s="1136"/>
      <c r="N24" s="1136"/>
      <c r="O24" s="1137"/>
      <c r="P24" s="3205"/>
      <c r="Q24" s="1798"/>
      <c r="R24" s="770"/>
      <c r="S24" s="771"/>
      <c r="T24" s="770"/>
      <c r="U24" s="771"/>
      <c r="V24" s="770"/>
      <c r="W24" s="771"/>
      <c r="X24" s="772"/>
      <c r="Y24" s="3205"/>
      <c r="Z24" s="55"/>
      <c r="AA24" s="773">
        <v>1</v>
      </c>
      <c r="AB24" s="773">
        <v>1</v>
      </c>
      <c r="AC24" s="773">
        <v>1</v>
      </c>
    </row>
    <row r="25" spans="1:29" s="117" customFormat="1" ht="28.5">
      <c r="A25" s="649"/>
      <c r="B25" s="633" t="s">
        <v>2658</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05"/>
      <c r="Q25" s="1798" t="str">
        <f t="shared" ref="Q25" si="9">B25</f>
        <v>基础设施水平</v>
      </c>
      <c r="R25" s="770" t="s">
        <v>17</v>
      </c>
      <c r="S25" s="771">
        <f>F25</f>
        <v>100</v>
      </c>
      <c r="T25" s="770" t="s">
        <v>17</v>
      </c>
      <c r="U25" s="771">
        <f>H25</f>
        <v>100</v>
      </c>
      <c r="V25" s="770" t="s">
        <v>17</v>
      </c>
      <c r="W25" s="771">
        <f>J25</f>
        <v>100</v>
      </c>
      <c r="X25" s="772"/>
      <c r="Y25" s="3205"/>
      <c r="Z25" s="55" t="str">
        <f>Q25</f>
        <v>基础设施水平</v>
      </c>
      <c r="AA25" s="1814">
        <f>D25/F25</f>
        <v>1</v>
      </c>
      <c r="AB25" s="1814">
        <f>D25/H25</f>
        <v>1</v>
      </c>
      <c r="AC25" s="1814">
        <f>D25/J25</f>
        <v>1</v>
      </c>
    </row>
    <row r="26" spans="1:29" s="117" customFormat="1" ht="15">
      <c r="A26" s="649"/>
      <c r="B26" s="632"/>
      <c r="C26" s="2707"/>
      <c r="D26" s="448"/>
      <c r="E26" s="2708"/>
      <c r="F26" s="448"/>
      <c r="G26" s="2708"/>
      <c r="H26" s="448"/>
      <c r="I26" s="2708"/>
      <c r="J26" s="448"/>
      <c r="K26" s="672"/>
      <c r="L26" s="1135"/>
      <c r="M26" s="1136"/>
      <c r="N26" s="1136"/>
      <c r="O26" s="1137"/>
      <c r="P26" s="3205"/>
      <c r="Q26" s="1798"/>
      <c r="R26" s="770"/>
      <c r="S26" s="771"/>
      <c r="T26" s="770"/>
      <c r="U26" s="771"/>
      <c r="V26" s="770"/>
      <c r="W26" s="771"/>
      <c r="X26" s="772"/>
      <c r="Y26" s="3205"/>
      <c r="Z26" s="55"/>
      <c r="AA26" s="773">
        <v>1</v>
      </c>
      <c r="AB26" s="773">
        <v>1</v>
      </c>
      <c r="AC26" s="773">
        <v>1</v>
      </c>
    </row>
    <row r="27" spans="1:29" ht="15">
      <c r="A27" s="428"/>
      <c r="B27" s="632" t="s">
        <v>2659</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05"/>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05"/>
      <c r="Z27" s="1817" t="str">
        <f t="shared" ref="Z27:Z40" si="13">Q27</f>
        <v>临街状况</v>
      </c>
      <c r="AA27" s="1814">
        <f t="shared" si="3"/>
        <v>1</v>
      </c>
      <c r="AB27" s="1814">
        <f t="shared" si="4"/>
        <v>1</v>
      </c>
      <c r="AC27" s="1814">
        <f t="shared" si="5"/>
        <v>1</v>
      </c>
    </row>
    <row r="28" spans="1:29" ht="27">
      <c r="A28" s="428"/>
      <c r="B28" s="633" t="s">
        <v>2694</v>
      </c>
      <c r="C28" s="272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05"/>
      <c r="Q28" s="1813" t="str">
        <f t="shared" si="8"/>
        <v>毗邻道路的类型与等级</v>
      </c>
      <c r="R28" s="774" t="s">
        <v>17</v>
      </c>
      <c r="S28" s="775">
        <f t="shared" si="10"/>
        <v>100</v>
      </c>
      <c r="T28" s="774" t="s">
        <v>17</v>
      </c>
      <c r="U28" s="775">
        <f t="shared" si="11"/>
        <v>100</v>
      </c>
      <c r="V28" s="774" t="s">
        <v>17</v>
      </c>
      <c r="W28" s="775">
        <f t="shared" si="12"/>
        <v>100</v>
      </c>
      <c r="X28" s="1816"/>
      <c r="Y28" s="3205"/>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205"/>
      <c r="Q29" s="1813"/>
      <c r="R29" s="774"/>
      <c r="S29" s="775"/>
      <c r="T29" s="774"/>
      <c r="U29" s="775"/>
      <c r="V29" s="774"/>
      <c r="W29" s="775"/>
      <c r="X29" s="1816"/>
      <c r="Y29" s="3205"/>
      <c r="Z29" s="1817"/>
      <c r="AA29" s="1814">
        <v>1</v>
      </c>
      <c r="AB29" s="1814">
        <v>1</v>
      </c>
      <c r="AC29" s="1814">
        <v>1</v>
      </c>
    </row>
    <row r="30" spans="1:29" ht="15">
      <c r="A30" s="428"/>
      <c r="B30" s="654" t="s">
        <v>2753</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05"/>
      <c r="Q30" s="1813" t="str">
        <f t="shared" si="8"/>
        <v>土地级别</v>
      </c>
      <c r="R30" s="774" t="s">
        <v>17</v>
      </c>
      <c r="S30" s="775">
        <f t="shared" si="10"/>
        <v>100</v>
      </c>
      <c r="T30" s="774" t="s">
        <v>17</v>
      </c>
      <c r="U30" s="775">
        <f t="shared" si="11"/>
        <v>100</v>
      </c>
      <c r="V30" s="774" t="s">
        <v>17</v>
      </c>
      <c r="W30" s="775">
        <f t="shared" si="12"/>
        <v>100</v>
      </c>
      <c r="X30" s="1816"/>
      <c r="Y30" s="3205"/>
      <c r="Z30" s="1817" t="str">
        <f t="shared" si="13"/>
        <v>土地级别</v>
      </c>
      <c r="AA30" s="1814">
        <f t="shared" si="3"/>
        <v>1</v>
      </c>
      <c r="AB30" s="1814">
        <f t="shared" si="4"/>
        <v>1</v>
      </c>
      <c r="AC30" s="1814">
        <f t="shared" si="5"/>
        <v>1</v>
      </c>
    </row>
    <row r="31" spans="1:29" ht="15">
      <c r="A31" s="404"/>
      <c r="B31" s="268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05"/>
      <c r="Q31" s="1813">
        <f t="shared" si="8"/>
        <v>111</v>
      </c>
      <c r="R31" s="774" t="s">
        <v>17</v>
      </c>
      <c r="S31" s="775">
        <f t="shared" si="10"/>
        <v>100</v>
      </c>
      <c r="T31" s="774" t="s">
        <v>17</v>
      </c>
      <c r="U31" s="775">
        <f t="shared" si="11"/>
        <v>100</v>
      </c>
      <c r="V31" s="774" t="s">
        <v>17</v>
      </c>
      <c r="W31" s="775">
        <f t="shared" si="12"/>
        <v>100</v>
      </c>
      <c r="X31" s="1816"/>
      <c r="Y31" s="3205"/>
      <c r="Z31" s="1817">
        <f t="shared" si="13"/>
        <v>111</v>
      </c>
      <c r="AA31" s="1814">
        <f t="shared" si="3"/>
        <v>1</v>
      </c>
      <c r="AB31" s="1814">
        <f t="shared" si="4"/>
        <v>1</v>
      </c>
      <c r="AC31" s="1814">
        <f t="shared" si="5"/>
        <v>1</v>
      </c>
    </row>
    <row r="32" spans="1:29" ht="15">
      <c r="A32" s="675"/>
      <c r="B32" s="272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28" t="s">
        <v>2568</v>
      </c>
      <c r="Q32" s="1813">
        <f t="shared" si="8"/>
        <v>111</v>
      </c>
      <c r="R32" s="774" t="s">
        <v>17</v>
      </c>
      <c r="S32" s="775">
        <f t="shared" si="10"/>
        <v>100</v>
      </c>
      <c r="T32" s="774" t="s">
        <v>17</v>
      </c>
      <c r="U32" s="775">
        <f t="shared" si="11"/>
        <v>100</v>
      </c>
      <c r="V32" s="774" t="s">
        <v>17</v>
      </c>
      <c r="W32" s="775">
        <f t="shared" si="12"/>
        <v>100</v>
      </c>
      <c r="X32" s="1816"/>
      <c r="Y32" s="3209" t="s">
        <v>2568</v>
      </c>
      <c r="Z32" s="1817">
        <f t="shared" si="13"/>
        <v>111</v>
      </c>
      <c r="AA32" s="1814">
        <f t="shared" si="3"/>
        <v>1</v>
      </c>
      <c r="AB32" s="1814">
        <f t="shared" si="4"/>
        <v>1</v>
      </c>
      <c r="AC32" s="1814">
        <f t="shared" si="5"/>
        <v>1</v>
      </c>
    </row>
    <row r="33" spans="1:29" s="471" customFormat="1" ht="15.75" thickBot="1">
      <c r="A33" s="676"/>
      <c r="B33" s="272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09"/>
      <c r="Q33" s="1813">
        <f t="shared" si="8"/>
        <v>111</v>
      </c>
      <c r="R33" s="777" t="s">
        <v>17</v>
      </c>
      <c r="S33" s="778">
        <f t="shared" si="10"/>
        <v>100</v>
      </c>
      <c r="T33" s="777" t="s">
        <v>17</v>
      </c>
      <c r="U33" s="778">
        <f t="shared" si="11"/>
        <v>100</v>
      </c>
      <c r="V33" s="777" t="s">
        <v>17</v>
      </c>
      <c r="W33" s="778">
        <f t="shared" si="12"/>
        <v>100</v>
      </c>
      <c r="X33" s="779"/>
      <c r="Y33" s="3209"/>
      <c r="Z33" s="780">
        <f t="shared" si="13"/>
        <v>111</v>
      </c>
      <c r="AA33" s="1814">
        <f t="shared" si="3"/>
        <v>1</v>
      </c>
      <c r="AB33" s="1814">
        <f t="shared" si="4"/>
        <v>1</v>
      </c>
      <c r="AC33" s="1814">
        <f t="shared" si="5"/>
        <v>1</v>
      </c>
    </row>
    <row r="34" spans="1:29" ht="15">
      <c r="A34" s="440" t="s">
        <v>2566</v>
      </c>
      <c r="B34" s="456" t="s">
        <v>2754</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09"/>
      <c r="Q34" s="1813" t="str">
        <f>B34</f>
        <v>宗地面积</v>
      </c>
      <c r="R34" s="774" t="s">
        <v>17</v>
      </c>
      <c r="S34" s="775" t="e">
        <f t="shared" si="10"/>
        <v>#N/A</v>
      </c>
      <c r="T34" s="774" t="s">
        <v>17</v>
      </c>
      <c r="U34" s="775" t="e">
        <f t="shared" si="11"/>
        <v>#N/A</v>
      </c>
      <c r="V34" s="774" t="s">
        <v>17</v>
      </c>
      <c r="W34" s="775" t="e">
        <f t="shared" si="12"/>
        <v>#N/A</v>
      </c>
      <c r="X34" s="1816"/>
      <c r="Y34" s="3209"/>
      <c r="Z34" s="1817" t="str">
        <f t="shared" si="13"/>
        <v>宗地面积</v>
      </c>
      <c r="AA34" s="1814" t="e">
        <f t="shared" si="3"/>
        <v>#N/A</v>
      </c>
      <c r="AB34" s="1814" t="e">
        <f t="shared" si="4"/>
        <v>#N/A</v>
      </c>
      <c r="AC34" s="1814" t="e">
        <f t="shared" si="5"/>
        <v>#N/A</v>
      </c>
    </row>
    <row r="35" spans="1:29" ht="15">
      <c r="A35" s="472"/>
      <c r="B35" s="422" t="s">
        <v>2755</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209"/>
      <c r="Q35" s="1813" t="str">
        <f t="shared" ref="Q35:Q40" si="14">B35</f>
        <v>宗地形状</v>
      </c>
      <c r="R35" s="774" t="s">
        <v>17</v>
      </c>
      <c r="S35" s="775">
        <f t="shared" si="10"/>
        <v>100</v>
      </c>
      <c r="T35" s="774" t="s">
        <v>17</v>
      </c>
      <c r="U35" s="775">
        <f t="shared" si="11"/>
        <v>100</v>
      </c>
      <c r="V35" s="774" t="s">
        <v>17</v>
      </c>
      <c r="W35" s="775">
        <f t="shared" si="12"/>
        <v>100</v>
      </c>
      <c r="X35" s="1816"/>
      <c r="Y35" s="3209"/>
      <c r="Z35" s="1817" t="str">
        <f t="shared" si="13"/>
        <v>宗地形状</v>
      </c>
      <c r="AA35" s="1814">
        <f t="shared" si="3"/>
        <v>1</v>
      </c>
      <c r="AB35" s="1814">
        <f t="shared" si="4"/>
        <v>1</v>
      </c>
      <c r="AC35" s="1814">
        <f t="shared" si="5"/>
        <v>1</v>
      </c>
    </row>
    <row r="36" spans="1:29" s="117" customFormat="1" ht="15">
      <c r="A36" s="473"/>
      <c r="B36" s="422" t="s">
        <v>2757</v>
      </c>
      <c r="C36" s="2709"/>
      <c r="D36" s="136">
        <v>100</v>
      </c>
      <c r="E36" s="2709"/>
      <c r="F36" s="435">
        <f>SUMIF(112:112,E36,113:113)-SUMIF(112:112,C36,113:113)+100</f>
        <v>100</v>
      </c>
      <c r="G36" s="2709"/>
      <c r="H36" s="435">
        <f>SUMIF(112:112,G36,113:113)-SUMIF(112:112,C36,113:113)+100</f>
        <v>100</v>
      </c>
      <c r="I36" s="2709"/>
      <c r="J36" s="435">
        <f>SUMIF(112:112,I36,113:113)-SUMIF(112:112,C36,113:113)+100</f>
        <v>100</v>
      </c>
      <c r="K36" s="612"/>
      <c r="L36" s="1135"/>
      <c r="M36" s="1136"/>
      <c r="N36" s="1136"/>
      <c r="O36" s="1137"/>
      <c r="P36" s="3209"/>
      <c r="Q36" s="1813" t="str">
        <f t="shared" si="14"/>
        <v>宗地开发程度</v>
      </c>
      <c r="R36" s="770" t="s">
        <v>17</v>
      </c>
      <c r="S36" s="771">
        <f t="shared" si="10"/>
        <v>100</v>
      </c>
      <c r="T36" s="770" t="s">
        <v>17</v>
      </c>
      <c r="U36" s="771">
        <f t="shared" si="11"/>
        <v>100</v>
      </c>
      <c r="V36" s="770" t="s">
        <v>17</v>
      </c>
      <c r="W36" s="771">
        <f t="shared" si="12"/>
        <v>100</v>
      </c>
      <c r="X36" s="772"/>
      <c r="Y36" s="3209"/>
      <c r="Z36" s="55" t="str">
        <f t="shared" si="13"/>
        <v>宗地开发程度</v>
      </c>
      <c r="AA36" s="773">
        <f t="shared" si="3"/>
        <v>1</v>
      </c>
      <c r="AB36" s="773">
        <f t="shared" si="4"/>
        <v>1</v>
      </c>
      <c r="AC36" s="773">
        <f t="shared" si="5"/>
        <v>1</v>
      </c>
    </row>
    <row r="37" spans="1:29" ht="15">
      <c r="A37" s="472"/>
      <c r="B37" s="422" t="s">
        <v>2758</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209" t="s">
        <v>2568</v>
      </c>
      <c r="Q37" s="1813" t="str">
        <f t="shared" si="14"/>
        <v>工程地质条件</v>
      </c>
      <c r="R37" s="774" t="s">
        <v>17</v>
      </c>
      <c r="S37" s="775">
        <f t="shared" si="10"/>
        <v>100</v>
      </c>
      <c r="T37" s="774" t="s">
        <v>17</v>
      </c>
      <c r="U37" s="775">
        <f t="shared" si="11"/>
        <v>100</v>
      </c>
      <c r="V37" s="774" t="s">
        <v>17</v>
      </c>
      <c r="W37" s="775">
        <f t="shared" si="12"/>
        <v>100</v>
      </c>
      <c r="X37" s="1816"/>
      <c r="Y37" s="3209" t="s">
        <v>2568</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09"/>
      <c r="Q38" s="1813">
        <f t="shared" si="14"/>
        <v>111</v>
      </c>
      <c r="R38" s="774" t="s">
        <v>17</v>
      </c>
      <c r="S38" s="775">
        <f t="shared" si="10"/>
        <v>100</v>
      </c>
      <c r="T38" s="774" t="s">
        <v>17</v>
      </c>
      <c r="U38" s="775">
        <f t="shared" si="11"/>
        <v>100</v>
      </c>
      <c r="V38" s="774" t="s">
        <v>17</v>
      </c>
      <c r="W38" s="775">
        <f t="shared" si="12"/>
        <v>100</v>
      </c>
      <c r="X38" s="1816"/>
      <c r="Y38" s="3209"/>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09"/>
      <c r="Q39" s="1813">
        <f t="shared" si="14"/>
        <v>111</v>
      </c>
      <c r="R39" s="774" t="s">
        <v>17</v>
      </c>
      <c r="S39" s="775">
        <f t="shared" si="10"/>
        <v>100</v>
      </c>
      <c r="T39" s="774" t="s">
        <v>17</v>
      </c>
      <c r="U39" s="775">
        <f t="shared" si="11"/>
        <v>100</v>
      </c>
      <c r="V39" s="774" t="s">
        <v>17</v>
      </c>
      <c r="W39" s="775">
        <f t="shared" si="12"/>
        <v>100</v>
      </c>
      <c r="X39" s="1816"/>
      <c r="Y39" s="3209"/>
      <c r="Z39" s="1817">
        <f t="shared" si="13"/>
        <v>111</v>
      </c>
      <c r="AA39" s="1814">
        <f t="shared" si="3"/>
        <v>1</v>
      </c>
      <c r="AB39" s="1814">
        <f t="shared" si="4"/>
        <v>1</v>
      </c>
      <c r="AC39" s="1814">
        <f t="shared" si="5"/>
        <v>1</v>
      </c>
    </row>
    <row r="40" spans="1:29" s="471" customFormat="1" ht="15.75" thickBot="1">
      <c r="A40" s="468"/>
      <c r="B40" s="1390">
        <v>111</v>
      </c>
      <c r="C40" s="271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09"/>
      <c r="Q40" s="1813">
        <f t="shared" si="14"/>
        <v>111</v>
      </c>
      <c r="R40" s="777" t="s">
        <v>17</v>
      </c>
      <c r="S40" s="778">
        <f t="shared" si="10"/>
        <v>100</v>
      </c>
      <c r="T40" s="777" t="s">
        <v>17</v>
      </c>
      <c r="U40" s="778">
        <f t="shared" si="11"/>
        <v>100</v>
      </c>
      <c r="V40" s="777" t="s">
        <v>17</v>
      </c>
      <c r="W40" s="778">
        <f t="shared" si="12"/>
        <v>100</v>
      </c>
      <c r="X40" s="779"/>
      <c r="Y40" s="3209"/>
      <c r="Z40" s="780">
        <f t="shared" si="13"/>
        <v>111</v>
      </c>
      <c r="AA40" s="1814">
        <f t="shared" si="3"/>
        <v>1</v>
      </c>
      <c r="AB40" s="1814">
        <f t="shared" si="4"/>
        <v>1</v>
      </c>
      <c r="AC40" s="1814">
        <f t="shared" si="5"/>
        <v>1</v>
      </c>
    </row>
    <row r="41" spans="1:29" ht="15">
      <c r="A41" s="479" t="s">
        <v>2723</v>
      </c>
      <c r="B41" s="2711" t="s">
        <v>2803</v>
      </c>
      <c r="C41" s="682" t="s">
        <v>1</v>
      </c>
      <c r="D41" s="481"/>
      <c r="E41" s="482"/>
      <c r="F41" s="483"/>
      <c r="G41" s="484"/>
      <c r="H41" s="485"/>
      <c r="I41" s="482"/>
      <c r="J41" s="485"/>
      <c r="K41" s="783"/>
      <c r="L41" s="1146"/>
      <c r="M41" s="1134"/>
      <c r="N41" s="1134"/>
      <c r="O41" s="1147"/>
      <c r="P41" s="3202" t="str">
        <f>A41</f>
        <v>成交单价</v>
      </c>
      <c r="Q41" s="3202"/>
      <c r="R41" s="3197">
        <f>E41</f>
        <v>0</v>
      </c>
      <c r="S41" s="3197"/>
      <c r="T41" s="3197">
        <f>G41</f>
        <v>0</v>
      </c>
      <c r="U41" s="3197"/>
      <c r="V41" s="3197">
        <f>I41</f>
        <v>0</v>
      </c>
      <c r="W41" s="3197"/>
      <c r="X41" s="759"/>
      <c r="Y41" s="781"/>
      <c r="Z41" s="759"/>
      <c r="AA41" s="759"/>
      <c r="AB41" s="759"/>
      <c r="AC41" s="759"/>
    </row>
    <row r="42" spans="1:29" ht="15.75" thickBot="1">
      <c r="A42" s="486" t="s">
        <v>2672</v>
      </c>
      <c r="B42" s="683"/>
      <c r="C42" s="490" t="e">
        <f>R43</f>
        <v>#DIV/0!</v>
      </c>
      <c r="D42" s="489"/>
      <c r="E42" s="490" t="e">
        <f>R42</f>
        <v>#DIV/0!</v>
      </c>
      <c r="F42" s="491"/>
      <c r="G42" s="488" t="e">
        <f>T42</f>
        <v>#DIV/0!</v>
      </c>
      <c r="H42" s="489"/>
      <c r="I42" s="490" t="e">
        <f>V42</f>
        <v>#DIV/0!</v>
      </c>
      <c r="J42" s="489"/>
      <c r="K42" s="784"/>
      <c r="L42" s="1146"/>
      <c r="M42" s="1134"/>
      <c r="N42" s="1134"/>
      <c r="O42" s="1147"/>
      <c r="P42" s="3202" t="str">
        <f>A42</f>
        <v>比较价值（元/平方米）</v>
      </c>
      <c r="Q42" s="3202"/>
      <c r="R42" s="3229" t="e">
        <f>ROUND(PRODUCT(R41,AA7:AA40),0)</f>
        <v>#DIV/0!</v>
      </c>
      <c r="S42" s="3229"/>
      <c r="T42" s="3229" t="e">
        <f>ROUND(PRODUCT(T41,AB7:AB40),0)</f>
        <v>#DIV/0!</v>
      </c>
      <c r="U42" s="3229"/>
      <c r="V42" s="3229" t="e">
        <f>ROUND(PRODUCT(V41,AC7:AC40),0)</f>
        <v>#DIV/0!</v>
      </c>
      <c r="W42" s="3229"/>
      <c r="X42" s="759"/>
      <c r="Y42" s="759"/>
      <c r="Z42" s="759"/>
      <c r="AA42" s="759"/>
      <c r="AB42" s="759"/>
      <c r="AC42" s="759"/>
    </row>
    <row r="43" spans="1:29" ht="15.75" thickBot="1">
      <c r="A43" s="492" t="s">
        <v>2673</v>
      </c>
      <c r="B43" s="493"/>
      <c r="C43" s="494" t="e">
        <f>R43</f>
        <v>#DIV/0!</v>
      </c>
      <c r="D43" s="494"/>
      <c r="E43" s="494"/>
      <c r="F43" s="494"/>
      <c r="G43" s="494"/>
      <c r="H43" s="494"/>
      <c r="I43" s="494"/>
      <c r="J43" s="494"/>
      <c r="K43" s="785"/>
      <c r="L43" s="1146"/>
      <c r="M43" s="1134"/>
      <c r="N43" s="1134"/>
      <c r="O43" s="1147"/>
      <c r="P43" s="3199" t="str">
        <f>A43</f>
        <v>估价对象XX用房的比较价值（楼面单价，元/平方米）</v>
      </c>
      <c r="Q43" s="3200"/>
      <c r="R43" s="3230" t="e">
        <f>ROUND(AVERAGE(R42:V42),0)</f>
        <v>#DIV/0!</v>
      </c>
      <c r="S43" s="3230"/>
      <c r="T43" s="3230"/>
      <c r="U43" s="3230"/>
      <c r="V43" s="3230"/>
      <c r="W43" s="3230"/>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2761</v>
      </c>
      <c r="B50" s="685" t="s">
        <v>2762</v>
      </c>
      <c r="C50" s="2712" t="s">
        <v>2763</v>
      </c>
      <c r="D50" s="2713" t="s">
        <v>2764</v>
      </c>
      <c r="E50" s="686" t="s">
        <v>2765</v>
      </c>
      <c r="F50" s="687" t="s">
        <v>2766</v>
      </c>
      <c r="G50" s="3185" t="s">
        <v>2767</v>
      </c>
      <c r="H50" s="3231"/>
      <c r="I50" s="1817" t="s">
        <v>2804</v>
      </c>
      <c r="J50" s="1817">
        <f>项目基本情况!F35</f>
        <v>0</v>
      </c>
      <c r="K50" s="2715" t="s">
        <v>2769</v>
      </c>
      <c r="L50" s="1109"/>
      <c r="M50" s="1147"/>
      <c r="N50" s="1147"/>
      <c r="O50" s="1147"/>
    </row>
    <row r="51" spans="1:17" s="692" customFormat="1">
      <c r="A51" s="688" t="s">
        <v>2770</v>
      </c>
      <c r="B51" s="689" t="e">
        <f>C43</f>
        <v>#DIV/0!</v>
      </c>
      <c r="C51" s="690">
        <v>1</v>
      </c>
      <c r="D51" s="1166">
        <v>1</v>
      </c>
      <c r="E51" s="690">
        <f>'数据-汇总表'!E8+'数据-汇总表'!E9</f>
        <v>43834.770000000004</v>
      </c>
      <c r="F51" s="691" t="e">
        <f t="shared" ref="F51:F60" si="15">ROUND(B51*E51/10000,0)</f>
        <v>#DIV/0!</v>
      </c>
      <c r="G51" s="3184"/>
      <c r="H51" s="3202"/>
      <c r="I51" s="945">
        <v>1</v>
      </c>
      <c r="J51" s="945">
        <v>1</v>
      </c>
      <c r="K51" s="1148"/>
      <c r="L51" s="944"/>
      <c r="M51" s="944"/>
      <c r="N51" s="944"/>
      <c r="O51" s="944"/>
    </row>
    <row r="52" spans="1:17" s="692" customFormat="1">
      <c r="A52" s="693" t="s">
        <v>2771</v>
      </c>
      <c r="B52" s="262" t="e">
        <f>ROUND($C$43*C52*D52,0)</f>
        <v>#DIV/0!</v>
      </c>
      <c r="C52" s="200">
        <f t="shared" ref="C52:C60" si="16">IF($C$50="北京市系数",I52,J52)</f>
        <v>0</v>
      </c>
      <c r="D52" s="1167">
        <v>0.25</v>
      </c>
      <c r="E52" s="694"/>
      <c r="F52" s="691" t="e">
        <f t="shared" si="15"/>
        <v>#DIV/0!</v>
      </c>
      <c r="G52" s="3232" t="s">
        <v>2772</v>
      </c>
      <c r="H52" s="1107">
        <f>项目基本情况!B37</f>
        <v>0</v>
      </c>
      <c r="I52" s="945">
        <f>SUMIF(修正!A45:A56,H52,修正!B45:B56)</f>
        <v>0</v>
      </c>
      <c r="J52" s="946"/>
      <c r="K52" s="1147"/>
      <c r="L52" s="944"/>
      <c r="M52" s="944"/>
      <c r="N52" s="944"/>
      <c r="O52" s="944"/>
    </row>
    <row r="53" spans="1:17" s="692" customFormat="1">
      <c r="A53" s="693" t="s">
        <v>2773</v>
      </c>
      <c r="B53" s="262" t="e">
        <f t="shared" ref="B53:B60" si="17">ROUND($C$43*C53*D53,0)</f>
        <v>#DIV/0!</v>
      </c>
      <c r="C53" s="200">
        <f t="shared" si="16"/>
        <v>0</v>
      </c>
      <c r="D53" s="1167">
        <v>0.25</v>
      </c>
      <c r="E53" s="694"/>
      <c r="F53" s="691" t="e">
        <f t="shared" si="15"/>
        <v>#DIV/0!</v>
      </c>
      <c r="G53" s="3232"/>
      <c r="H53" s="1107">
        <f>项目基本情况!B37</f>
        <v>0</v>
      </c>
      <c r="I53" s="945">
        <f>SUMIF(修正!A45:A56,H53,修正!C45:C56)</f>
        <v>0</v>
      </c>
      <c r="J53" s="946"/>
      <c r="K53" s="1148"/>
      <c r="L53" s="944"/>
      <c r="M53" s="944"/>
      <c r="N53" s="944"/>
      <c r="O53" s="944"/>
    </row>
    <row r="54" spans="1:17" s="692" customFormat="1">
      <c r="A54" s="693" t="s">
        <v>2774</v>
      </c>
      <c r="B54" s="262" t="e">
        <f t="shared" si="17"/>
        <v>#DIV/0!</v>
      </c>
      <c r="C54" s="200">
        <f t="shared" si="16"/>
        <v>0</v>
      </c>
      <c r="D54" s="1167">
        <v>0.25</v>
      </c>
      <c r="E54" s="694"/>
      <c r="F54" s="691" t="e">
        <f t="shared" si="15"/>
        <v>#DIV/0!</v>
      </c>
      <c r="G54" s="3232"/>
      <c r="H54" s="1107">
        <f>项目基本情况!B37</f>
        <v>0</v>
      </c>
      <c r="I54" s="945">
        <f>SUMIF(修正!A45:A56,H54,修正!D45:D56)</f>
        <v>0</v>
      </c>
      <c r="J54" s="946"/>
      <c r="K54" s="1147"/>
      <c r="L54" s="944"/>
      <c r="M54" s="944"/>
      <c r="N54" s="944"/>
      <c r="O54" s="944"/>
    </row>
    <row r="55" spans="1:17" s="692" customFormat="1">
      <c r="A55" s="693" t="s">
        <v>2775</v>
      </c>
      <c r="B55" s="262" t="e">
        <f t="shared" si="17"/>
        <v>#DIV/0!</v>
      </c>
      <c r="C55" s="200">
        <f t="shared" si="16"/>
        <v>0</v>
      </c>
      <c r="D55" s="1167">
        <v>0.25</v>
      </c>
      <c r="E55" s="694"/>
      <c r="F55" s="691" t="e">
        <f t="shared" si="15"/>
        <v>#DIV/0!</v>
      </c>
      <c r="G55" s="3232"/>
      <c r="H55" s="1107">
        <f>项目基本情况!B37</f>
        <v>0</v>
      </c>
      <c r="I55" s="945">
        <f>SUMIF(修正!A45:A56,H55,修正!E45:E56)</f>
        <v>0</v>
      </c>
      <c r="J55" s="946"/>
      <c r="K55" s="1148"/>
      <c r="L55" s="944"/>
      <c r="M55" s="944"/>
      <c r="N55" s="944"/>
      <c r="O55" s="944"/>
    </row>
    <row r="56" spans="1:17" s="692" customFormat="1">
      <c r="A56" s="693" t="s">
        <v>2776</v>
      </c>
      <c r="B56" s="262" t="e">
        <f t="shared" si="17"/>
        <v>#DIV/0!</v>
      </c>
      <c r="C56" s="200">
        <f t="shared" si="16"/>
        <v>0</v>
      </c>
      <c r="D56" s="1167">
        <v>0.25</v>
      </c>
      <c r="E56" s="261">
        <f>'数据-汇总表'!E11</f>
        <v>0</v>
      </c>
      <c r="F56" s="691" t="e">
        <f t="shared" si="15"/>
        <v>#DIV/0!</v>
      </c>
      <c r="G56" s="2716" t="s">
        <v>2777</v>
      </c>
      <c r="H56" s="1107">
        <f>项目基本情况!C37</f>
        <v>0</v>
      </c>
      <c r="I56" s="945">
        <f>SUMIF(修正!A45:A56,H56,修正!F45:F56)</f>
        <v>0</v>
      </c>
      <c r="J56" s="946"/>
      <c r="K56" s="1147"/>
      <c r="L56" s="944"/>
      <c r="M56" s="944"/>
      <c r="N56" s="944"/>
      <c r="O56" s="944"/>
    </row>
    <row r="57" spans="1:17" s="692" customFormat="1">
      <c r="A57" s="693" t="s">
        <v>2778</v>
      </c>
      <c r="B57" s="262" t="e">
        <f t="shared" si="17"/>
        <v>#DIV/0!</v>
      </c>
      <c r="C57" s="200">
        <f t="shared" si="16"/>
        <v>0</v>
      </c>
      <c r="D57" s="1167">
        <v>0.25</v>
      </c>
      <c r="E57" s="261">
        <f>'数据-汇总表'!E12</f>
        <v>0</v>
      </c>
      <c r="F57" s="691" t="e">
        <f t="shared" si="15"/>
        <v>#DIV/0!</v>
      </c>
      <c r="G57" s="1112" t="s">
        <v>2779</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2780</v>
      </c>
      <c r="B58" s="262" t="e">
        <f t="shared" si="17"/>
        <v>#DIV/0!</v>
      </c>
      <c r="C58" s="200">
        <f t="shared" si="16"/>
        <v>0.2</v>
      </c>
      <c r="D58" s="1167">
        <v>0.25</v>
      </c>
      <c r="E58" s="261">
        <f>'数据-汇总表'!E13</f>
        <v>13844.9</v>
      </c>
      <c r="F58" s="691" t="e">
        <f t="shared" si="15"/>
        <v>#DIV/0!</v>
      </c>
      <c r="G58" s="1112" t="s">
        <v>2781</v>
      </c>
      <c r="H58" s="1107" t="str">
        <f>IF(G58="商业",项目基本情况!B37,IF(G58="办公",项目基本情况!C37,IF(G58="住宅",项目基本情况!D37,项目基本情况!E37)))</f>
        <v>五级</v>
      </c>
      <c r="I58" s="945">
        <f>SUMIF(修正!A45:A56,H58,修正!H45:H56)</f>
        <v>0.2</v>
      </c>
      <c r="J58" s="946"/>
      <c r="K58" s="1147"/>
      <c r="L58" s="944"/>
      <c r="M58" s="944"/>
      <c r="N58" s="944"/>
      <c r="O58" s="944"/>
    </row>
    <row r="59" spans="1:17" s="692" customFormat="1">
      <c r="A59" s="693" t="s">
        <v>2782</v>
      </c>
      <c r="B59" s="262" t="e">
        <f t="shared" si="17"/>
        <v>#DIV/0!</v>
      </c>
      <c r="C59" s="200">
        <f t="shared" si="16"/>
        <v>0</v>
      </c>
      <c r="D59" s="1167">
        <v>0.25</v>
      </c>
      <c r="E59" s="261">
        <f>'数据-汇总表'!E14</f>
        <v>0</v>
      </c>
      <c r="F59" s="691" t="e">
        <f t="shared" si="15"/>
        <v>#DIV/0!</v>
      </c>
      <c r="G59" s="2716" t="s">
        <v>2772</v>
      </c>
      <c r="H59" s="1107">
        <f>项目基本情况!B37</f>
        <v>0</v>
      </c>
      <c r="I59" s="945">
        <f>SUMIF(修正!A45:A56,H59,修正!H45:H56)</f>
        <v>0</v>
      </c>
      <c r="J59" s="946"/>
      <c r="K59" s="1148"/>
      <c r="L59" s="944"/>
      <c r="M59" s="944"/>
      <c r="N59" s="944"/>
      <c r="O59" s="944"/>
    </row>
    <row r="60" spans="1:17" s="692" customFormat="1" ht="15" thickBot="1">
      <c r="A60" s="693" t="s">
        <v>2783</v>
      </c>
      <c r="B60" s="262" t="e">
        <f t="shared" si="17"/>
        <v>#DIV/0!</v>
      </c>
      <c r="C60" s="200">
        <f t="shared" si="16"/>
        <v>0</v>
      </c>
      <c r="D60" s="1167">
        <v>0.25</v>
      </c>
      <c r="E60" s="261">
        <f>'数据-汇总表'!E15</f>
        <v>0</v>
      </c>
      <c r="F60" s="691" t="e">
        <f t="shared" si="15"/>
        <v>#DIV/0!</v>
      </c>
      <c r="G60" s="2717" t="s">
        <v>2777</v>
      </c>
      <c r="H60" s="1117">
        <f>项目基本情况!C37</f>
        <v>0</v>
      </c>
      <c r="I60" s="945">
        <f>SUMIF(修正!A45:A56,H60,修正!H45:H56)</f>
        <v>0</v>
      </c>
      <c r="J60" s="946"/>
      <c r="K60" s="1147"/>
      <c r="L60" s="944"/>
      <c r="M60" s="944"/>
      <c r="N60" s="944"/>
      <c r="O60" s="944"/>
    </row>
    <row r="61" spans="1:17" s="692" customFormat="1" ht="15" thickBot="1">
      <c r="A61" s="695" t="s">
        <v>2784</v>
      </c>
      <c r="B61" s="696" t="s">
        <v>28</v>
      </c>
      <c r="C61" s="696" t="s">
        <v>29</v>
      </c>
      <c r="D61" s="696" t="s">
        <v>1029</v>
      </c>
      <c r="E61" s="696">
        <f>IF(B41="楼面地价",SUM(E51:E60),'数据-汇总表'!D3)</f>
        <v>13537.24</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2018-11-1</v>
      </c>
      <c r="D63" s="761">
        <f>EDATE(C63,-3)</f>
        <v>43313</v>
      </c>
      <c r="E63" s="761">
        <f>EDATE(D63,-3)</f>
        <v>43221</v>
      </c>
      <c r="F63" s="761">
        <f t="shared" ref="F63:O63" si="18">EDATE(E63,-3)</f>
        <v>43132</v>
      </c>
      <c r="G63" s="761">
        <f t="shared" si="18"/>
        <v>43040</v>
      </c>
      <c r="H63" s="761">
        <f t="shared" si="18"/>
        <v>42948</v>
      </c>
      <c r="I63" s="761">
        <f t="shared" si="18"/>
        <v>42856</v>
      </c>
      <c r="J63" s="761">
        <f t="shared" si="18"/>
        <v>42767</v>
      </c>
      <c r="K63" s="761">
        <f t="shared" si="18"/>
        <v>42675</v>
      </c>
      <c r="L63" s="761">
        <f t="shared" si="18"/>
        <v>42583</v>
      </c>
      <c r="M63" s="761">
        <f t="shared" si="18"/>
        <v>42491</v>
      </c>
      <c r="N63" s="761">
        <f t="shared" si="18"/>
        <v>42401</v>
      </c>
      <c r="O63" s="761">
        <f t="shared" si="18"/>
        <v>42309</v>
      </c>
    </row>
    <row r="64" spans="1:17" ht="21.75" thickBot="1">
      <c r="A64" s="763" t="s">
        <v>2677</v>
      </c>
      <c r="B64" s="759"/>
      <c r="C64" s="764"/>
      <c r="D64" s="764"/>
      <c r="E64" s="764"/>
      <c r="F64" s="765"/>
      <c r="G64" s="765"/>
      <c r="H64" s="764"/>
      <c r="I64" s="764"/>
      <c r="J64" s="764"/>
      <c r="K64" s="766"/>
      <c r="L64" s="767"/>
      <c r="M64" s="764"/>
      <c r="N64" s="764"/>
      <c r="O64" s="1162"/>
      <c r="P64" s="503"/>
      <c r="Q64" s="504"/>
    </row>
    <row r="65" spans="1:17" s="508" customFormat="1" ht="15">
      <c r="A65" s="2718" t="s">
        <v>2785</v>
      </c>
      <c r="B65" s="1362"/>
      <c r="C65" s="1575" t="str">
        <f>YEAR(C63)&amp;"-"&amp;ROUNDUP(MONTH(C63)/3,0)</f>
        <v>2018-4</v>
      </c>
      <c r="D65" s="1575" t="str">
        <f t="shared" ref="D65:O65" si="19">YEAR(D63)&amp;"-"&amp;ROUNDUP(MONTH(D63)/3,0)</f>
        <v>2018-3</v>
      </c>
      <c r="E65" s="1575" t="str">
        <f t="shared" si="19"/>
        <v>2018-2</v>
      </c>
      <c r="F65" s="1575" t="str">
        <f t="shared" si="19"/>
        <v>2018-1</v>
      </c>
      <c r="G65" s="1575" t="str">
        <f t="shared" si="19"/>
        <v>2017-4</v>
      </c>
      <c r="H65" s="1575" t="str">
        <f t="shared" si="19"/>
        <v>2017-3</v>
      </c>
      <c r="I65" s="1575" t="str">
        <f t="shared" si="19"/>
        <v>2017-2</v>
      </c>
      <c r="J65" s="1575" t="str">
        <f t="shared" si="19"/>
        <v>2017-1</v>
      </c>
      <c r="K65" s="1575" t="str">
        <f t="shared" si="19"/>
        <v>2016-4</v>
      </c>
      <c r="L65" s="1575" t="str">
        <f t="shared" si="19"/>
        <v>2016-3</v>
      </c>
      <c r="M65" s="1575" t="str">
        <f t="shared" si="19"/>
        <v>2016-2</v>
      </c>
      <c r="N65" s="1575" t="str">
        <f t="shared" si="19"/>
        <v>2016-1</v>
      </c>
      <c r="O65" s="1575" t="str">
        <f t="shared" si="19"/>
        <v>2015-4</v>
      </c>
      <c r="P65" s="507"/>
    </row>
    <row r="66" spans="1:17" s="117" customFormat="1" ht="30.75" customHeight="1">
      <c r="A66" s="2723" t="s">
        <v>2805</v>
      </c>
      <c r="B66" s="332" t="str">
        <f>"北京市平均增长率"&amp;TEXT(基准地价修正!P24,"0.00%")</f>
        <v>北京市平均增长率1.42%</v>
      </c>
      <c r="C66" s="603">
        <v>100</v>
      </c>
      <c r="D66" s="595"/>
      <c r="E66" s="595"/>
      <c r="F66" s="595"/>
      <c r="G66" s="595"/>
      <c r="H66" s="595"/>
      <c r="I66" s="595"/>
      <c r="J66" s="595"/>
      <c r="K66" s="595"/>
      <c r="L66" s="595"/>
      <c r="M66" s="1570"/>
      <c r="N66" s="1570"/>
      <c r="O66" s="1572"/>
      <c r="P66" s="504"/>
    </row>
    <row r="67" spans="1:17" s="117" customFormat="1" ht="15.75" thickBot="1">
      <c r="A67" s="515" t="s">
        <v>2588</v>
      </c>
      <c r="B67" s="516"/>
      <c r="C67" s="517"/>
      <c r="D67" s="518"/>
      <c r="E67" s="518"/>
      <c r="F67" s="518"/>
      <c r="G67" s="518"/>
      <c r="H67" s="518"/>
      <c r="I67" s="518"/>
      <c r="J67" s="518"/>
      <c r="K67" s="518"/>
      <c r="L67" s="518"/>
      <c r="M67" s="519"/>
      <c r="N67" s="519"/>
      <c r="O67" s="520"/>
      <c r="P67" s="504"/>
      <c r="Q67" s="504"/>
    </row>
    <row r="68" spans="1:17" s="117" customFormat="1" ht="15">
      <c r="A68" s="521" t="s">
        <v>2553</v>
      </c>
      <c r="B68" s="510"/>
      <c r="C68" s="522" t="s">
        <v>2655</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2591</v>
      </c>
      <c r="B70" s="528" t="s">
        <v>2557</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2560</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2561</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2562</v>
      </c>
      <c r="B83" s="528" t="s">
        <v>2708</v>
      </c>
      <c r="C83" s="573" t="s">
        <v>2600</v>
      </c>
      <c r="D83" s="573" t="s">
        <v>2601</v>
      </c>
      <c r="E83" s="573" t="s">
        <v>2602</v>
      </c>
      <c r="F83" s="573" t="s">
        <v>2603</v>
      </c>
      <c r="G83" s="573" t="s">
        <v>2604</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2605</v>
      </c>
      <c r="C85" s="578" t="s">
        <v>2600</v>
      </c>
      <c r="D85" s="578" t="s">
        <v>2601</v>
      </c>
      <c r="E85" s="578" t="s">
        <v>2602</v>
      </c>
      <c r="F85" s="578" t="s">
        <v>2603</v>
      </c>
      <c r="G85" s="578" t="s">
        <v>2604</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2788</v>
      </c>
      <c r="C87" s="573" t="s">
        <v>2600</v>
      </c>
      <c r="D87" s="573" t="s">
        <v>2601</v>
      </c>
      <c r="E87" s="573" t="s">
        <v>2602</v>
      </c>
      <c r="F87" s="573" t="s">
        <v>2603</v>
      </c>
      <c r="G87" s="573" t="s">
        <v>2604</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2789</v>
      </c>
      <c r="C89" s="573" t="s">
        <v>2600</v>
      </c>
      <c r="D89" s="573" t="s">
        <v>2601</v>
      </c>
      <c r="E89" s="573" t="s">
        <v>2602</v>
      </c>
      <c r="F89" s="573" t="s">
        <v>2603</v>
      </c>
      <c r="G89" s="573" t="s">
        <v>2604</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2657</v>
      </c>
      <c r="C91" s="573" t="s">
        <v>2600</v>
      </c>
      <c r="D91" s="573" t="s">
        <v>2601</v>
      </c>
      <c r="E91" s="573" t="s">
        <v>2602</v>
      </c>
      <c r="F91" s="573" t="s">
        <v>2603</v>
      </c>
      <c r="G91" s="573" t="s">
        <v>2604</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2806</v>
      </c>
      <c r="C93" s="660" t="s">
        <v>2678</v>
      </c>
      <c r="D93" s="660" t="s">
        <v>2679</v>
      </c>
      <c r="E93" s="660" t="s">
        <v>2680</v>
      </c>
      <c r="F93" s="660" t="s">
        <v>2681</v>
      </c>
      <c r="G93" s="660" t="s">
        <v>2682</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2790</v>
      </c>
      <c r="D95" s="539" t="s">
        <v>2791</v>
      </c>
      <c r="E95" s="539" t="s">
        <v>2792</v>
      </c>
      <c r="F95" s="539" t="s">
        <v>2793</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2694</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2753</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2566</v>
      </c>
      <c r="B107" s="528" t="s">
        <v>2794</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2795</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2797</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2798</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5" customWidth="1"/>
    <col min="33" max="36" width="9.375" style="2803" customWidth="1"/>
    <col min="37" max="38" width="9.375" style="2727" customWidth="1"/>
    <col min="39" max="16384" width="12" style="2727"/>
  </cols>
  <sheetData>
    <row r="1" spans="1:36" ht="28.5">
      <c r="A1" s="240" t="s">
        <v>2807</v>
      </c>
      <c r="B1" s="241"/>
      <c r="C1" s="245" t="s">
        <v>2808</v>
      </c>
      <c r="D1" s="388">
        <f>SUM(D29:D30,D33:D39)</f>
        <v>0</v>
      </c>
      <c r="E1" s="2724"/>
      <c r="F1" s="2724"/>
      <c r="G1" s="2724"/>
      <c r="H1" s="2724"/>
      <c r="I1" s="2724"/>
      <c r="J1" s="2724"/>
      <c r="K1" s="1373"/>
      <c r="L1" s="2725" t="s">
        <v>2809</v>
      </c>
      <c r="M1" s="1083">
        <f>SUMPRODUCT((区片价!B5:B9=I2)*(区片价!C3:F3=E2)*(区片价!C5:F9))</f>
        <v>0</v>
      </c>
      <c r="N1" s="1086">
        <f>SUMPRODUCT((因素修正幅度!B5:B9=I2)*(因素修正幅度!C3:F3=E2)*(因素修正幅度!C5:F9))</f>
        <v>0</v>
      </c>
      <c r="O1" s="2726"/>
      <c r="P1" s="2726"/>
      <c r="Q1" s="1373"/>
      <c r="R1" s="1605" t="s">
        <v>2810</v>
      </c>
      <c r="S1" s="1605" t="s">
        <v>2811</v>
      </c>
      <c r="T1" s="1605" t="s">
        <v>2812</v>
      </c>
      <c r="U1" s="1605" t="s">
        <v>2813</v>
      </c>
      <c r="V1" s="1605" t="s">
        <v>2814</v>
      </c>
      <c r="W1" s="1609"/>
      <c r="X1" s="1609"/>
      <c r="Y1" s="1609"/>
      <c r="Z1" s="1609"/>
      <c r="AA1" s="1609"/>
      <c r="AB1" s="1609"/>
      <c r="AC1" s="1610"/>
      <c r="AD1" s="1611"/>
      <c r="AE1" s="1611"/>
      <c r="AF1" s="1611"/>
      <c r="AG1" s="1611"/>
      <c r="AH1" s="1611"/>
      <c r="AI1" s="1611"/>
      <c r="AJ1" s="1612"/>
    </row>
    <row r="2" spans="1:36" ht="15.75">
      <c r="A2" s="245" t="s">
        <v>2815</v>
      </c>
      <c r="B2" s="248" t="e">
        <f>C26</f>
        <v>#DIV/0!</v>
      </c>
      <c r="C2" s="2728" t="s">
        <v>2816</v>
      </c>
      <c r="D2" s="2729" t="s">
        <v>2817</v>
      </c>
      <c r="E2" s="2730"/>
      <c r="F2" s="2729" t="s">
        <v>2818</v>
      </c>
      <c r="G2" s="2731" t="str">
        <f>IF(E2="商业",项目基本情况!B37,IF(E2="办公",项目基本情况!C37,IF(E2="住宅",项目基本情况!D37,项目基本情况!E37)))</f>
        <v>五级</v>
      </c>
      <c r="H2" s="2729" t="s">
        <v>2819</v>
      </c>
      <c r="I2" s="2731" t="str">
        <f>IF(E2="商业",项目基本情况!B38,IF(E2="办公",项目基本情况!C38,IF(E2="住宅",项目基本情况!D38,项目基本情况!E38)))</f>
        <v>Ⅴ-10</v>
      </c>
      <c r="J2" s="2732"/>
      <c r="K2" s="1373"/>
      <c r="L2" s="2733" t="s">
        <v>2820</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2821</v>
      </c>
      <c r="B3" s="248" t="e">
        <f>ROUND(B2*10000/D1,0)</f>
        <v>#DIV/0!</v>
      </c>
      <c r="C3" s="2728" t="s">
        <v>2822</v>
      </c>
      <c r="D3" s="2729" t="s">
        <v>2823</v>
      </c>
      <c r="E3" s="2734"/>
      <c r="F3" s="2735" t="s">
        <v>2824</v>
      </c>
      <c r="G3" s="916">
        <f>IF(F3="宗地容积率",'数据-汇总表'!I4,IF(F3="估价对象容积率",'数据-汇总表'!I6,'数据-汇总表'!I7))</f>
        <v>3.26</v>
      </c>
      <c r="H3" s="198" t="s">
        <v>2825</v>
      </c>
      <c r="I3" s="947"/>
      <c r="J3" s="2732" t="s">
        <v>2826</v>
      </c>
      <c r="K3" s="1373"/>
      <c r="L3" s="2733" t="s">
        <v>2827</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51"/>
      <c r="B4" s="3252"/>
      <c r="C4" s="3252"/>
      <c r="D4" s="3253"/>
      <c r="E4" s="3253"/>
      <c r="F4" s="3253"/>
      <c r="G4" s="3253"/>
      <c r="H4" s="3253"/>
      <c r="I4" s="3253"/>
      <c r="J4" s="3254"/>
      <c r="K4" s="1373"/>
      <c r="L4" s="2733" t="s">
        <v>2828</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1.0788</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5" customFormat="1" ht="15.75" thickBot="1">
      <c r="A5" s="2736" t="s">
        <v>807</v>
      </c>
      <c r="B5" s="2737" t="s">
        <v>2829</v>
      </c>
      <c r="C5" s="917" t="e">
        <f>ROUND(IF(E2="商业",IF(F16="增加",C6*C7+C16,C6*C7-C16),IF(E2="住宅",IF(F16="增加",C6*C12+C16,C6*C12-C16),IF(F16="增加",C6+C16,C6-C16))),0)</f>
        <v>#DIV/0!</v>
      </c>
      <c r="D5" s="1790">
        <f>ROUND(IF(E2="商业",IF(F16="增加",C6+C16,C6-C16)),0)</f>
        <v>0</v>
      </c>
      <c r="E5" s="2738"/>
      <c r="F5" s="2738"/>
      <c r="G5" s="2739"/>
      <c r="H5" s="2739"/>
      <c r="I5" s="2739"/>
      <c r="J5" s="2740"/>
      <c r="K5" s="2741"/>
      <c r="L5" s="2733" t="s">
        <v>2830</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t="e">
        <f t="shared" si="0"/>
        <v>#DIV/0!</v>
      </c>
      <c r="U5" s="1606"/>
      <c r="V5" s="1605" t="e">
        <f t="shared" si="1"/>
        <v>#DIV/0!</v>
      </c>
      <c r="W5" s="1609"/>
      <c r="X5" s="1609"/>
      <c r="Y5" s="1609"/>
      <c r="Z5" s="1609"/>
      <c r="AA5" s="1609"/>
      <c r="AB5" s="1609"/>
      <c r="AC5" s="2742"/>
      <c r="AD5" s="2743"/>
      <c r="AE5" s="2743"/>
      <c r="AF5" s="2743"/>
      <c r="AG5" s="2743"/>
      <c r="AH5" s="2743"/>
      <c r="AI5" s="2743"/>
      <c r="AJ5" s="2744"/>
    </row>
    <row r="6" spans="1:36" ht="15.75" thickBot="1">
      <c r="A6" s="2746" t="s">
        <v>2831</v>
      </c>
      <c r="B6" s="2747" t="s">
        <v>2832</v>
      </c>
      <c r="C6" s="918">
        <f>SUMIF(L1:L12,G2,M1:M12)</f>
        <v>0</v>
      </c>
      <c r="D6" s="2748" t="s">
        <v>2833</v>
      </c>
      <c r="E6" s="2749"/>
      <c r="F6" s="2749"/>
      <c r="G6" s="2750"/>
      <c r="H6" s="2750"/>
      <c r="I6" s="2750"/>
      <c r="J6" s="2751"/>
      <c r="K6" s="1845"/>
      <c r="L6" s="2733" t="s">
        <v>2834</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t="e">
        <f t="shared" si="0"/>
        <v>#DIV/0!</v>
      </c>
      <c r="U6" s="1606"/>
      <c r="V6" s="1605" t="e">
        <f t="shared" si="1"/>
        <v>#DIV/0!</v>
      </c>
      <c r="W6" s="1609"/>
      <c r="X6" s="1609"/>
      <c r="Y6" s="1609"/>
      <c r="Z6" s="1609"/>
      <c r="AA6" s="1609"/>
      <c r="AB6" s="1609"/>
      <c r="AC6" s="2742"/>
      <c r="AD6" s="2743"/>
      <c r="AE6" s="2743"/>
      <c r="AF6" s="2743"/>
      <c r="AG6" s="2743"/>
      <c r="AH6" s="2743"/>
      <c r="AI6" s="2743"/>
      <c r="AJ6" s="2744"/>
    </row>
    <row r="7" spans="1:36" ht="24">
      <c r="A7" s="3237" t="str">
        <f>IF(E2="商业",IF(C8="不临58条商业街","",2),"")</f>
        <v/>
      </c>
      <c r="B7" s="2752" t="s">
        <v>2835</v>
      </c>
      <c r="C7" s="919" t="e">
        <f>IF(C8="不临58条商业街",1,ROUND(1+(1.6*E8+1.2*E9+0.8*E10+0.4*E11)*C9,4))</f>
        <v>#DIV/0!</v>
      </c>
      <c r="D7" s="2753" t="s">
        <v>2836</v>
      </c>
      <c r="E7" s="948"/>
      <c r="F7" s="2754"/>
      <c r="G7" s="2755"/>
      <c r="H7" s="2755"/>
      <c r="I7" s="2755"/>
      <c r="J7" s="2756"/>
      <c r="K7" s="1845"/>
      <c r="L7" s="2733" t="s">
        <v>2837</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t="e">
        <f t="shared" si="0"/>
        <v>#DIV/0!</v>
      </c>
      <c r="U7" s="1606"/>
      <c r="V7" s="1605" t="e">
        <f t="shared" si="1"/>
        <v>#DIV/0!</v>
      </c>
      <c r="W7" s="1819" t="s">
        <v>2838</v>
      </c>
      <c r="X7" s="1607" t="str">
        <f>G2</f>
        <v>五级</v>
      </c>
      <c r="Y7" s="1607" t="s">
        <v>2839</v>
      </c>
      <c r="Z7" s="1608">
        <f>G3</f>
        <v>3.26</v>
      </c>
      <c r="AA7" s="1609"/>
      <c r="AB7" s="1609"/>
      <c r="AC7" s="1610"/>
      <c r="AD7" s="1611"/>
      <c r="AE7" s="1611"/>
      <c r="AF7" s="1611"/>
      <c r="AG7" s="1611"/>
      <c r="AH7" s="1611"/>
      <c r="AI7" s="1611"/>
      <c r="AJ7" s="1612"/>
    </row>
    <row r="8" spans="1:36" ht="15">
      <c r="A8" s="3238"/>
      <c r="B8" s="198" t="s">
        <v>2840</v>
      </c>
      <c r="C8" s="2757"/>
      <c r="D8" s="920" t="s">
        <v>139</v>
      </c>
      <c r="E8" s="921" t="e">
        <f>ROUND(C11/E7,4)</f>
        <v>#DIV/0!</v>
      </c>
      <c r="F8" s="2758" t="s">
        <v>2841</v>
      </c>
      <c r="G8" s="2759"/>
      <c r="H8" s="2759"/>
      <c r="I8" s="2759"/>
      <c r="J8" s="2760"/>
      <c r="K8" s="1373"/>
      <c r="L8" s="2733" t="s">
        <v>2842</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48" t="s">
        <v>2843</v>
      </c>
      <c r="X8" s="3249"/>
      <c r="Y8" s="1613" t="s">
        <v>2844</v>
      </c>
      <c r="Z8" s="1613" t="s">
        <v>2845</v>
      </c>
      <c r="AA8" s="1613" t="s">
        <v>2846</v>
      </c>
      <c r="AB8" s="1613" t="s">
        <v>2847</v>
      </c>
      <c r="AC8" s="1613" t="s">
        <v>2848</v>
      </c>
      <c r="AD8" s="1613" t="s">
        <v>2849</v>
      </c>
      <c r="AE8" s="1613" t="s">
        <v>2850</v>
      </c>
      <c r="AF8" s="1613" t="s">
        <v>2851</v>
      </c>
      <c r="AG8" s="1613" t="s">
        <v>2852</v>
      </c>
      <c r="AH8" s="1613" t="s">
        <v>2853</v>
      </c>
      <c r="AI8" s="1613" t="s">
        <v>2854</v>
      </c>
      <c r="AJ8" s="1613" t="s">
        <v>2855</v>
      </c>
    </row>
    <row r="9" spans="1:36" ht="15">
      <c r="A9" s="3238"/>
      <c r="B9" s="198" t="s">
        <v>2856</v>
      </c>
      <c r="C9" s="922">
        <f>SUMIF(修正!C59:C119,C8,修正!E59:E119)</f>
        <v>0</v>
      </c>
      <c r="D9" s="200" t="s">
        <v>140</v>
      </c>
      <c r="E9" s="200" t="e">
        <f>ROUND(C11/E7,4)</f>
        <v>#DIV/0!</v>
      </c>
      <c r="F9" s="2758" t="s">
        <v>2857</v>
      </c>
      <c r="G9" s="2759"/>
      <c r="H9" s="2759"/>
      <c r="I9" s="2759"/>
      <c r="J9" s="2760"/>
      <c r="K9" s="1373"/>
      <c r="L9" s="2733" t="s">
        <v>2858</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50" t="s">
        <v>2859</v>
      </c>
      <c r="X9" s="1614" t="s">
        <v>2860</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38"/>
      <c r="B10" s="198" t="s">
        <v>2861</v>
      </c>
      <c r="C10" s="200">
        <f>SUMIF(修正!C59:C119,C8,修正!F59:F119)</f>
        <v>0</v>
      </c>
      <c r="D10" s="200" t="s">
        <v>141</v>
      </c>
      <c r="E10" s="200" t="e">
        <f>ROUND(C11/E7,4)</f>
        <v>#DIV/0!</v>
      </c>
      <c r="F10" s="2758" t="s">
        <v>2862</v>
      </c>
      <c r="G10" s="2759"/>
      <c r="H10" s="2759"/>
      <c r="I10" s="2759"/>
      <c r="J10" s="2760"/>
      <c r="K10" s="1373"/>
      <c r="L10" s="2733" t="s">
        <v>2863</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50"/>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38"/>
      <c r="B11" s="2761" t="s">
        <v>2864</v>
      </c>
      <c r="C11" s="923">
        <f>C10/4</f>
        <v>0</v>
      </c>
      <c r="D11" s="923" t="s">
        <v>142</v>
      </c>
      <c r="E11" s="923" t="e">
        <f>ROUND(C11/E7,4)</f>
        <v>#DIV/0!</v>
      </c>
      <c r="F11" s="2762" t="s">
        <v>2865</v>
      </c>
      <c r="G11" s="2763"/>
      <c r="H11" s="2763"/>
      <c r="I11" s="2763"/>
      <c r="J11" s="2764"/>
      <c r="K11" s="1373"/>
      <c r="L11" s="2733" t="s">
        <v>2866</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50" t="s">
        <v>2867</v>
      </c>
      <c r="X11" s="1617" t="s">
        <v>2868</v>
      </c>
      <c r="Y11" s="1618">
        <f>$G$3</f>
        <v>3.26</v>
      </c>
      <c r="Z11" s="1618">
        <f t="shared" ref="Z11:AJ11" si="3">$G$3</f>
        <v>3.26</v>
      </c>
      <c r="AA11" s="1618">
        <f t="shared" si="3"/>
        <v>3.26</v>
      </c>
      <c r="AB11" s="1618">
        <f t="shared" si="3"/>
        <v>3.26</v>
      </c>
      <c r="AC11" s="1618">
        <f t="shared" si="3"/>
        <v>3.26</v>
      </c>
      <c r="AD11" s="1618">
        <f t="shared" si="3"/>
        <v>3.26</v>
      </c>
      <c r="AE11" s="1618">
        <f t="shared" si="3"/>
        <v>3.26</v>
      </c>
      <c r="AF11" s="1618">
        <f t="shared" si="3"/>
        <v>3.26</v>
      </c>
      <c r="AG11" s="1618">
        <f t="shared" si="3"/>
        <v>3.26</v>
      </c>
      <c r="AH11" s="1618">
        <f t="shared" si="3"/>
        <v>3.26</v>
      </c>
      <c r="AI11" s="1618">
        <f t="shared" si="3"/>
        <v>3.26</v>
      </c>
      <c r="AJ11" s="1618">
        <f t="shared" si="3"/>
        <v>3.26</v>
      </c>
    </row>
    <row r="12" spans="1:36" ht="25.5" thickBot="1">
      <c r="A12" s="3237" t="s">
        <v>2869</v>
      </c>
      <c r="B12" s="2765" t="s">
        <v>2870</v>
      </c>
      <c r="C12" s="919">
        <f>ROUND(C15*D15*E15*F15*G15*H15*I15*J15,4)</f>
        <v>1</v>
      </c>
      <c r="D12" s="2766" t="s">
        <v>2871</v>
      </c>
      <c r="E12" s="2767"/>
      <c r="F12" s="2767"/>
      <c r="G12" s="2768"/>
      <c r="H12" s="2768"/>
      <c r="I12" s="2768"/>
      <c r="J12" s="2769"/>
      <c r="K12" s="1373"/>
      <c r="L12" s="2770" t="s">
        <v>2872</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50"/>
      <c r="X12" s="1619" t="s">
        <v>2873</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55"/>
      <c r="B13" s="2771" t="s">
        <v>2874</v>
      </c>
      <c r="C13" s="2772" t="s">
        <v>2875</v>
      </c>
      <c r="D13" s="1811" t="s">
        <v>2876</v>
      </c>
      <c r="E13" s="1811" t="s">
        <v>2877</v>
      </c>
      <c r="F13" s="30" t="s">
        <v>2878</v>
      </c>
      <c r="G13" s="2773" t="s">
        <v>2879</v>
      </c>
      <c r="H13" s="2773" t="s">
        <v>2879</v>
      </c>
      <c r="I13" s="2773" t="s">
        <v>2879</v>
      </c>
      <c r="J13" s="2774" t="s">
        <v>2879</v>
      </c>
      <c r="K13" s="1373"/>
      <c r="L13" s="1373"/>
      <c r="M13" s="1373"/>
      <c r="N13" s="1373"/>
      <c r="O13" s="1373"/>
      <c r="P13" s="1373"/>
      <c r="Q13" s="1373"/>
      <c r="R13" s="1605">
        <v>12</v>
      </c>
      <c r="S13" s="1606"/>
      <c r="T13" s="1605" t="e">
        <f t="shared" si="0"/>
        <v>#DIV/0!</v>
      </c>
      <c r="U13" s="1606"/>
      <c r="V13" s="1605" t="e">
        <f t="shared" si="1"/>
        <v>#DIV/0!</v>
      </c>
      <c r="W13" s="3250"/>
      <c r="X13" s="1619"/>
      <c r="Y13" s="1616">
        <f>(-0.163*(Y12^2)-0.59*Y12+7617)*(10^(-4))/Y11</f>
        <v>0.23365030674846629</v>
      </c>
      <c r="Z13" s="1616">
        <f t="shared" ref="Z13:AJ13" si="5">(-0.163*(Z12^2)-0.59*Z12+7617)*(10^(-4))/Z11</f>
        <v>0.23365030674846629</v>
      </c>
      <c r="AA13" s="1616">
        <f t="shared" si="5"/>
        <v>0.23365030674846629</v>
      </c>
      <c r="AB13" s="1616">
        <f t="shared" si="5"/>
        <v>0.23365030674846629</v>
      </c>
      <c r="AC13" s="1616">
        <f t="shared" si="5"/>
        <v>0.23365030674846629</v>
      </c>
      <c r="AD13" s="1616">
        <f t="shared" si="5"/>
        <v>0.23365030674846629</v>
      </c>
      <c r="AE13" s="1616">
        <f t="shared" si="5"/>
        <v>0.23365030674846629</v>
      </c>
      <c r="AF13" s="1616">
        <f t="shared" si="5"/>
        <v>0.23365030674846629</v>
      </c>
      <c r="AG13" s="1616">
        <f t="shared" si="5"/>
        <v>0.23365030674846629</v>
      </c>
      <c r="AH13" s="1616">
        <f t="shared" si="5"/>
        <v>0.23365030674846629</v>
      </c>
      <c r="AI13" s="1616">
        <f t="shared" si="5"/>
        <v>0.23365030674846629</v>
      </c>
      <c r="AJ13" s="1616">
        <f t="shared" si="5"/>
        <v>0.23365030674846629</v>
      </c>
    </row>
    <row r="14" spans="1:36" ht="15">
      <c r="A14" s="3255"/>
      <c r="B14" s="2775"/>
      <c r="C14" s="2776"/>
      <c r="D14" s="2777"/>
      <c r="E14" s="2777"/>
      <c r="F14" s="2778"/>
      <c r="G14" s="2779" t="s">
        <v>2880</v>
      </c>
      <c r="H14" s="2780"/>
      <c r="I14" s="2781"/>
      <c r="J14" s="2782"/>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56"/>
      <c r="B15" s="2783" t="s">
        <v>2881</v>
      </c>
      <c r="C15" s="229">
        <f>IF(C14="有",1.1,1)</f>
        <v>1</v>
      </c>
      <c r="D15" s="229">
        <f>IF(D14="有",1.1,1)</f>
        <v>1</v>
      </c>
      <c r="E15" s="229">
        <f>IF(E14="有",1.1,1)</f>
        <v>1</v>
      </c>
      <c r="F15" s="229">
        <f>IF(F14="500米范围内",1.2,IF(F14="500-1000米",1.1,1))</f>
        <v>1</v>
      </c>
      <c r="G15" s="949">
        <v>1</v>
      </c>
      <c r="H15" s="949">
        <v>1</v>
      </c>
      <c r="I15" s="949">
        <v>1</v>
      </c>
      <c r="J15" s="950">
        <v>1</v>
      </c>
      <c r="K15" s="1373"/>
      <c r="L15" s="2784" t="s">
        <v>2817</v>
      </c>
      <c r="M15" s="920" t="s">
        <v>2882</v>
      </c>
      <c r="N15" s="920" t="s">
        <v>2883</v>
      </c>
      <c r="O15" s="920" t="s">
        <v>2884</v>
      </c>
      <c r="P15" s="2785" t="s">
        <v>2885</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37" t="s">
        <v>2886</v>
      </c>
      <c r="B16" s="2752" t="s">
        <v>2887</v>
      </c>
      <c r="C16" s="1804" t="e">
        <f>ROUND(SUM(G17:J17)/C17,0)</f>
        <v>#DIV/0!</v>
      </c>
      <c r="D16" s="2786" t="s">
        <v>2888</v>
      </c>
      <c r="E16" s="2787"/>
      <c r="F16" s="2788"/>
      <c r="G16" s="2789"/>
      <c r="H16" s="2789"/>
      <c r="I16" s="2789"/>
      <c r="J16" s="2790"/>
      <c r="K16" s="1373"/>
      <c r="L16" s="2791" t="s">
        <v>2889</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38"/>
      <c r="B17" s="2792" t="s">
        <v>2890</v>
      </c>
      <c r="C17" s="924">
        <f>SUMPRODUCT((修正!A2:A5=E2)*(修正!B1:M1=G2)*(修正!B2:M5))</f>
        <v>0</v>
      </c>
      <c r="D17" s="2793" t="s">
        <v>2891</v>
      </c>
      <c r="E17" s="923" t="str">
        <f>IF(OR(G2="八级",G2="九级",G2="十级",G2="十一级",G2="十二级"),"五通一平","七通一平")</f>
        <v>七通一平</v>
      </c>
      <c r="F17" s="924" t="s">
        <v>2892</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4" t="s">
        <v>2893</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5"/>
      <c r="AF17" s="2795"/>
      <c r="AG17" s="2727"/>
      <c r="AH17" s="2727"/>
      <c r="AI17" s="2727"/>
      <c r="AJ17" s="2727"/>
    </row>
    <row r="18" spans="1:37" s="2745" customFormat="1" ht="15.75" thickBot="1">
      <c r="A18" s="2796" t="s">
        <v>808</v>
      </c>
      <c r="B18" s="2797" t="s">
        <v>2894</v>
      </c>
      <c r="C18" s="926">
        <f>SUMIF(修正!C18:C39,E3,修正!E18:E39)</f>
        <v>0</v>
      </c>
      <c r="D18" s="2798"/>
      <c r="E18" s="2799"/>
      <c r="F18" s="2800"/>
      <c r="G18" s="2801"/>
      <c r="H18" s="2801"/>
      <c r="I18" s="2801"/>
      <c r="J18" s="2802"/>
      <c r="K18" s="1380"/>
      <c r="O18" s="1378"/>
      <c r="P18" s="1378"/>
      <c r="Q18" s="1379"/>
      <c r="R18" s="1379"/>
      <c r="S18" s="1379"/>
      <c r="T18" s="1374"/>
      <c r="U18" s="1374"/>
      <c r="V18" s="1374"/>
      <c r="W18" s="1373"/>
      <c r="X18" s="1373"/>
      <c r="Y18" s="1373"/>
      <c r="Z18" s="1380"/>
      <c r="AA18" s="1381"/>
      <c r="AB18" s="1381"/>
      <c r="AC18" s="1381"/>
      <c r="AD18" s="1381"/>
      <c r="AE18" s="1375"/>
      <c r="AF18" s="1375"/>
      <c r="AG18" s="2803"/>
      <c r="AH18" s="2803"/>
      <c r="AI18" s="2803"/>
    </row>
    <row r="19" spans="1:37" s="2745" customFormat="1" ht="27.75" thickBot="1">
      <c r="A19" s="2796" t="s">
        <v>809</v>
      </c>
      <c r="B19" s="2797" t="s">
        <v>2895</v>
      </c>
      <c r="C19" s="927" t="e">
        <f>ROUND(IF(H19="按公示增长率计算",SUMPRODUCT((地价!A3:A24=YEAR(G19)&amp;"-"&amp;ROUNDUP(MONTH(G19)/3,0))*(地价!X2:AB2=E2)*(地价!X3:AB24)),IF(H19="地价指数",M20/M19,(1+I19)^O19)),4)</f>
        <v>#DIV/0!</v>
      </c>
      <c r="D19" s="2804" t="s">
        <v>2896</v>
      </c>
      <c r="E19" s="928">
        <v>41640</v>
      </c>
      <c r="F19" s="2804" t="s">
        <v>2897</v>
      </c>
      <c r="G19" s="929">
        <f>'数据-取费表'!B2</f>
        <v>43423</v>
      </c>
      <c r="H19" s="2805" t="s">
        <v>2898</v>
      </c>
      <c r="I19" s="930" t="str">
        <f>IF(H19="季度增幅（自定义）",SUMIF(N21:N24,E2,O21:O24),"")</f>
        <v/>
      </c>
      <c r="J19" s="2802"/>
      <c r="K19" s="1380"/>
      <c r="L19" s="2806" t="s">
        <v>2899</v>
      </c>
      <c r="M19" s="1737">
        <f>ROUND(SUMIF(地价!B2:F2,E2,地价!B24:F24),0)</f>
        <v>0</v>
      </c>
      <c r="N19" s="2807" t="s">
        <v>2900</v>
      </c>
      <c r="O19" s="931">
        <f>ROUNDDOWN(DATEDIF(E19,G19,"M")/3,0)</f>
        <v>19</v>
      </c>
      <c r="P19" s="1377"/>
      <c r="Q19" s="1379"/>
      <c r="R19" s="1379"/>
      <c r="S19" s="1379"/>
      <c r="T19" s="1374"/>
      <c r="U19" s="1374"/>
      <c r="V19" s="1374"/>
      <c r="W19" s="1373"/>
      <c r="X19" s="1373"/>
      <c r="Y19" s="1373"/>
      <c r="Z19" s="1380"/>
      <c r="AA19" s="1381"/>
      <c r="AB19" s="1381"/>
      <c r="AC19" s="1381"/>
      <c r="AD19" s="1381"/>
      <c r="AE19" s="1381"/>
      <c r="AF19" s="2808"/>
      <c r="AG19" s="2809"/>
      <c r="AH19" s="2803"/>
      <c r="AI19" s="2810"/>
      <c r="AJ19" s="2810"/>
      <c r="AK19" s="2810"/>
    </row>
    <row r="20" spans="1:37" s="2745" customFormat="1" ht="27.75" thickBot="1">
      <c r="A20" s="2811" t="s">
        <v>810</v>
      </c>
      <c r="B20" s="2812" t="s">
        <v>2901</v>
      </c>
      <c r="C20" s="932" t="e">
        <f>ROUND(POWER(1+G20,J20-I20)*(POWER(1+G20,I20)-1)/(POWER(1+G20,J20)-1),4)</f>
        <v>#DIV/0!</v>
      </c>
      <c r="D20" s="2813" t="s">
        <v>2902</v>
      </c>
      <c r="E20" s="1771">
        <f ca="1">存贷款利率!D4/100</f>
        <v>4.3499999999999997E-2</v>
      </c>
      <c r="F20" s="2813" t="s">
        <v>2893</v>
      </c>
      <c r="G20" s="937">
        <f>SUMIF(M15:P15,E2,M17:P17)</f>
        <v>0</v>
      </c>
      <c r="H20" s="2813" t="s">
        <v>2903</v>
      </c>
      <c r="I20" s="938" t="e">
        <f>SUMIF('数据-取费表'!C6:C15,E2,'数据-取费表'!F6:F15)/COUNTIF('数据-取费表'!C6:C15,E2)</f>
        <v>#DIV/0!</v>
      </c>
      <c r="J20" s="939">
        <f>IF(E2="住宅",70,IF(E2="商业",40,50))</f>
        <v>50</v>
      </c>
      <c r="K20" s="1380"/>
      <c r="L20" s="2814" t="s">
        <v>2904</v>
      </c>
      <c r="M20" s="1738">
        <f>ROUND(SUMPRODUCT((地价!A4:A24=YEAR(G19)&amp;"-"&amp;ROUNDUP(MONTH(G19)/3,0))*(地价!B2:F2=E2)*(地价!B4:F24)),0)</f>
        <v>0</v>
      </c>
      <c r="N20" s="2815" t="s">
        <v>2905</v>
      </c>
      <c r="O20" s="2816" t="s">
        <v>2906</v>
      </c>
      <c r="P20" s="2817" t="s">
        <v>2907</v>
      </c>
      <c r="R20" s="1379"/>
      <c r="S20" s="1379"/>
      <c r="T20" s="1374"/>
      <c r="U20" s="1374"/>
      <c r="V20" s="1374"/>
      <c r="W20" s="1373"/>
      <c r="X20" s="1373"/>
      <c r="Y20" s="1373"/>
      <c r="Z20" s="1380"/>
      <c r="AA20" s="1381"/>
      <c r="AB20" s="1381"/>
      <c r="AC20" s="1381"/>
      <c r="AD20" s="1381"/>
      <c r="AE20" s="1381"/>
      <c r="AF20" s="1381"/>
    </row>
    <row r="21" spans="1:37" s="2745" customFormat="1" ht="15">
      <c r="A21" s="2818" t="s">
        <v>811</v>
      </c>
      <c r="B21" s="2819" t="s">
        <v>2908</v>
      </c>
      <c r="C21" s="940">
        <f>IF(B21="容积率修正",IF(G3&lt;=10,D22,J22),C23)</f>
        <v>0</v>
      </c>
      <c r="D21" s="2820"/>
      <c r="E21" s="2820"/>
      <c r="F21" s="2820"/>
      <c r="G21" s="2820"/>
      <c r="H21" s="2820"/>
      <c r="I21" s="2820"/>
      <c r="J21" s="2821"/>
      <c r="K21" s="1380"/>
      <c r="N21" s="2822" t="s">
        <v>2909</v>
      </c>
      <c r="O21" s="1564"/>
      <c r="P21" s="1565">
        <f>SUMPRODUCT((地价!A3:A24=YEAR(G19)&amp;"-"&amp;ROUNDUP(MONTH(G19)/3,0))*(地价!AD2:AH2=N21)*(地价!AD3:AH24))</f>
        <v>1.5299999999999999E-2</v>
      </c>
      <c r="R21" s="1379"/>
      <c r="S21" s="1379"/>
      <c r="T21" s="1374"/>
      <c r="U21" s="1374"/>
      <c r="V21" s="1374"/>
      <c r="W21" s="1373"/>
      <c r="X21" s="1373"/>
      <c r="Y21" s="1373"/>
      <c r="Z21" s="1380"/>
      <c r="AA21" s="1381"/>
      <c r="AB21" s="1381"/>
      <c r="AC21" s="1381"/>
      <c r="AD21" s="1381"/>
      <c r="AE21" s="1381"/>
      <c r="AF21" s="1381"/>
    </row>
    <row r="22" spans="1:37" s="2745" customFormat="1" ht="14.25">
      <c r="A22" s="2671" t="s">
        <v>2910</v>
      </c>
      <c r="B22" s="2823" t="s">
        <v>2911</v>
      </c>
      <c r="C22" s="1813" t="s">
        <v>2912</v>
      </c>
      <c r="D22" s="1813">
        <f>IF(E22=G22,F22,IF(G3&lt;=10,ROUND(F22+(H22-F22)*(G3-E22)/(G22-E22),4),"——"))</f>
        <v>0.4365</v>
      </c>
      <c r="E22" s="916">
        <f>ROUNDDOWN(G3,1)</f>
        <v>3.2</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3.3000000000000003</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0.72750000000000004</v>
      </c>
      <c r="I22" s="1813" t="s">
        <v>155</v>
      </c>
      <c r="J22" s="941" t="str">
        <f>IF(G3&gt;10,D113,"——")</f>
        <v>——</v>
      </c>
      <c r="K22" s="1380"/>
      <c r="N22" s="2822" t="s">
        <v>2913</v>
      </c>
      <c r="O22" s="1564"/>
      <c r="P22" s="1565">
        <f>SUMPRODUCT((地价!A3:A24=YEAR(G19)&amp;"-"&amp;ROUNDUP(MONTH(G19)/3,0))*(地价!AD2:AH2=N22)*(地价!AD3:AH24))</f>
        <v>1.5299999999999999E-2</v>
      </c>
      <c r="R22" s="1379"/>
      <c r="S22" s="1379"/>
      <c r="T22" s="1374"/>
      <c r="U22" s="1374"/>
      <c r="V22" s="1374"/>
      <c r="W22" s="1373"/>
      <c r="X22" s="1373"/>
      <c r="Y22" s="1373"/>
      <c r="Z22" s="1380"/>
      <c r="AA22" s="1381"/>
      <c r="AB22" s="1381"/>
      <c r="AC22" s="1381"/>
      <c r="AD22" s="1381"/>
      <c r="AE22" s="1381"/>
      <c r="AF22" s="1381"/>
    </row>
    <row r="23" spans="1:37" ht="27.75" thickBot="1">
      <c r="A23" s="2671" t="s">
        <v>2914</v>
      </c>
      <c r="B23" s="2824" t="s">
        <v>2915</v>
      </c>
      <c r="C23" s="1016">
        <f>ROUND(IF(G3&gt;1,IF(I3&lt;7,SUMPRODUCT((B93:B98=I3)*(C92:N92=G2)*(C93:N98)),SUMIF(C92:N92,G2,C100:N100)),IF(I3&lt;7,SUMPRODUCT((B102:B107=I3)*(C92:N92=G2)*(C102:N107)),SUMIF(C92:N92,G2,C109:N109))),4)</f>
        <v>0</v>
      </c>
      <c r="D23" s="2780"/>
      <c r="E23" s="2780"/>
      <c r="F23" s="2825"/>
      <c r="G23" s="2826"/>
      <c r="H23" s="2827"/>
      <c r="I23" s="2828"/>
      <c r="J23" s="2829"/>
      <c r="K23" s="1373"/>
      <c r="N23" s="2822" t="s">
        <v>2916</v>
      </c>
      <c r="O23" s="1564"/>
      <c r="P23" s="1565">
        <f>SUMPRODUCT((地价!A3:A24=YEAR(G19)&amp;"-"&amp;ROUNDUP(MONTH(G19)/3,0))*(地价!AD2:AH2=N23)*(地价!AD3:AH24))</f>
        <v>2.41E-2</v>
      </c>
      <c r="R23" s="1379"/>
      <c r="S23" s="1379"/>
      <c r="T23" s="1374"/>
      <c r="U23" s="1374"/>
      <c r="V23" s="1374"/>
      <c r="W23" s="1373"/>
      <c r="X23" s="1373"/>
      <c r="Y23" s="1373"/>
      <c r="Z23" s="1380"/>
      <c r="AA23" s="1381"/>
      <c r="AB23" s="1381"/>
      <c r="AC23" s="1381"/>
      <c r="AD23" s="1381"/>
      <c r="AK23" s="2803"/>
    </row>
    <row r="24" spans="1:37" s="2745" customFormat="1" ht="15.75" thickBot="1">
      <c r="A24" s="2811" t="s">
        <v>812</v>
      </c>
      <c r="B24" s="2797" t="s">
        <v>2917</v>
      </c>
      <c r="C24" s="927">
        <f>SUMIF(A45:A88,E2,B45:B88)</f>
        <v>0</v>
      </c>
      <c r="D24" s="2800"/>
      <c r="E24" s="2830"/>
      <c r="F24" s="2830"/>
      <c r="G24" s="2830"/>
      <c r="H24" s="2830"/>
      <c r="I24" s="2830"/>
      <c r="J24" s="2831"/>
      <c r="K24" s="1380"/>
      <c r="N24" s="2832" t="s">
        <v>2918</v>
      </c>
      <c r="O24" s="1566"/>
      <c r="P24" s="1567">
        <f>SUMPRODUCT((地价!A3:A24=YEAR(G19)&amp;"-"&amp;ROUNDUP(MONTH(G19)/3,0))*(地价!AD2:AH2=N24)*(地价!AD3:AH24))</f>
        <v>1.4200000000000001E-2</v>
      </c>
      <c r="R24" s="1379"/>
      <c r="S24" s="1379"/>
      <c r="T24" s="1374"/>
      <c r="U24" s="1374"/>
      <c r="V24" s="1374"/>
      <c r="W24" s="1373"/>
      <c r="X24" s="1373"/>
      <c r="Y24" s="1373"/>
      <c r="Z24" s="1380"/>
      <c r="AA24" s="1381"/>
      <c r="AB24" s="1381"/>
      <c r="AC24" s="1381"/>
      <c r="AD24" s="1381"/>
      <c r="AE24" s="1381"/>
      <c r="AF24" s="1381"/>
    </row>
    <row r="25" spans="1:37" ht="15.75" thickBot="1">
      <c r="A25" s="2811" t="s">
        <v>813</v>
      </c>
      <c r="B25" s="2833" t="s">
        <v>2919</v>
      </c>
      <c r="C25" s="933"/>
      <c r="D25" s="2755"/>
      <c r="E25" s="2755"/>
      <c r="F25" s="2834"/>
      <c r="G25" s="2755"/>
      <c r="H25" s="2755"/>
      <c r="I25" s="2755"/>
      <c r="J25" s="2756"/>
      <c r="K25" s="1373"/>
      <c r="N25" s="2835" t="s">
        <v>2920</v>
      </c>
      <c r="O25" s="1568"/>
      <c r="P25" s="1567">
        <f>SUMPRODUCT((地价!A3:A24=YEAR(G19)&amp;"-"&amp;ROUNDUP(MONTH(G19)/3,0))*(地价!AD2:AH2=N25)*(地价!AD3:AH24))</f>
        <v>2.1899999999999999E-2</v>
      </c>
      <c r="R25" s="1379"/>
      <c r="S25" s="1379"/>
      <c r="T25" s="1374"/>
      <c r="U25" s="1374"/>
      <c r="V25" s="1374"/>
      <c r="W25" s="1373"/>
      <c r="X25" s="1373"/>
      <c r="Y25" s="1373"/>
      <c r="Z25" s="1380"/>
      <c r="AA25" s="1381"/>
      <c r="AB25" s="1381"/>
      <c r="AC25" s="1381"/>
      <c r="AD25" s="1381"/>
    </row>
    <row r="26" spans="1:37" ht="15">
      <c r="A26" s="2836"/>
      <c r="B26" s="2823" t="s">
        <v>2921</v>
      </c>
      <c r="C26" s="206" t="e">
        <f>E29+SUM(E33:E39)</f>
        <v>#DIV/0!</v>
      </c>
      <c r="D26" s="2837"/>
      <c r="E26" s="2780"/>
      <c r="F26" s="2838"/>
      <c r="G26" s="2780"/>
      <c r="H26" s="2780"/>
      <c r="I26" s="2780"/>
      <c r="J26" s="2839"/>
      <c r="K26" s="1373"/>
      <c r="R26" s="1379"/>
      <c r="S26" s="1379"/>
      <c r="T26" s="1374"/>
      <c r="U26" s="1374"/>
      <c r="V26" s="1374"/>
      <c r="W26" s="1373"/>
      <c r="X26" s="1373"/>
      <c r="Y26" s="1373"/>
      <c r="Z26" s="1380"/>
      <c r="AA26" s="1381"/>
      <c r="AB26" s="1381"/>
      <c r="AC26" s="1381"/>
      <c r="AD26" s="1381"/>
    </row>
    <row r="27" spans="1:37" ht="15.75" thickBot="1">
      <c r="A27" s="2836"/>
      <c r="B27" s="2840" t="s">
        <v>2922</v>
      </c>
      <c r="C27" s="934" t="e">
        <f>E30+SUM(I33:I39)</f>
        <v>#DIV/0!</v>
      </c>
      <c r="D27" s="2841"/>
      <c r="E27" s="2842"/>
      <c r="F27" s="2843"/>
      <c r="G27" s="2842"/>
      <c r="H27" s="2842"/>
      <c r="I27" s="2842"/>
      <c r="J27" s="2844"/>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5"/>
      <c r="B28" s="2846" t="s">
        <v>2923</v>
      </c>
      <c r="C28" s="2847" t="s">
        <v>2924</v>
      </c>
      <c r="D28" s="2847" t="s">
        <v>2925</v>
      </c>
      <c r="E28" s="2848" t="s">
        <v>2926</v>
      </c>
      <c r="F28" s="2849"/>
      <c r="G28" s="2768"/>
      <c r="H28" s="2768"/>
      <c r="I28" s="2768"/>
      <c r="J28" s="276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50"/>
      <c r="B29" s="2851" t="s">
        <v>2927</v>
      </c>
      <c r="C29" s="206" t="e">
        <f>ROUND(C5*C18*C19*C20*C21*C24,0)</f>
        <v>#DIV/0!</v>
      </c>
      <c r="D29" s="2852"/>
      <c r="E29" s="945" t="e">
        <f>ROUND(C29*D29/10000,0)</f>
        <v>#DIV/0!</v>
      </c>
      <c r="F29" s="2853" t="s">
        <v>2928</v>
      </c>
      <c r="G29" s="2854"/>
      <c r="H29" s="2854"/>
      <c r="I29" s="2854"/>
      <c r="J29" s="2855"/>
      <c r="K29" s="1373"/>
      <c r="L29" s="1373"/>
      <c r="M29" s="1373"/>
      <c r="N29" s="1373"/>
      <c r="O29" s="1378"/>
      <c r="P29" s="1378"/>
      <c r="Q29" s="1379"/>
      <c r="R29" s="1379"/>
      <c r="S29" s="1379"/>
      <c r="T29" s="1374"/>
      <c r="U29" s="1374"/>
      <c r="V29" s="1374"/>
      <c r="W29" s="1373"/>
      <c r="X29" s="1373"/>
      <c r="Y29" s="1373"/>
      <c r="Z29" s="1380"/>
      <c r="AA29" s="1381"/>
      <c r="AB29" s="1381"/>
      <c r="AC29" s="1381"/>
      <c r="AD29" s="1381"/>
      <c r="AE29" s="2795"/>
      <c r="AF29" s="2795"/>
      <c r="AG29" s="2727"/>
      <c r="AH29" s="2727"/>
      <c r="AI29" s="2727"/>
      <c r="AJ29" s="2727"/>
    </row>
    <row r="30" spans="1:37" ht="25.5" thickBot="1">
      <c r="A30" s="2856"/>
      <c r="B30" s="2857" t="s">
        <v>2929</v>
      </c>
      <c r="C30" s="229" t="e">
        <f>ROUND(IF(E2="工业",C29*M39,C29*M38),0)</f>
        <v>#DIV/0!</v>
      </c>
      <c r="D30" s="2858"/>
      <c r="E30" s="945" t="e">
        <f>ROUND(C30*D30/10000,0)</f>
        <v>#DIV/0!</v>
      </c>
      <c r="F30" s="2859" t="s">
        <v>2930</v>
      </c>
      <c r="G30" s="2860"/>
      <c r="H30" s="2860"/>
      <c r="I30" s="2860"/>
      <c r="J30" s="2861"/>
      <c r="K30" s="1373"/>
      <c r="L30" s="1373"/>
      <c r="M30" s="1373"/>
      <c r="N30" s="1373"/>
      <c r="O30" s="1378"/>
      <c r="P30" s="1378"/>
      <c r="Q30" s="1379"/>
      <c r="R30" s="1379"/>
      <c r="S30" s="1379"/>
      <c r="T30" s="1374"/>
      <c r="U30" s="1374"/>
      <c r="V30" s="1374"/>
      <c r="W30" s="1373"/>
      <c r="X30" s="1373"/>
      <c r="Y30" s="1373"/>
      <c r="Z30" s="1380"/>
      <c r="AA30" s="1381"/>
      <c r="AB30" s="1381"/>
      <c r="AC30" s="1381"/>
      <c r="AD30" s="1381"/>
      <c r="AE30" s="2795"/>
      <c r="AF30" s="2795"/>
      <c r="AG30" s="2727"/>
      <c r="AH30" s="2727"/>
      <c r="AI30" s="2727"/>
      <c r="AJ30" s="2727"/>
    </row>
    <row r="31" spans="1:37" ht="14.25">
      <c r="A31" s="2862"/>
      <c r="B31" s="2863" t="s">
        <v>2931</v>
      </c>
      <c r="C31" s="2864" t="s">
        <v>2932</v>
      </c>
      <c r="D31" s="2768"/>
      <c r="E31" s="2864"/>
      <c r="F31" s="2864"/>
      <c r="G31" s="2766" t="s">
        <v>2933</v>
      </c>
      <c r="H31" s="2768"/>
      <c r="I31" s="2865"/>
      <c r="J31" s="2769"/>
      <c r="K31" s="1373"/>
      <c r="L31" s="1373"/>
      <c r="M31" s="1373"/>
      <c r="N31" s="1373"/>
      <c r="O31" s="1378"/>
      <c r="P31" s="1378"/>
      <c r="Q31" s="1379"/>
      <c r="R31" s="1379"/>
      <c r="S31" s="1379"/>
      <c r="T31" s="1374"/>
      <c r="U31" s="1374"/>
      <c r="V31" s="1374"/>
      <c r="W31" s="1373"/>
      <c r="X31" s="1373"/>
      <c r="Y31" s="1373"/>
      <c r="Z31" s="1380"/>
      <c r="AA31" s="1381"/>
      <c r="AB31" s="1381"/>
      <c r="AC31" s="1381"/>
      <c r="AD31" s="1381"/>
      <c r="AE31" s="2795"/>
      <c r="AF31" s="2795"/>
      <c r="AG31" s="2727"/>
      <c r="AH31" s="2727"/>
      <c r="AI31" s="2727"/>
      <c r="AJ31" s="2727"/>
    </row>
    <row r="32" spans="1:37" ht="24">
      <c r="A32" s="2850"/>
      <c r="B32" s="2866"/>
      <c r="C32" s="501" t="s">
        <v>2924</v>
      </c>
      <c r="D32" s="498" t="s">
        <v>2925</v>
      </c>
      <c r="E32" s="498" t="s">
        <v>2926</v>
      </c>
      <c r="F32" s="388" t="s">
        <v>2934</v>
      </c>
      <c r="G32" s="2867" t="s">
        <v>2924</v>
      </c>
      <c r="H32" s="2867" t="s">
        <v>2925</v>
      </c>
      <c r="I32" s="2867" t="s">
        <v>2926</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5"/>
      <c r="AF32" s="2795"/>
      <c r="AG32" s="2727"/>
      <c r="AH32" s="2727"/>
      <c r="AI32" s="2727"/>
      <c r="AJ32" s="2727"/>
    </row>
    <row r="33" spans="1:37" ht="36" customHeight="1">
      <c r="A33" s="3245" t="s">
        <v>2935</v>
      </c>
      <c r="B33" s="2868" t="s">
        <v>2936</v>
      </c>
      <c r="C33" s="206" t="e">
        <f>ROUND(D5*C19*C20*C24*F33,0)</f>
        <v>#DIV/0!</v>
      </c>
      <c r="D33" s="2852"/>
      <c r="E33" s="200" t="e">
        <f>ROUND(C33*D33/10000,0)</f>
        <v>#DIV/0!</v>
      </c>
      <c r="F33" s="200">
        <f>SUMIF(修正!A45:A56,G2,修正!B45:B56)</f>
        <v>0.7</v>
      </c>
      <c r="G33" s="200" t="e">
        <f t="shared" ref="G33" si="6">ROUND(IF(E2="工业",C33*$M$39,C33*$M$38),0)</f>
        <v>#DIV/0!</v>
      </c>
      <c r="H33" s="200">
        <f>D33</f>
        <v>0</v>
      </c>
      <c r="I33" s="200" t="e">
        <f>ROUND(G33*H33/10000,0)</f>
        <v>#DIV/0!</v>
      </c>
      <c r="J33" s="2869"/>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6"/>
      <c r="B34" s="2772" t="s">
        <v>2937</v>
      </c>
      <c r="C34" s="206" t="e">
        <f>ROUND(D5*C19*C20*C24*F34,0)</f>
        <v>#DIV/0!</v>
      </c>
      <c r="D34" s="2852"/>
      <c r="E34" s="200" t="e">
        <f t="shared" ref="E34:E39" si="7">ROUND(C34*D34/10000,0)</f>
        <v>#DIV/0!</v>
      </c>
      <c r="F34" s="200">
        <f>SUMIF(修正!A45:A56,G2,修正!C45:C56)</f>
        <v>0.4</v>
      </c>
      <c r="G34" s="200" t="e">
        <f>ROUND(IF(E2="工业",C34*$M$39,C34*$M$38),0)</f>
        <v>#DIV/0!</v>
      </c>
      <c r="H34" s="200">
        <f t="shared" ref="H34:H39" si="8">D34</f>
        <v>0</v>
      </c>
      <c r="I34" s="200" t="e">
        <f t="shared" ref="I34:I39" si="9">ROUND(G34*H34/10000,0)</f>
        <v>#DIV/0!</v>
      </c>
      <c r="J34" s="2869"/>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6"/>
      <c r="B35" s="2772" t="s">
        <v>2938</v>
      </c>
      <c r="C35" s="206" t="e">
        <f>ROUND(D5*C19*C20*C24*F35,0)</f>
        <v>#DIV/0!</v>
      </c>
      <c r="D35" s="2852"/>
      <c r="E35" s="200" t="e">
        <f t="shared" si="7"/>
        <v>#DIV/0!</v>
      </c>
      <c r="F35" s="200">
        <f>SUMIF(修正!A45:A56,G2,修正!D45:D56)</f>
        <v>0.28000000000000003</v>
      </c>
      <c r="G35" s="200" t="e">
        <f>ROUND(IF(E2="工业",C35*$M$39,C35*$M$38),0)</f>
        <v>#DIV/0!</v>
      </c>
      <c r="H35" s="200">
        <f t="shared" si="8"/>
        <v>0</v>
      </c>
      <c r="I35" s="200" t="e">
        <f t="shared" si="9"/>
        <v>#DIV/0!</v>
      </c>
      <c r="J35" s="2869"/>
      <c r="K35" s="1373"/>
      <c r="L35" s="1373"/>
      <c r="M35" s="1373"/>
      <c r="N35" s="1373"/>
      <c r="O35" s="1373"/>
      <c r="P35" s="1373"/>
      <c r="Q35" s="1373"/>
      <c r="R35" s="1373"/>
      <c r="S35" s="1373"/>
      <c r="T35" s="1373"/>
      <c r="U35" s="1373"/>
      <c r="V35" s="1373"/>
      <c r="W35" s="1373"/>
      <c r="X35" s="1373"/>
      <c r="Y35" s="1373"/>
      <c r="Z35" s="1374"/>
    </row>
    <row r="36" spans="1:37" ht="13.5" thickBot="1">
      <c r="A36" s="3247"/>
      <c r="B36" s="2772" t="s">
        <v>2939</v>
      </c>
      <c r="C36" s="206" t="e">
        <f>ROUND(D5*C19*C20*C24*F36,0)</f>
        <v>#DIV/0!</v>
      </c>
      <c r="D36" s="2852"/>
      <c r="E36" s="200" t="e">
        <f t="shared" si="7"/>
        <v>#DIV/0!</v>
      </c>
      <c r="F36" s="200">
        <f>SUMIF(修正!A45:A56,G2,修正!E45:E56)</f>
        <v>0.25</v>
      </c>
      <c r="G36" s="200" t="e">
        <f>ROUND(IF(E2="工业",C36*$M$39,C36*$M$38),0)</f>
        <v>#DIV/0!</v>
      </c>
      <c r="H36" s="200">
        <f t="shared" si="8"/>
        <v>0</v>
      </c>
      <c r="I36" s="200" t="e">
        <f t="shared" si="9"/>
        <v>#DIV/0!</v>
      </c>
      <c r="J36" s="2869"/>
      <c r="K36" s="1373"/>
      <c r="L36" s="2726"/>
      <c r="M36" s="2726"/>
      <c r="N36" s="1373"/>
      <c r="O36" s="1373"/>
      <c r="P36" s="1373"/>
      <c r="Q36" s="1373"/>
      <c r="R36" s="1373"/>
      <c r="S36" s="1373"/>
      <c r="T36" s="1373"/>
      <c r="U36" s="1373"/>
      <c r="V36" s="1373"/>
      <c r="W36" s="1373"/>
      <c r="X36" s="1373"/>
      <c r="Y36" s="1373"/>
      <c r="Z36" s="1374"/>
    </row>
    <row r="37" spans="1:37">
      <c r="A37" s="2870"/>
      <c r="B37" s="2772" t="s">
        <v>2940</v>
      </c>
      <c r="C37" s="200" t="e">
        <f>ROUND(C5*C19*C20*C24*F37,0)</f>
        <v>#DIV/0!</v>
      </c>
      <c r="D37" s="2852"/>
      <c r="E37" s="200" t="e">
        <f t="shared" si="7"/>
        <v>#DIV/0!</v>
      </c>
      <c r="F37" s="206">
        <f>SUMIF(修正!A45:A56,G2,修正!F45:F56)</f>
        <v>0.25</v>
      </c>
      <c r="G37" s="200" t="e">
        <f>ROUND(IF(E2="工业",C37*$M$39,C37*$M$38),0)</f>
        <v>#DIV/0!</v>
      </c>
      <c r="H37" s="200">
        <f t="shared" si="8"/>
        <v>0</v>
      </c>
      <c r="I37" s="200" t="e">
        <f t="shared" si="9"/>
        <v>#DIV/0!</v>
      </c>
      <c r="J37" s="2869"/>
      <c r="K37" s="1373"/>
      <c r="L37" s="2871" t="s">
        <v>2941</v>
      </c>
      <c r="M37" s="2872"/>
      <c r="N37" s="1373"/>
      <c r="O37" s="1373"/>
      <c r="P37" s="1373"/>
      <c r="Q37" s="1373"/>
      <c r="R37" s="1373"/>
      <c r="S37" s="1373"/>
      <c r="T37" s="1373"/>
      <c r="U37" s="1373"/>
      <c r="V37" s="1373"/>
      <c r="W37" s="1373"/>
      <c r="X37" s="1373"/>
      <c r="Y37" s="1373"/>
      <c r="Z37" s="1374"/>
    </row>
    <row r="38" spans="1:37">
      <c r="A38" s="2870"/>
      <c r="B38" s="2772" t="s">
        <v>2942</v>
      </c>
      <c r="C38" s="200" t="e">
        <f>ROUND(C5*C19*C20*C24*F38,0)</f>
        <v>#DIV/0!</v>
      </c>
      <c r="D38" s="2852"/>
      <c r="E38" s="200" t="e">
        <f t="shared" si="7"/>
        <v>#DIV/0!</v>
      </c>
      <c r="F38" s="206">
        <f>SUMIF(修正!A45:A56,G2,修正!G45:G56)</f>
        <v>0.25</v>
      </c>
      <c r="G38" s="200" t="e">
        <f>ROUND(IF(E2="工业",C38*$M$39,C38*$M$38),0)</f>
        <v>#DIV/0!</v>
      </c>
      <c r="H38" s="200">
        <f t="shared" si="8"/>
        <v>0</v>
      </c>
      <c r="I38" s="200" t="e">
        <f t="shared" si="9"/>
        <v>#DIV/0!</v>
      </c>
      <c r="J38" s="2869"/>
      <c r="K38" s="1373"/>
      <c r="L38" s="1890" t="s">
        <v>2943</v>
      </c>
      <c r="M38" s="2873">
        <v>0.25</v>
      </c>
      <c r="N38" s="1373"/>
      <c r="O38" s="1373"/>
      <c r="P38" s="1373"/>
      <c r="Q38" s="1373"/>
      <c r="R38" s="1373"/>
      <c r="S38" s="1373"/>
      <c r="T38" s="1373"/>
      <c r="U38" s="1373"/>
      <c r="V38" s="1373"/>
      <c r="W38" s="1373"/>
      <c r="X38" s="1373"/>
      <c r="Y38" s="1373"/>
      <c r="Z38" s="1374"/>
    </row>
    <row r="39" spans="1:37" ht="13.5" thickBot="1">
      <c r="A39" s="2856"/>
      <c r="B39" s="2874" t="s">
        <v>2944</v>
      </c>
      <c r="C39" s="229" t="e">
        <f>ROUND(C5*C19*C20*C24*F39,0)</f>
        <v>#DIV/0!</v>
      </c>
      <c r="D39" s="2858"/>
      <c r="E39" s="229" t="e">
        <f t="shared" si="7"/>
        <v>#DIV/0!</v>
      </c>
      <c r="F39" s="935">
        <f>SUMIF(修正!A45:A56,G2,修正!H45:H56)</f>
        <v>0.2</v>
      </c>
      <c r="G39" s="229" t="e">
        <f>ROUND(IF(E2="工业",C39*$M$39,C39*$M$38),0)</f>
        <v>#DIV/0!</v>
      </c>
      <c r="H39" s="229">
        <f t="shared" si="8"/>
        <v>0</v>
      </c>
      <c r="I39" s="229" t="e">
        <f t="shared" si="9"/>
        <v>#DIV/0!</v>
      </c>
      <c r="J39" s="2875"/>
      <c r="K39" s="1373"/>
      <c r="L39" s="2876" t="s">
        <v>2885</v>
      </c>
      <c r="M39" s="2877">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8"/>
      <c r="Z41" s="1374"/>
      <c r="AA41" s="1374"/>
      <c r="AB41" s="1374"/>
      <c r="AC41" s="1374"/>
      <c r="AD41" s="1374"/>
      <c r="AE41" s="1374"/>
      <c r="AF41" s="1374"/>
      <c r="AG41" s="1374"/>
      <c r="AH41" s="1374"/>
      <c r="AI41" s="1374"/>
      <c r="AJ41" s="1374"/>
    </row>
    <row r="42" spans="1:37" s="1373" customFormat="1">
      <c r="A42" s="1374"/>
      <c r="B42" s="2878"/>
      <c r="Z42" s="1374"/>
      <c r="AA42" s="1374"/>
      <c r="AB42" s="1374"/>
      <c r="AC42" s="1374"/>
      <c r="AD42" s="1374"/>
      <c r="AE42" s="1374"/>
      <c r="AF42" s="1374"/>
      <c r="AG42" s="1374"/>
      <c r="AH42" s="1374"/>
      <c r="AI42" s="1374"/>
      <c r="AJ42" s="1374"/>
    </row>
    <row r="43" spans="1:37" s="1373" customFormat="1">
      <c r="A43" s="1374"/>
      <c r="B43" s="2878"/>
      <c r="Z43" s="1374"/>
      <c r="AA43" s="1374"/>
      <c r="AB43" s="1374"/>
      <c r="AC43" s="1374"/>
      <c r="AD43" s="1374"/>
      <c r="AE43" s="1374"/>
      <c r="AF43" s="1374"/>
      <c r="AG43" s="1374"/>
      <c r="AH43" s="1374"/>
      <c r="AI43" s="1374"/>
      <c r="AJ43" s="1374"/>
    </row>
    <row r="44" spans="1:37" s="1373" customFormat="1">
      <c r="A44" s="1374"/>
      <c r="B44" s="2878"/>
      <c r="Z44" s="1374"/>
      <c r="AA44" s="1374"/>
      <c r="AB44" s="1374"/>
      <c r="AC44" s="1374"/>
      <c r="AD44" s="1374"/>
      <c r="AE44" s="1374"/>
      <c r="AF44" s="1374"/>
      <c r="AG44" s="1374"/>
      <c r="AH44" s="1374"/>
      <c r="AI44" s="1374"/>
      <c r="AJ44" s="1374"/>
    </row>
    <row r="45" spans="1:37" s="1373" customFormat="1" ht="15.75" thickBot="1">
      <c r="A45" s="2879" t="s">
        <v>2945</v>
      </c>
      <c r="B45" s="2880"/>
      <c r="C45" s="7"/>
      <c r="D45" s="7"/>
      <c r="E45" s="7"/>
      <c r="F45" s="6"/>
      <c r="G45" s="6"/>
      <c r="H45" s="6"/>
      <c r="I45" s="7"/>
      <c r="J45" s="7"/>
      <c r="K45" s="7"/>
      <c r="L45" s="7"/>
      <c r="M45" s="7"/>
      <c r="N45" s="2795"/>
      <c r="Z45" s="1374"/>
      <c r="AA45" s="1374"/>
      <c r="AB45" s="1374"/>
      <c r="AC45" s="1374"/>
      <c r="AD45" s="1374"/>
      <c r="AE45" s="1374"/>
      <c r="AF45" s="1374"/>
      <c r="AG45" s="1374"/>
      <c r="AH45" s="1374"/>
      <c r="AI45" s="1374"/>
      <c r="AJ45" s="1374"/>
    </row>
    <row r="46" spans="1:37" s="1373" customFormat="1" ht="15">
      <c r="A46" s="2881" t="s">
        <v>2946</v>
      </c>
      <c r="B46" s="2882">
        <f>1+E48</f>
        <v>1</v>
      </c>
      <c r="C46" s="2883"/>
      <c r="D46" s="814"/>
      <c r="E46" s="815"/>
      <c r="F46" s="2884"/>
      <c r="G46" s="6"/>
      <c r="H46" s="7"/>
      <c r="I46" s="7"/>
      <c r="J46" s="7"/>
      <c r="K46" s="7"/>
      <c r="L46" s="7"/>
      <c r="M46" s="7"/>
      <c r="N46" s="2795"/>
      <c r="Z46" s="1374"/>
      <c r="AA46" s="1374"/>
      <c r="AB46" s="1374"/>
      <c r="AC46" s="1374"/>
      <c r="AD46" s="1374"/>
      <c r="AE46" s="1374"/>
      <c r="AF46" s="1374"/>
      <c r="AG46" s="1374"/>
      <c r="AH46" s="1374"/>
      <c r="AI46" s="1374"/>
      <c r="AJ46" s="1374"/>
    </row>
    <row r="47" spans="1:37" s="1373" customFormat="1" ht="24.75">
      <c r="A47" s="2885" t="s">
        <v>2947</v>
      </c>
      <c r="B47" s="1812" t="s">
        <v>2948</v>
      </c>
      <c r="C47" s="1812" t="s">
        <v>2949</v>
      </c>
      <c r="D47" s="1812" t="s">
        <v>2950</v>
      </c>
      <c r="E47" s="819" t="s">
        <v>2951</v>
      </c>
      <c r="F47" s="2886" t="s">
        <v>2952</v>
      </c>
      <c r="G47" s="1812" t="s">
        <v>754</v>
      </c>
      <c r="H47" s="2887" t="s">
        <v>2953</v>
      </c>
      <c r="I47" s="1812" t="s">
        <v>2954</v>
      </c>
      <c r="J47" s="603" t="s">
        <v>2600</v>
      </c>
      <c r="K47" s="603" t="s">
        <v>2601</v>
      </c>
      <c r="L47" s="603" t="s">
        <v>2602</v>
      </c>
      <c r="M47" s="603" t="s">
        <v>2603</v>
      </c>
      <c r="N47" s="603" t="s">
        <v>2604</v>
      </c>
      <c r="AA47" s="1374"/>
      <c r="AB47" s="1374"/>
      <c r="AC47" s="1374"/>
      <c r="AD47" s="1374"/>
      <c r="AE47" s="1374"/>
      <c r="AF47" s="1374"/>
      <c r="AG47" s="1374"/>
      <c r="AH47" s="1374"/>
      <c r="AI47" s="1374"/>
      <c r="AJ47" s="1374"/>
      <c r="AK47" s="1374"/>
    </row>
    <row r="48" spans="1:37" s="1373" customFormat="1" ht="38.25">
      <c r="A48" s="2885" t="s">
        <v>2955</v>
      </c>
      <c r="B48" s="2888" t="str">
        <f>估价对象房地状况!C4</f>
        <v>估价对象位于XX商圈，周边商业氛围成熟，人流量大，商业繁华度好</v>
      </c>
      <c r="C48" s="2777"/>
      <c r="D48" s="1289">
        <f t="shared" ref="D48:D56" si="10">SUMIF($J$47:$N$47,C48,J48:N48)</f>
        <v>0</v>
      </c>
      <c r="E48" s="821">
        <f>ROUND(SUM(D48:D56),4)</f>
        <v>0</v>
      </c>
      <c r="F48" s="250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5" t="s">
        <v>2956</v>
      </c>
      <c r="B49" s="2889" t="str">
        <f>估价对象房地状况!C18</f>
        <v>估价对象周边道路状况、公共交通通达情况、停车便捷程度，综合评价交通便捷度较好</v>
      </c>
      <c r="C49" s="2777"/>
      <c r="D49" s="1289">
        <f t="shared" si="10"/>
        <v>0</v>
      </c>
      <c r="E49" s="822"/>
      <c r="F49" s="250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5" t="s">
        <v>2957</v>
      </c>
      <c r="B50" s="2889">
        <f>估价对象房地状况!C19</f>
        <v>0</v>
      </c>
      <c r="C50" s="2777"/>
      <c r="D50" s="1289">
        <f t="shared" si="10"/>
        <v>0</v>
      </c>
      <c r="E50" s="822"/>
      <c r="F50" s="250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5" t="s">
        <v>2958</v>
      </c>
      <c r="B51" s="2890" t="s">
        <v>2959</v>
      </c>
      <c r="C51" s="2777"/>
      <c r="D51" s="1289">
        <f t="shared" si="10"/>
        <v>0</v>
      </c>
      <c r="E51" s="822"/>
      <c r="F51" s="250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5" t="s">
        <v>2960</v>
      </c>
      <c r="B52" s="2889">
        <f>估价对象房地状况!C24</f>
        <v>0</v>
      </c>
      <c r="C52" s="2777"/>
      <c r="D52" s="1289">
        <f t="shared" si="10"/>
        <v>0</v>
      </c>
      <c r="E52" s="822"/>
      <c r="F52" s="250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5" t="s">
        <v>2961</v>
      </c>
      <c r="B53" s="2891" t="s">
        <v>2962</v>
      </c>
      <c r="C53" s="2777"/>
      <c r="D53" s="1289">
        <f t="shared" si="10"/>
        <v>0</v>
      </c>
      <c r="E53" s="822"/>
      <c r="F53" s="250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2" t="s">
        <v>2963</v>
      </c>
      <c r="B54" s="1728" t="str">
        <f>估价对象房地状况!C21</f>
        <v>估价对象所在区域公共配套设施齐备情况</v>
      </c>
      <c r="C54" s="2777"/>
      <c r="D54" s="1289">
        <f t="shared" si="10"/>
        <v>0</v>
      </c>
      <c r="E54" s="822"/>
      <c r="F54" s="250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2" t="s">
        <v>2964</v>
      </c>
      <c r="B55" s="2889" t="str">
        <f>估价对象房地状况!C22</f>
        <v>估价对象所在区域基础设施水平</v>
      </c>
      <c r="C55" s="2777"/>
      <c r="D55" s="1289">
        <f t="shared" si="10"/>
        <v>0</v>
      </c>
      <c r="E55" s="822"/>
      <c r="F55" s="250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3" t="s">
        <v>2965</v>
      </c>
      <c r="B56" s="2894" t="str">
        <f>估价对象房地状况!C20</f>
        <v>区域自然环境：；人文环境；综合评价环境状况一般</v>
      </c>
      <c r="C56" s="2777"/>
      <c r="D56" s="1289">
        <f t="shared" si="10"/>
        <v>0</v>
      </c>
      <c r="E56" s="825"/>
      <c r="F56" s="250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1" t="s">
        <v>2966</v>
      </c>
      <c r="B57" s="2882">
        <f>1+E59</f>
        <v>1</v>
      </c>
      <c r="C57" s="814"/>
      <c r="D57" s="814"/>
      <c r="E57" s="815"/>
      <c r="F57" s="2884"/>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5" t="s">
        <v>2947</v>
      </c>
      <c r="B58" s="1812"/>
      <c r="C58" s="1812" t="s">
        <v>2949</v>
      </c>
      <c r="D58" s="1812" t="s">
        <v>2950</v>
      </c>
      <c r="E58" s="819" t="s">
        <v>2951</v>
      </c>
      <c r="F58" s="2886" t="s">
        <v>2967</v>
      </c>
      <c r="G58" s="1812" t="s">
        <v>754</v>
      </c>
      <c r="H58" s="2887" t="s">
        <v>2953</v>
      </c>
      <c r="I58" s="1812" t="s">
        <v>2954</v>
      </c>
      <c r="J58" s="603" t="s">
        <v>2600</v>
      </c>
      <c r="K58" s="603" t="s">
        <v>2601</v>
      </c>
      <c r="L58" s="603" t="s">
        <v>2602</v>
      </c>
      <c r="M58" s="603" t="s">
        <v>2603</v>
      </c>
      <c r="N58" s="603" t="s">
        <v>2604</v>
      </c>
      <c r="AA58" s="1374"/>
      <c r="AB58" s="1374"/>
      <c r="AC58" s="1374"/>
      <c r="AD58" s="1374"/>
      <c r="AE58" s="1374"/>
      <c r="AF58" s="1374"/>
      <c r="AG58" s="1374"/>
      <c r="AH58" s="1374"/>
      <c r="AI58" s="1374"/>
      <c r="AJ58" s="1374"/>
      <c r="AK58" s="1374"/>
    </row>
    <row r="59" spans="1:37" s="1373" customFormat="1" ht="38.25">
      <c r="A59" s="2885" t="s">
        <v>2968</v>
      </c>
      <c r="B59" s="2888" t="str">
        <f>估价对象房地状况!C17</f>
        <v>估价对象位于XX商圈，周边办公楼项目较多，入驻率高，办公集聚程度较好</v>
      </c>
      <c r="C59" s="2777"/>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5" t="s">
        <v>2956</v>
      </c>
      <c r="B60" s="2889" t="str">
        <f>估价对象房地状况!C18</f>
        <v>估价对象周边道路状况、公共交通通达情况、停车便捷程度，综合评价交通便捷度较好</v>
      </c>
      <c r="C60" s="2777"/>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5" t="s">
        <v>2957</v>
      </c>
      <c r="B61" s="2889">
        <f>估价对象房地状况!C19</f>
        <v>0</v>
      </c>
      <c r="C61" s="2777"/>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5" t="s">
        <v>2958</v>
      </c>
      <c r="B62" s="2890" t="s">
        <v>2959</v>
      </c>
      <c r="C62" s="2777"/>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5" t="s">
        <v>2960</v>
      </c>
      <c r="B63" s="2889">
        <f>估价对象房地状况!C24</f>
        <v>0</v>
      </c>
      <c r="C63" s="2777"/>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5" t="s">
        <v>2961</v>
      </c>
      <c r="B64" s="2891" t="s">
        <v>2962</v>
      </c>
      <c r="C64" s="2777"/>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5" t="s">
        <v>2963</v>
      </c>
      <c r="B65" s="1728" t="str">
        <f>估价对象房地状况!C21</f>
        <v>估价对象所在区域公共配套设施齐备情况</v>
      </c>
      <c r="C65" s="2777"/>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5" t="s">
        <v>2964</v>
      </c>
      <c r="B66" s="1728" t="str">
        <f>估价对象房地状况!C22</f>
        <v>估价对象所在区域基础设施水平</v>
      </c>
      <c r="C66" s="2777"/>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3" t="s">
        <v>2965</v>
      </c>
      <c r="B67" s="2895" t="str">
        <f>估价对象房地状况!C20</f>
        <v>区域自然环境：；人文环境；综合评价环境状况一般</v>
      </c>
      <c r="C67" s="2777"/>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1" t="s">
        <v>2969</v>
      </c>
      <c r="B68" s="2882">
        <f>1+E70</f>
        <v>1</v>
      </c>
      <c r="C68" s="814"/>
      <c r="D68" s="814"/>
      <c r="E68" s="815"/>
      <c r="F68" s="2884"/>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5" t="s">
        <v>2947</v>
      </c>
      <c r="B69" s="1812"/>
      <c r="C69" s="1812" t="s">
        <v>2949</v>
      </c>
      <c r="D69" s="1812" t="s">
        <v>2950</v>
      </c>
      <c r="E69" s="819" t="s">
        <v>2951</v>
      </c>
      <c r="F69" s="2886" t="s">
        <v>2967</v>
      </c>
      <c r="G69" s="1812" t="s">
        <v>754</v>
      </c>
      <c r="H69" s="2887" t="s">
        <v>2953</v>
      </c>
      <c r="I69" s="1812" t="s">
        <v>2954</v>
      </c>
      <c r="J69" s="603" t="s">
        <v>2600</v>
      </c>
      <c r="K69" s="603" t="s">
        <v>2601</v>
      </c>
      <c r="L69" s="603" t="s">
        <v>2602</v>
      </c>
      <c r="M69" s="603" t="s">
        <v>2603</v>
      </c>
      <c r="N69" s="603" t="s">
        <v>2604</v>
      </c>
      <c r="AA69" s="1374"/>
      <c r="AB69" s="1374"/>
      <c r="AC69" s="1374"/>
      <c r="AD69" s="1374"/>
      <c r="AE69" s="1374"/>
      <c r="AF69" s="1374"/>
      <c r="AG69" s="1374"/>
      <c r="AH69" s="1374"/>
      <c r="AI69" s="1374"/>
      <c r="AJ69" s="1374"/>
      <c r="AK69" s="1374"/>
    </row>
    <row r="70" spans="1:37" s="1373" customFormat="1" ht="51">
      <c r="A70" s="2885" t="s">
        <v>2970</v>
      </c>
      <c r="B70" s="2888" t="str">
        <f>估价对象房地状况!C15</f>
        <v>估价对象周边居住用地比例、居住小区规模和社区发展完善程度，综合评价居住社区成熟度一般</v>
      </c>
      <c r="C70" s="2777"/>
      <c r="D70" s="1289">
        <f t="shared" ref="D70:D78" si="20">SUMIF($J$69:$N$69,C70,J70:N70)</f>
        <v>0</v>
      </c>
      <c r="E70" s="821">
        <f>ROUND(SUM(D70:D78),4)</f>
        <v>0</v>
      </c>
      <c r="F70" s="2508"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5" t="s">
        <v>2956</v>
      </c>
      <c r="B71" s="2889" t="str">
        <f>估价对象房地状况!C18</f>
        <v>估价对象周边道路状况、公共交通通达情况、停车便捷程度，综合评价交通便捷度较好</v>
      </c>
      <c r="C71" s="2777"/>
      <c r="D71" s="1289">
        <f t="shared" si="20"/>
        <v>0</v>
      </c>
      <c r="E71" s="826"/>
      <c r="F71" s="2508"/>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5" t="s">
        <v>2957</v>
      </c>
      <c r="B72" s="2889">
        <f>估价对象房地状况!C19</f>
        <v>0</v>
      </c>
      <c r="C72" s="2777"/>
      <c r="D72" s="1289">
        <f t="shared" si="20"/>
        <v>0</v>
      </c>
      <c r="E72" s="826"/>
      <c r="F72" s="2508"/>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5" t="s">
        <v>2971</v>
      </c>
      <c r="B73" s="2889">
        <f>估价对象房地状况!C24</f>
        <v>0</v>
      </c>
      <c r="C73" s="2777"/>
      <c r="D73" s="1289">
        <f t="shared" si="20"/>
        <v>0</v>
      </c>
      <c r="E73" s="826"/>
      <c r="F73" s="2508"/>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5" t="s">
        <v>2963</v>
      </c>
      <c r="B74" s="1728" t="str">
        <f>估价对象房地状况!C21</f>
        <v>估价对象所在区域公共配套设施齐备情况</v>
      </c>
      <c r="C74" s="2777"/>
      <c r="D74" s="1289">
        <f t="shared" si="20"/>
        <v>0</v>
      </c>
      <c r="E74" s="826"/>
      <c r="F74" s="2508"/>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5" t="s">
        <v>2964</v>
      </c>
      <c r="B75" s="1728" t="str">
        <f>估价对象房地状况!C22</f>
        <v>估价对象所在区域基础设施水平</v>
      </c>
      <c r="C75" s="2777"/>
      <c r="D75" s="1289">
        <f t="shared" si="20"/>
        <v>0</v>
      </c>
      <c r="E75" s="826"/>
      <c r="F75" s="2508"/>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6" customFormat="1" ht="24">
      <c r="A76" s="2885" t="s">
        <v>2961</v>
      </c>
      <c r="B76" s="2891" t="s">
        <v>2962</v>
      </c>
      <c r="C76" s="2777"/>
      <c r="D76" s="1289">
        <f t="shared" si="20"/>
        <v>0</v>
      </c>
      <c r="E76" s="826"/>
      <c r="F76" s="2508"/>
      <c r="G76" s="1287"/>
      <c r="H76" s="1291" t="str">
        <f t="shared" si="21"/>
        <v>——</v>
      </c>
      <c r="I76" s="820">
        <v>0.05</v>
      </c>
      <c r="J76" s="1288">
        <f t="shared" si="22"/>
        <v>0</v>
      </c>
      <c r="K76" s="1288">
        <f t="shared" si="23"/>
        <v>0</v>
      </c>
      <c r="L76" s="1288">
        <v>0</v>
      </c>
      <c r="M76" s="1288">
        <f t="shared" si="24"/>
        <v>0</v>
      </c>
      <c r="N76" s="1288">
        <f t="shared" si="24"/>
        <v>0</v>
      </c>
      <c r="AA76" s="2896"/>
      <c r="AB76" s="1374"/>
      <c r="AC76" s="1374"/>
      <c r="AD76" s="1374"/>
      <c r="AE76" s="1374"/>
      <c r="AF76" s="1374"/>
      <c r="AG76" s="1374"/>
      <c r="AH76" s="2896"/>
      <c r="AI76" s="2896"/>
      <c r="AJ76" s="2896"/>
      <c r="AK76" s="2896"/>
    </row>
    <row r="77" spans="1:37" ht="38.25">
      <c r="A77" s="2885" t="s">
        <v>2965</v>
      </c>
      <c r="B77" s="2888" t="str">
        <f>估价对象房地状况!C20</f>
        <v>区域自然环境：；人文环境；综合评价环境状况一般</v>
      </c>
      <c r="C77" s="2777"/>
      <c r="D77" s="1289">
        <f t="shared" si="20"/>
        <v>0</v>
      </c>
      <c r="E77" s="826"/>
      <c r="F77" s="2508"/>
      <c r="G77" s="1287"/>
      <c r="H77" s="1291" t="str">
        <f t="shared" si="21"/>
        <v>——</v>
      </c>
      <c r="I77" s="820">
        <v>0.15</v>
      </c>
      <c r="J77" s="1288">
        <f t="shared" si="22"/>
        <v>0</v>
      </c>
      <c r="K77" s="1288">
        <f t="shared" si="23"/>
        <v>0</v>
      </c>
      <c r="L77" s="1288">
        <v>0</v>
      </c>
      <c r="M77" s="1288">
        <f t="shared" si="24"/>
        <v>0</v>
      </c>
      <c r="N77" s="1288">
        <f t="shared" si="24"/>
        <v>0</v>
      </c>
      <c r="Z77" s="2727"/>
      <c r="AA77" s="2803"/>
      <c r="AG77" s="1375"/>
      <c r="AK77" s="2803"/>
    </row>
    <row r="78" spans="1:37" ht="24.75" thickBot="1">
      <c r="A78" s="2893" t="s">
        <v>2972</v>
      </c>
      <c r="B78" s="2897"/>
      <c r="C78" s="2777"/>
      <c r="D78" s="1289">
        <f t="shared" si="20"/>
        <v>0</v>
      </c>
      <c r="E78" s="827"/>
      <c r="F78" s="2508"/>
      <c r="G78" s="1287"/>
      <c r="H78" s="1291" t="str">
        <f t="shared" si="21"/>
        <v>——</v>
      </c>
      <c r="I78" s="824">
        <v>0.04</v>
      </c>
      <c r="J78" s="1288">
        <f t="shared" si="22"/>
        <v>0</v>
      </c>
      <c r="K78" s="1288">
        <f t="shared" si="23"/>
        <v>0</v>
      </c>
      <c r="L78" s="1288">
        <v>0</v>
      </c>
      <c r="M78" s="1288">
        <f t="shared" si="24"/>
        <v>0</v>
      </c>
      <c r="N78" s="1288">
        <f t="shared" si="24"/>
        <v>0</v>
      </c>
      <c r="Z78" s="2727"/>
      <c r="AA78" s="2803"/>
      <c r="AG78" s="1375"/>
      <c r="AK78" s="2803"/>
    </row>
    <row r="79" spans="1:37" ht="15">
      <c r="A79" s="2881" t="s">
        <v>2973</v>
      </c>
      <c r="B79" s="2882">
        <f>1+E81</f>
        <v>1</v>
      </c>
      <c r="C79" s="814"/>
      <c r="D79" s="814"/>
      <c r="E79" s="815"/>
      <c r="F79" s="2884"/>
      <c r="G79" s="6"/>
      <c r="H79" s="6"/>
      <c r="I79" s="6"/>
      <c r="J79" s="7"/>
      <c r="K79" s="7"/>
      <c r="L79" s="7"/>
      <c r="M79" s="7"/>
      <c r="N79" s="7"/>
      <c r="Z79" s="2727"/>
      <c r="AA79" s="2803"/>
      <c r="AG79" s="1375"/>
      <c r="AK79" s="2803"/>
    </row>
    <row r="80" spans="1:37" ht="24.75">
      <c r="A80" s="2885" t="s">
        <v>2947</v>
      </c>
      <c r="B80" s="1812"/>
      <c r="C80" s="1812" t="s">
        <v>2949</v>
      </c>
      <c r="D80" s="1812" t="s">
        <v>2950</v>
      </c>
      <c r="E80" s="819" t="s">
        <v>2951</v>
      </c>
      <c r="F80" s="2886" t="s">
        <v>2967</v>
      </c>
      <c r="G80" s="1812" t="s">
        <v>754</v>
      </c>
      <c r="H80" s="2887" t="s">
        <v>2953</v>
      </c>
      <c r="I80" s="1812" t="s">
        <v>2954</v>
      </c>
      <c r="J80" s="603" t="s">
        <v>2600</v>
      </c>
      <c r="K80" s="603" t="s">
        <v>2601</v>
      </c>
      <c r="L80" s="603" t="s">
        <v>2602</v>
      </c>
      <c r="M80" s="603" t="s">
        <v>2603</v>
      </c>
      <c r="N80" s="603" t="s">
        <v>2604</v>
      </c>
      <c r="Z80" s="2727"/>
      <c r="AA80" s="2803"/>
      <c r="AG80" s="1375"/>
      <c r="AK80" s="2803"/>
    </row>
    <row r="81" spans="1:37" ht="38.25">
      <c r="A81" s="2885" t="s">
        <v>2974</v>
      </c>
      <c r="B81" s="2889" t="str">
        <f>估价对象房地状况!G15</f>
        <v>估价对象位于XX开发区，园区建设成熟度XX，产业集聚程度XX</v>
      </c>
      <c r="C81" s="2777"/>
      <c r="D81" s="1289">
        <f t="shared" ref="D81:D88" si="25">SUMIF($J$80:$N$80,C81,J81:N81)</f>
        <v>0</v>
      </c>
      <c r="E81" s="821">
        <f>ROUND(SUM(D81:D88),4)</f>
        <v>0</v>
      </c>
      <c r="F81" s="2508"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7"/>
      <c r="AA81" s="2803"/>
      <c r="AG81" s="1375"/>
      <c r="AK81" s="2803"/>
    </row>
    <row r="82" spans="1:37" ht="51">
      <c r="A82" s="2885" t="s">
        <v>2956</v>
      </c>
      <c r="B82" s="2889" t="str">
        <f>估价对象房地状况!G16</f>
        <v>估价对象周边道路状况、公共交通通达情况、停车便捷程度，综合评价交通便捷度较好</v>
      </c>
      <c r="C82" s="2777"/>
      <c r="D82" s="1289">
        <f t="shared" si="25"/>
        <v>0</v>
      </c>
      <c r="E82" s="826"/>
      <c r="F82" s="2508"/>
      <c r="G82" s="1287"/>
      <c r="H82" s="1291" t="str">
        <f t="shared" si="26"/>
        <v>——</v>
      </c>
      <c r="I82" s="820">
        <v>0.33</v>
      </c>
      <c r="J82" s="1288">
        <f t="shared" si="27"/>
        <v>0</v>
      </c>
      <c r="K82" s="1288">
        <f t="shared" si="28"/>
        <v>0</v>
      </c>
      <c r="L82" s="1288">
        <v>0</v>
      </c>
      <c r="M82" s="1288">
        <f t="shared" si="29"/>
        <v>0</v>
      </c>
      <c r="N82" s="1288">
        <f t="shared" si="29"/>
        <v>0</v>
      </c>
      <c r="Z82" s="2727"/>
      <c r="AA82" s="2803"/>
      <c r="AG82" s="1375"/>
      <c r="AK82" s="2803"/>
    </row>
    <row r="83" spans="1:37" ht="24">
      <c r="A83" s="2885" t="s">
        <v>2957</v>
      </c>
      <c r="B83" s="2889">
        <f>估价对象房地状况!G17</f>
        <v>0</v>
      </c>
      <c r="C83" s="2777"/>
      <c r="D83" s="1289">
        <f t="shared" si="25"/>
        <v>0</v>
      </c>
      <c r="E83" s="826"/>
      <c r="F83" s="2508"/>
      <c r="G83" s="1287"/>
      <c r="H83" s="1291" t="str">
        <f t="shared" si="26"/>
        <v>——</v>
      </c>
      <c r="I83" s="820">
        <v>0.05</v>
      </c>
      <c r="J83" s="1288">
        <f t="shared" si="27"/>
        <v>0</v>
      </c>
      <c r="K83" s="1288">
        <f t="shared" si="28"/>
        <v>0</v>
      </c>
      <c r="L83" s="1288">
        <v>0</v>
      </c>
      <c r="M83" s="1288">
        <f t="shared" si="29"/>
        <v>0</v>
      </c>
      <c r="N83" s="1288">
        <f t="shared" si="29"/>
        <v>0</v>
      </c>
      <c r="Z83" s="2727"/>
      <c r="AA83" s="2803"/>
      <c r="AG83" s="1375"/>
      <c r="AK83" s="2803"/>
    </row>
    <row r="84" spans="1:37" ht="14.25">
      <c r="A84" s="2885" t="s">
        <v>2971</v>
      </c>
      <c r="B84" s="2889">
        <f>估价对象房地状况!G22</f>
        <v>0</v>
      </c>
      <c r="C84" s="2777"/>
      <c r="D84" s="1289">
        <f t="shared" si="25"/>
        <v>0</v>
      </c>
      <c r="E84" s="826"/>
      <c r="F84" s="2508"/>
      <c r="G84" s="1287"/>
      <c r="H84" s="1291" t="str">
        <f t="shared" si="26"/>
        <v>——</v>
      </c>
      <c r="I84" s="820">
        <v>0.04</v>
      </c>
      <c r="J84" s="1288">
        <f t="shared" si="27"/>
        <v>0</v>
      </c>
      <c r="K84" s="1288">
        <f t="shared" si="28"/>
        <v>0</v>
      </c>
      <c r="L84" s="1288">
        <v>0</v>
      </c>
      <c r="M84" s="1288">
        <f t="shared" si="29"/>
        <v>0</v>
      </c>
      <c r="N84" s="1288">
        <f t="shared" si="29"/>
        <v>0</v>
      </c>
      <c r="Z84" s="2727"/>
      <c r="AA84" s="2803"/>
      <c r="AG84" s="1375"/>
      <c r="AK84" s="2803"/>
    </row>
    <row r="85" spans="1:37" ht="25.5">
      <c r="A85" s="2885" t="s">
        <v>2963</v>
      </c>
      <c r="B85" s="1728" t="str">
        <f>估价对象房地状况!G19</f>
        <v>估价对象所在区域公共配套设施齐备情况</v>
      </c>
      <c r="C85" s="2777"/>
      <c r="D85" s="1289">
        <f t="shared" si="25"/>
        <v>0</v>
      </c>
      <c r="E85" s="826"/>
      <c r="F85" s="2508"/>
      <c r="G85" s="1287"/>
      <c r="H85" s="1291" t="str">
        <f t="shared" si="26"/>
        <v>——</v>
      </c>
      <c r="I85" s="820">
        <v>0.06</v>
      </c>
      <c r="J85" s="1288">
        <f t="shared" si="27"/>
        <v>0</v>
      </c>
      <c r="K85" s="1288">
        <f t="shared" si="28"/>
        <v>0</v>
      </c>
      <c r="L85" s="1288">
        <v>0</v>
      </c>
      <c r="M85" s="1288">
        <f t="shared" si="29"/>
        <v>0</v>
      </c>
      <c r="N85" s="1288">
        <f t="shared" si="29"/>
        <v>0</v>
      </c>
      <c r="Z85" s="2727"/>
      <c r="AA85" s="2803"/>
      <c r="AG85" s="1375"/>
      <c r="AK85" s="2803"/>
    </row>
    <row r="86" spans="1:37" ht="25.5">
      <c r="A86" s="2885" t="s">
        <v>2964</v>
      </c>
      <c r="B86" s="1728" t="str">
        <f>估价对象房地状况!G20</f>
        <v>估价对象所在区域基础设施水平</v>
      </c>
      <c r="C86" s="2777"/>
      <c r="D86" s="1289">
        <f t="shared" si="25"/>
        <v>0</v>
      </c>
      <c r="E86" s="826"/>
      <c r="F86" s="2508"/>
      <c r="G86" s="1287"/>
      <c r="H86" s="1291" t="str">
        <f t="shared" si="26"/>
        <v>——</v>
      </c>
      <c r="I86" s="820">
        <v>0.15</v>
      </c>
      <c r="J86" s="1288">
        <f t="shared" si="27"/>
        <v>0</v>
      </c>
      <c r="K86" s="1288">
        <f t="shared" si="28"/>
        <v>0</v>
      </c>
      <c r="L86" s="1288">
        <v>0</v>
      </c>
      <c r="M86" s="1288">
        <f t="shared" si="29"/>
        <v>0</v>
      </c>
      <c r="N86" s="1288">
        <f t="shared" si="29"/>
        <v>0</v>
      </c>
      <c r="Z86" s="2727"/>
      <c r="AA86" s="2803"/>
      <c r="AG86" s="1375"/>
      <c r="AK86" s="2803"/>
    </row>
    <row r="87" spans="1:37" ht="24">
      <c r="A87" s="2885" t="s">
        <v>2961</v>
      </c>
      <c r="B87" s="2891" t="s">
        <v>2975</v>
      </c>
      <c r="C87" s="2777"/>
      <c r="D87" s="1289">
        <f t="shared" si="25"/>
        <v>0</v>
      </c>
      <c r="E87" s="826"/>
      <c r="F87" s="2508"/>
      <c r="G87" s="1287"/>
      <c r="H87" s="1291" t="str">
        <f t="shared" si="26"/>
        <v>——</v>
      </c>
      <c r="I87" s="820">
        <v>0.05</v>
      </c>
      <c r="J87" s="1288">
        <f t="shared" si="27"/>
        <v>0</v>
      </c>
      <c r="K87" s="1288">
        <f t="shared" si="28"/>
        <v>0</v>
      </c>
      <c r="L87" s="1288">
        <v>0</v>
      </c>
      <c r="M87" s="1288">
        <f t="shared" si="29"/>
        <v>0</v>
      </c>
      <c r="N87" s="1288">
        <f t="shared" si="29"/>
        <v>0</v>
      </c>
      <c r="Z87" s="2727"/>
      <c r="AA87" s="2803"/>
      <c r="AG87" s="1375"/>
      <c r="AK87" s="2803"/>
    </row>
    <row r="88" spans="1:37" ht="39" thickBot="1">
      <c r="A88" s="2893" t="s">
        <v>2976</v>
      </c>
      <c r="B88" s="2898" t="str">
        <f>估价对象房地状况!G18</f>
        <v>该园区内是否有污染型企业，绿化情况，卫生条件，整体环境状况判断</v>
      </c>
      <c r="C88" s="2777"/>
      <c r="D88" s="1289">
        <f t="shared" si="25"/>
        <v>0</v>
      </c>
      <c r="E88" s="827"/>
      <c r="F88" s="2508"/>
      <c r="G88" s="1287"/>
      <c r="H88" s="1291" t="str">
        <f t="shared" si="26"/>
        <v>——</v>
      </c>
      <c r="I88" s="824">
        <v>0.06</v>
      </c>
      <c r="J88" s="1288">
        <f t="shared" si="27"/>
        <v>0</v>
      </c>
      <c r="K88" s="1288">
        <f t="shared" si="28"/>
        <v>0</v>
      </c>
      <c r="L88" s="1288">
        <v>0</v>
      </c>
      <c r="M88" s="1288">
        <f t="shared" si="29"/>
        <v>0</v>
      </c>
      <c r="N88" s="1288">
        <f t="shared" si="29"/>
        <v>0</v>
      </c>
      <c r="Z88" s="2727"/>
      <c r="AA88" s="2803"/>
      <c r="AG88" s="1375"/>
      <c r="AK88" s="2803"/>
    </row>
    <row r="90" spans="1:37">
      <c r="A90" s="3239" t="s">
        <v>2977</v>
      </c>
      <c r="B90" s="3239"/>
      <c r="C90" s="3239"/>
      <c r="D90" s="3239"/>
      <c r="E90" s="3239"/>
      <c r="F90" s="3239"/>
      <c r="G90" s="3239"/>
      <c r="H90" s="3239"/>
      <c r="I90" s="3239"/>
      <c r="J90" s="3239"/>
      <c r="K90" s="2899"/>
      <c r="L90" s="2899"/>
      <c r="M90" s="2899"/>
      <c r="N90" s="2899"/>
    </row>
    <row r="91" spans="1:37">
      <c r="A91" s="3241" t="s">
        <v>2978</v>
      </c>
      <c r="B91" s="3241" t="s">
        <v>2979</v>
      </c>
      <c r="C91" s="2853" t="s">
        <v>2980</v>
      </c>
      <c r="D91" s="2854"/>
      <c r="E91" s="2854"/>
      <c r="F91" s="2854"/>
      <c r="G91" s="2854"/>
      <c r="H91" s="2854"/>
      <c r="I91" s="2854"/>
      <c r="J91" s="2900"/>
      <c r="K91" s="2901"/>
      <c r="L91" s="2901"/>
      <c r="M91" s="2901"/>
      <c r="N91" s="2901"/>
    </row>
    <row r="92" spans="1:37">
      <c r="A92" s="3241"/>
      <c r="B92" s="3241"/>
      <c r="C92" s="945" t="s">
        <v>2844</v>
      </c>
      <c r="D92" s="945" t="s">
        <v>2845</v>
      </c>
      <c r="E92" s="945" t="s">
        <v>2846</v>
      </c>
      <c r="F92" s="945" t="s">
        <v>2847</v>
      </c>
      <c r="G92" s="945" t="s">
        <v>2848</v>
      </c>
      <c r="H92" s="945" t="s">
        <v>2849</v>
      </c>
      <c r="I92" s="945" t="s">
        <v>2850</v>
      </c>
      <c r="J92" s="945" t="s">
        <v>2851</v>
      </c>
      <c r="K92" s="945" t="s">
        <v>2852</v>
      </c>
      <c r="L92" s="945" t="s">
        <v>2853</v>
      </c>
      <c r="M92" s="945" t="s">
        <v>2854</v>
      </c>
      <c r="N92" s="945" t="s">
        <v>2855</v>
      </c>
    </row>
    <row r="93" spans="1:37">
      <c r="A93" s="3242" t="s">
        <v>2981</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243"/>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243"/>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243"/>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243"/>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243"/>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243"/>
      <c r="B99" s="2902" t="s">
        <v>2860</v>
      </c>
      <c r="C99" s="2904">
        <f>$I$3</f>
        <v>0</v>
      </c>
      <c r="D99" s="2904">
        <f t="shared" ref="D99:M99" si="30">$I$3</f>
        <v>0</v>
      </c>
      <c r="E99" s="2904">
        <f t="shared" si="30"/>
        <v>0</v>
      </c>
      <c r="F99" s="2904">
        <f t="shared" si="30"/>
        <v>0</v>
      </c>
      <c r="G99" s="2904">
        <f t="shared" si="30"/>
        <v>0</v>
      </c>
      <c r="H99" s="2904">
        <f t="shared" si="30"/>
        <v>0</v>
      </c>
      <c r="I99" s="2904">
        <f t="shared" si="30"/>
        <v>0</v>
      </c>
      <c r="J99" s="2904">
        <f t="shared" si="30"/>
        <v>0</v>
      </c>
      <c r="K99" s="2904">
        <f t="shared" si="30"/>
        <v>0</v>
      </c>
      <c r="L99" s="2904">
        <f t="shared" si="30"/>
        <v>0</v>
      </c>
      <c r="M99" s="2904">
        <f t="shared" si="30"/>
        <v>0</v>
      </c>
      <c r="N99" s="2904">
        <f>$I$3</f>
        <v>0</v>
      </c>
    </row>
    <row r="100" spans="1:14">
      <c r="A100" s="3244"/>
      <c r="B100" s="2902">
        <v>7</v>
      </c>
      <c r="C100" s="2905">
        <f>(-0.163*(C99^2)-0.59*C99+7617)*(10^(-4))</f>
        <v>0.76170000000000004</v>
      </c>
      <c r="D100" s="2905">
        <f>(-0.163*(D99^2)-0.59*D99+7617)*(10^(-4))</f>
        <v>0.76170000000000004</v>
      </c>
      <c r="E100" s="2905">
        <f>(-0.161*(E99^2)-7.509*E99+6533)*(10^(-4))</f>
        <v>0.65329999999999999</v>
      </c>
      <c r="F100" s="2905">
        <f>(-0.161*(F99^2)-7.509*F99+6533)*(10^(-4))</f>
        <v>0.65329999999999999</v>
      </c>
      <c r="G100" s="2905">
        <f>(-0.161*(G99^2)-7.509*G99+6533)*(10^(-4))</f>
        <v>0.65329999999999999</v>
      </c>
      <c r="H100" s="2905">
        <f>(-0.161*(H99^2)-7.509*H99+6533)*(10^(-4))</f>
        <v>0.65329999999999999</v>
      </c>
      <c r="I100" s="2905">
        <f>(-0.161*(I99^2)-7.509*I99+6533)*(10^(-4))</f>
        <v>0.65329999999999999</v>
      </c>
      <c r="J100" s="2905">
        <f>(-0.214*(J99^2)-21.991*J99+4665)*(10^(-4))</f>
        <v>0.46650000000000003</v>
      </c>
      <c r="K100" s="2905">
        <f>(-0.214*(K99^2)-21.991*K99+4665)*(10^(-4))</f>
        <v>0.46650000000000003</v>
      </c>
      <c r="L100" s="2905">
        <f>(-0.214*(L99^2)-21.991*L99+4665)*(10^(-4))</f>
        <v>0.46650000000000003</v>
      </c>
      <c r="M100" s="2905">
        <f>(-0.214*(M99^2)-21.991*M99+4665)*(10^(-4))</f>
        <v>0.46650000000000003</v>
      </c>
      <c r="N100" s="2905">
        <f>(-0.214*(N99^2)-21.991*N99+4665)*(10^(-4))</f>
        <v>0.46650000000000003</v>
      </c>
    </row>
    <row r="101" spans="1:14">
      <c r="A101" s="3242" t="s">
        <v>2982</v>
      </c>
      <c r="B101" s="2906" t="s">
        <v>2983</v>
      </c>
      <c r="C101" s="2907">
        <f>$G$3</f>
        <v>3.26</v>
      </c>
      <c r="D101" s="2907">
        <f t="shared" ref="D101:N101" si="31">$G$3</f>
        <v>3.26</v>
      </c>
      <c r="E101" s="2907">
        <f t="shared" si="31"/>
        <v>3.26</v>
      </c>
      <c r="F101" s="2907">
        <f t="shared" si="31"/>
        <v>3.26</v>
      </c>
      <c r="G101" s="2907">
        <f t="shared" si="31"/>
        <v>3.26</v>
      </c>
      <c r="H101" s="2907">
        <f t="shared" si="31"/>
        <v>3.26</v>
      </c>
      <c r="I101" s="2907">
        <f t="shared" si="31"/>
        <v>3.26</v>
      </c>
      <c r="J101" s="2907">
        <f t="shared" si="31"/>
        <v>3.26</v>
      </c>
      <c r="K101" s="2907">
        <f t="shared" si="31"/>
        <v>3.26</v>
      </c>
      <c r="L101" s="2907">
        <f t="shared" si="31"/>
        <v>3.26</v>
      </c>
      <c r="M101" s="2907">
        <f t="shared" si="31"/>
        <v>3.26</v>
      </c>
      <c r="N101" s="2907">
        <f t="shared" si="31"/>
        <v>3.26</v>
      </c>
    </row>
    <row r="102" spans="1:14">
      <c r="A102" s="3243"/>
      <c r="B102" s="2902">
        <v>1</v>
      </c>
      <c r="C102" s="2903">
        <f>1.9362/C101</f>
        <v>0.59392638036809819</v>
      </c>
      <c r="D102" s="2903">
        <f>1.9362/D101</f>
        <v>0.59392638036809819</v>
      </c>
      <c r="E102" s="2903">
        <f>1.8629/E101</f>
        <v>0.57144171779141106</v>
      </c>
      <c r="F102" s="2903">
        <f>1.8629/F101</f>
        <v>0.57144171779141106</v>
      </c>
      <c r="G102" s="2903">
        <f>1.8629/G101</f>
        <v>0.57144171779141106</v>
      </c>
      <c r="H102" s="2903">
        <f>1.8629/H101</f>
        <v>0.57144171779141106</v>
      </c>
      <c r="I102" s="2903">
        <f>1.8629/I101</f>
        <v>0.57144171779141106</v>
      </c>
      <c r="J102" s="2903">
        <f>1.942/J101</f>
        <v>0.59570552147239264</v>
      </c>
      <c r="K102" s="2903">
        <f>1.942/K101</f>
        <v>0.59570552147239264</v>
      </c>
      <c r="L102" s="2903">
        <f>1.942/L101</f>
        <v>0.59570552147239264</v>
      </c>
      <c r="M102" s="2903">
        <f>1.942/M101</f>
        <v>0.59570552147239264</v>
      </c>
      <c r="N102" s="2903">
        <f>1.942/N101</f>
        <v>0.59570552147239264</v>
      </c>
    </row>
    <row r="103" spans="1:14">
      <c r="A103" s="3243"/>
      <c r="B103" s="2902">
        <v>2</v>
      </c>
      <c r="C103" s="2903">
        <f>1.4198/C101</f>
        <v>0.43552147239263805</v>
      </c>
      <c r="D103" s="2903">
        <f>1.4198/D101</f>
        <v>0.43552147239263805</v>
      </c>
      <c r="E103" s="2903">
        <f>1.3372/E101</f>
        <v>0.41018404907975459</v>
      </c>
      <c r="F103" s="2903">
        <f>1.3372/F101</f>
        <v>0.41018404907975459</v>
      </c>
      <c r="G103" s="2903">
        <f>1.3372/G101</f>
        <v>0.41018404907975459</v>
      </c>
      <c r="H103" s="2903">
        <f>1.3372/H101</f>
        <v>0.41018404907975459</v>
      </c>
      <c r="I103" s="2903">
        <f>1.3372/I101</f>
        <v>0.41018404907975459</v>
      </c>
      <c r="J103" s="2903">
        <f>1.2799/J101</f>
        <v>0.39260736196319024</v>
      </c>
      <c r="K103" s="2903">
        <f>1.2799/K101</f>
        <v>0.39260736196319024</v>
      </c>
      <c r="L103" s="2903">
        <f>1.2799/L101</f>
        <v>0.39260736196319024</v>
      </c>
      <c r="M103" s="2903">
        <f>1.2799/M101</f>
        <v>0.39260736196319024</v>
      </c>
      <c r="N103" s="2903">
        <f>1.2799/N101</f>
        <v>0.39260736196319024</v>
      </c>
    </row>
    <row r="104" spans="1:14">
      <c r="A104" s="3243"/>
      <c r="B104" s="2902">
        <v>3</v>
      </c>
      <c r="C104" s="2903">
        <f>1.1594/C101</f>
        <v>0.35564417177914115</v>
      </c>
      <c r="D104" s="2903">
        <f>1.1594/D101</f>
        <v>0.35564417177914115</v>
      </c>
      <c r="E104" s="2903">
        <f>1.0788/E101</f>
        <v>0.33092024539877302</v>
      </c>
      <c r="F104" s="2903">
        <f>1.0788/F101</f>
        <v>0.33092024539877302</v>
      </c>
      <c r="G104" s="2903">
        <f>1.0788/G101</f>
        <v>0.33092024539877302</v>
      </c>
      <c r="H104" s="2903">
        <f>1.0788/H101</f>
        <v>0.33092024539877302</v>
      </c>
      <c r="I104" s="2903">
        <f>1.0788/I101</f>
        <v>0.33092024539877302</v>
      </c>
      <c r="J104" s="2903">
        <f>1.0072/J101</f>
        <v>0.308957055214724</v>
      </c>
      <c r="K104" s="2903">
        <f>1.0072/K101</f>
        <v>0.308957055214724</v>
      </c>
      <c r="L104" s="2903">
        <f>1.0072/L101</f>
        <v>0.308957055214724</v>
      </c>
      <c r="M104" s="2903">
        <f>1.0072/M101</f>
        <v>0.308957055214724</v>
      </c>
      <c r="N104" s="2903">
        <f>1.0072/N101</f>
        <v>0.308957055214724</v>
      </c>
    </row>
    <row r="105" spans="1:14">
      <c r="A105" s="3243"/>
      <c r="B105" s="2902">
        <v>4</v>
      </c>
      <c r="C105" s="2903">
        <f>0.9622/C101</f>
        <v>0.29515337423312887</v>
      </c>
      <c r="D105" s="2903">
        <f>0.9622/D101</f>
        <v>0.29515337423312887</v>
      </c>
      <c r="E105" s="2903">
        <f>0.8656/E101</f>
        <v>0.26552147239263807</v>
      </c>
      <c r="F105" s="2903">
        <f>0.8656/F101</f>
        <v>0.26552147239263807</v>
      </c>
      <c r="G105" s="2903">
        <f>0.8656/G101</f>
        <v>0.26552147239263807</v>
      </c>
      <c r="H105" s="2903">
        <f>0.8656/H101</f>
        <v>0.26552147239263807</v>
      </c>
      <c r="I105" s="2903">
        <f>0.8656/I101</f>
        <v>0.26552147239263807</v>
      </c>
      <c r="J105" s="2903">
        <f>0.7525/J101</f>
        <v>0.23082822085889571</v>
      </c>
      <c r="K105" s="2903">
        <f>0.7525/K101</f>
        <v>0.23082822085889571</v>
      </c>
      <c r="L105" s="2903">
        <f>0.7525/L101</f>
        <v>0.23082822085889571</v>
      </c>
      <c r="M105" s="2903">
        <f>0.7525/M101</f>
        <v>0.23082822085889571</v>
      </c>
      <c r="N105" s="2903">
        <f>0.7525/N101</f>
        <v>0.23082822085889571</v>
      </c>
    </row>
    <row r="106" spans="1:14">
      <c r="A106" s="3243"/>
      <c r="B106" s="2902">
        <v>5</v>
      </c>
      <c r="C106" s="2903">
        <f>0.8417/C101</f>
        <v>0.25819018404907979</v>
      </c>
      <c r="D106" s="2903">
        <f>0.8417/D101</f>
        <v>0.25819018404907979</v>
      </c>
      <c r="E106" s="2903">
        <f>0.7371/E101</f>
        <v>0.22610429447852762</v>
      </c>
      <c r="F106" s="2903">
        <f>0.7371/F101</f>
        <v>0.22610429447852762</v>
      </c>
      <c r="G106" s="2903">
        <f>0.7371/G101</f>
        <v>0.22610429447852762</v>
      </c>
      <c r="H106" s="2903">
        <f>0.7371/H101</f>
        <v>0.22610429447852762</v>
      </c>
      <c r="I106" s="2903">
        <f>0.7371/I101</f>
        <v>0.22610429447852762</v>
      </c>
      <c r="J106" s="2903">
        <f>0.5659/J101</f>
        <v>0.17358895705521471</v>
      </c>
      <c r="K106" s="2903">
        <f>0.5659/K101</f>
        <v>0.17358895705521471</v>
      </c>
      <c r="L106" s="2903">
        <f>0.5659/L101</f>
        <v>0.17358895705521471</v>
      </c>
      <c r="M106" s="2903">
        <f>0.5659/M101</f>
        <v>0.17358895705521471</v>
      </c>
      <c r="N106" s="2903">
        <f>0.5659/N101</f>
        <v>0.17358895705521471</v>
      </c>
    </row>
    <row r="107" spans="1:14">
      <c r="A107" s="3243"/>
      <c r="B107" s="2902">
        <v>6</v>
      </c>
      <c r="C107" s="2903">
        <f>0.7608/C101</f>
        <v>0.23337423312883437</v>
      </c>
      <c r="D107" s="2903">
        <f>0.7608/D101</f>
        <v>0.23337423312883437</v>
      </c>
      <c r="E107" s="2903">
        <f>0.6482/E101</f>
        <v>0.19883435582822087</v>
      </c>
      <c r="F107" s="2903">
        <f>0.6482/F101</f>
        <v>0.19883435582822087</v>
      </c>
      <c r="G107" s="2903">
        <f>0.6482/G101</f>
        <v>0.19883435582822087</v>
      </c>
      <c r="H107" s="2903">
        <f>0.6482/H101</f>
        <v>0.19883435582822087</v>
      </c>
      <c r="I107" s="2903">
        <f>0.6482/I101</f>
        <v>0.19883435582822087</v>
      </c>
      <c r="J107" s="2903">
        <f>0.4525/J101</f>
        <v>0.1388036809815951</v>
      </c>
      <c r="K107" s="2903">
        <f>0.4525/K101</f>
        <v>0.1388036809815951</v>
      </c>
      <c r="L107" s="2903">
        <f>0.4525/L101</f>
        <v>0.1388036809815951</v>
      </c>
      <c r="M107" s="2903">
        <f>0.4525/M101</f>
        <v>0.1388036809815951</v>
      </c>
      <c r="N107" s="2903">
        <f>0.4525/N101</f>
        <v>0.1388036809815951</v>
      </c>
    </row>
    <row r="108" spans="1:14">
      <c r="A108" s="3243"/>
      <c r="B108" s="3071" t="s">
        <v>2984</v>
      </c>
      <c r="C108" s="2904">
        <f>C99</f>
        <v>0</v>
      </c>
      <c r="D108" s="2904">
        <f t="shared" ref="D108:N108" si="32">D99</f>
        <v>0</v>
      </c>
      <c r="E108" s="2904">
        <f t="shared" si="32"/>
        <v>0</v>
      </c>
      <c r="F108" s="2904">
        <f t="shared" si="32"/>
        <v>0</v>
      </c>
      <c r="G108" s="2904">
        <f t="shared" si="32"/>
        <v>0</v>
      </c>
      <c r="H108" s="2904">
        <f t="shared" si="32"/>
        <v>0</v>
      </c>
      <c r="I108" s="2904">
        <f t="shared" si="32"/>
        <v>0</v>
      </c>
      <c r="J108" s="2904">
        <f t="shared" si="32"/>
        <v>0</v>
      </c>
      <c r="K108" s="2904">
        <f t="shared" si="32"/>
        <v>0</v>
      </c>
      <c r="L108" s="2904">
        <f t="shared" si="32"/>
        <v>0</v>
      </c>
      <c r="M108" s="2904">
        <f t="shared" si="32"/>
        <v>0</v>
      </c>
      <c r="N108" s="2904">
        <f t="shared" si="32"/>
        <v>0</v>
      </c>
    </row>
    <row r="109" spans="1:14">
      <c r="A109" s="3244"/>
      <c r="B109" s="3072"/>
      <c r="C109" s="2905">
        <f>(-0.163*(C108^2)-0.59*C108+7617)*(10^(-4))/C101</f>
        <v>0.23365030674846629</v>
      </c>
      <c r="D109" s="2905">
        <f>(-0.163*(D108^2)-0.59*D108+7617)*(10^(-4))/D101</f>
        <v>0.23365030674846629</v>
      </c>
      <c r="E109" s="2905">
        <f>(-0.161*(E108^2)-7.509*E108+6533)*(10^(-4))/E101</f>
        <v>0.20039877300613498</v>
      </c>
      <c r="F109" s="2905">
        <f>(-0.161*(F108^2)-7.509*F108+6533)*(10^(-4))/F101</f>
        <v>0.20039877300613498</v>
      </c>
      <c r="G109" s="2905">
        <f>(-0.161*(G108^2)-7.509*G108+6533)*(10^(-4))/G101</f>
        <v>0.20039877300613498</v>
      </c>
      <c r="H109" s="2905">
        <f>(-0.161*(H108^2)-7.509*H108+6533)*(10^(-4))/H101</f>
        <v>0.20039877300613498</v>
      </c>
      <c r="I109" s="2905">
        <f>(-0.161*(I108^2)-7.509*I108+6533)*(10^(-4))/I101</f>
        <v>0.20039877300613498</v>
      </c>
      <c r="J109" s="2905">
        <f>(-0.214*(J108^2)-21.991*J108+4665)*(10^(-4))/J101</f>
        <v>0.14309815950920246</v>
      </c>
      <c r="K109" s="2905">
        <f>(-0.214*(K108^2)-21.991*K108+4665)*(10^(-4))/K101</f>
        <v>0.14309815950920246</v>
      </c>
      <c r="L109" s="2905">
        <f>(-0.214*(L108^2)-21.991*L108+4665)*(10^(-4))/L101</f>
        <v>0.14309815950920246</v>
      </c>
      <c r="M109" s="2905">
        <f>(-0.214*(M108^2)-21.991*M108+4665)*(10^(-4))/M101</f>
        <v>0.14309815950920246</v>
      </c>
      <c r="N109" s="2905">
        <f>(-0.214*(N108^2)-21.991*N108+4665)*(10^(-4))/N101</f>
        <v>0.14309815950920246</v>
      </c>
    </row>
    <row r="110" spans="1:14">
      <c r="A110" s="3240" t="s">
        <v>2985</v>
      </c>
      <c r="B110" s="3240"/>
      <c r="C110" s="3240"/>
      <c r="D110" s="3240"/>
      <c r="E110" s="3240"/>
      <c r="F110" s="3240"/>
      <c r="G110" s="3240"/>
      <c r="H110" s="3240"/>
      <c r="I110" s="3240"/>
      <c r="J110" s="3240"/>
      <c r="K110" s="2908"/>
      <c r="L110" s="2908"/>
      <c r="M110" s="2908"/>
      <c r="N110" s="2908"/>
    </row>
    <row r="112" spans="1:14" ht="13.5" thickBot="1"/>
    <row r="113" spans="1:13" ht="25.5" thickBot="1">
      <c r="A113" s="903" t="s">
        <v>2986</v>
      </c>
      <c r="B113" s="1290">
        <f>G3</f>
        <v>3.26</v>
      </c>
      <c r="C113" s="904" t="s">
        <v>2987</v>
      </c>
      <c r="D113" s="905">
        <f>SUMPRODUCT((A115:A118=F113)*(B114:M114=H113)*B115:M118)</f>
        <v>0</v>
      </c>
      <c r="E113" s="2731" t="s">
        <v>2817</v>
      </c>
      <c r="F113" s="2910">
        <f>E2</f>
        <v>0</v>
      </c>
      <c r="G113" s="2731" t="s">
        <v>2818</v>
      </c>
      <c r="H113" s="2910" t="str">
        <f>G2</f>
        <v>五级</v>
      </c>
      <c r="I113" s="2731"/>
      <c r="J113" s="2911"/>
      <c r="K113" s="2911"/>
      <c r="L113" s="2911"/>
      <c r="M113" s="2911"/>
    </row>
    <row r="114" spans="1:13">
      <c r="A114" s="908"/>
      <c r="B114" s="2912" t="s">
        <v>2988</v>
      </c>
      <c r="C114" s="2912" t="s">
        <v>2989</v>
      </c>
      <c r="D114" s="2912" t="s">
        <v>2990</v>
      </c>
      <c r="E114" s="2913" t="s">
        <v>2991</v>
      </c>
      <c r="F114" s="2913" t="s">
        <v>2992</v>
      </c>
      <c r="G114" s="2913" t="s">
        <v>2993</v>
      </c>
      <c r="H114" s="2914" t="s">
        <v>2994</v>
      </c>
      <c r="I114" s="2914" t="s">
        <v>2995</v>
      </c>
      <c r="J114" s="2915" t="s">
        <v>2996</v>
      </c>
      <c r="K114" s="2915" t="s">
        <v>2997</v>
      </c>
      <c r="L114" s="2915" t="s">
        <v>2998</v>
      </c>
      <c r="M114" s="2916" t="s">
        <v>2999</v>
      </c>
    </row>
    <row r="115" spans="1:13">
      <c r="A115" s="909" t="s">
        <v>2882</v>
      </c>
      <c r="B115" s="910">
        <f>ROUND(0.9335-0.0094*B113,4)</f>
        <v>0.90290000000000004</v>
      </c>
      <c r="C115" s="910">
        <f>B115</f>
        <v>0.90290000000000004</v>
      </c>
      <c r="D115" s="910">
        <f>ROUND(0.8331-0.0109*B113,4)</f>
        <v>0.79759999999999998</v>
      </c>
      <c r="E115" s="910">
        <f>D115</f>
        <v>0.79759999999999998</v>
      </c>
      <c r="F115" s="910">
        <f>E115</f>
        <v>0.79759999999999998</v>
      </c>
      <c r="G115" s="910">
        <f>F115</f>
        <v>0.79759999999999998</v>
      </c>
      <c r="H115" s="910">
        <f>G115</f>
        <v>0.79759999999999998</v>
      </c>
      <c r="I115" s="910">
        <f>ROUND(0.689-0.0155*B113,4)</f>
        <v>0.63849999999999996</v>
      </c>
      <c r="J115" s="910">
        <f t="shared" ref="J115:M118" si="33">I115</f>
        <v>0.63849999999999996</v>
      </c>
      <c r="K115" s="910">
        <f t="shared" si="33"/>
        <v>0.63849999999999996</v>
      </c>
      <c r="L115" s="910">
        <f t="shared" si="33"/>
        <v>0.63849999999999996</v>
      </c>
      <c r="M115" s="911">
        <f t="shared" si="33"/>
        <v>0.63849999999999996</v>
      </c>
    </row>
    <row r="116" spans="1:13">
      <c r="A116" s="909" t="s">
        <v>2883</v>
      </c>
      <c r="B116" s="910">
        <f>ROUND(0.949-0.012*B113,4)</f>
        <v>0.90990000000000004</v>
      </c>
      <c r="C116" s="910">
        <f>B116</f>
        <v>0.90990000000000004</v>
      </c>
      <c r="D116" s="910">
        <f>ROUND(0.8567-0.013*B113,4)</f>
        <v>0.81430000000000002</v>
      </c>
      <c r="E116" s="910">
        <f t="shared" ref="E116:H117" si="34">D116</f>
        <v>0.81430000000000002</v>
      </c>
      <c r="F116" s="910">
        <f t="shared" si="34"/>
        <v>0.81430000000000002</v>
      </c>
      <c r="G116" s="910">
        <f t="shared" si="34"/>
        <v>0.81430000000000002</v>
      </c>
      <c r="H116" s="910">
        <f t="shared" si="34"/>
        <v>0.81430000000000002</v>
      </c>
      <c r="I116" s="910">
        <f>ROUND(0.7694-0.014*B113,4)</f>
        <v>0.7238</v>
      </c>
      <c r="J116" s="910">
        <f t="shared" si="33"/>
        <v>0.7238</v>
      </c>
      <c r="K116" s="910">
        <f t="shared" si="33"/>
        <v>0.7238</v>
      </c>
      <c r="L116" s="910">
        <f t="shared" si="33"/>
        <v>0.7238</v>
      </c>
      <c r="M116" s="911">
        <f t="shared" si="33"/>
        <v>0.7238</v>
      </c>
    </row>
    <row r="117" spans="1:13">
      <c r="A117" s="909" t="s">
        <v>2884</v>
      </c>
      <c r="B117" s="910">
        <f>ROUND(0.8808-0.006*B113,4)</f>
        <v>0.86119999999999997</v>
      </c>
      <c r="C117" s="910">
        <f>B117</f>
        <v>0.86119999999999997</v>
      </c>
      <c r="D117" s="910">
        <f>ROUND(0.8748-0.008*B113,4)</f>
        <v>0.84870000000000001</v>
      </c>
      <c r="E117" s="910">
        <f t="shared" si="34"/>
        <v>0.84870000000000001</v>
      </c>
      <c r="F117" s="910">
        <f t="shared" si="34"/>
        <v>0.84870000000000001</v>
      </c>
      <c r="G117" s="910">
        <f t="shared" si="34"/>
        <v>0.84870000000000001</v>
      </c>
      <c r="H117" s="910">
        <f t="shared" si="34"/>
        <v>0.84870000000000001</v>
      </c>
      <c r="I117" s="910">
        <f>ROUND(0.7412-0.0095*B113,4)</f>
        <v>0.71020000000000005</v>
      </c>
      <c r="J117" s="910">
        <f t="shared" si="33"/>
        <v>0.71020000000000005</v>
      </c>
      <c r="K117" s="910">
        <f t="shared" si="33"/>
        <v>0.71020000000000005</v>
      </c>
      <c r="L117" s="910">
        <f t="shared" si="33"/>
        <v>0.71020000000000005</v>
      </c>
      <c r="M117" s="911">
        <f t="shared" si="33"/>
        <v>0.71020000000000005</v>
      </c>
    </row>
    <row r="118" spans="1:13" ht="13.5" thickBot="1">
      <c r="A118" s="714" t="s">
        <v>2885</v>
      </c>
      <c r="B118" s="912">
        <f>ROUND(0.7275-0.01*B113,4)</f>
        <v>0.69489999999999996</v>
      </c>
      <c r="C118" s="912">
        <f>B118</f>
        <v>0.69489999999999996</v>
      </c>
      <c r="D118" s="912">
        <f>ROUND(0.7043-0.012*B113,4)</f>
        <v>0.66520000000000001</v>
      </c>
      <c r="E118" s="912">
        <f>D118</f>
        <v>0.66520000000000001</v>
      </c>
      <c r="F118" s="912">
        <f>E118</f>
        <v>0.66520000000000001</v>
      </c>
      <c r="G118" s="912">
        <f>ROUND(0.6299-0.0122*B113,4)</f>
        <v>0.59009999999999996</v>
      </c>
      <c r="H118" s="912">
        <f>G118</f>
        <v>0.59009999999999996</v>
      </c>
      <c r="I118" s="912">
        <f>ROUND(0.5667-0.0136*B113,4)</f>
        <v>0.52239999999999998</v>
      </c>
      <c r="J118" s="912">
        <f t="shared" si="33"/>
        <v>0.52239999999999998</v>
      </c>
      <c r="K118" s="912">
        <f t="shared" si="33"/>
        <v>0.52239999999999998</v>
      </c>
      <c r="L118" s="912">
        <f t="shared" si="33"/>
        <v>0.52239999999999998</v>
      </c>
      <c r="M118" s="913">
        <f t="shared" si="33"/>
        <v>0.52239999999999998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57" t="s">
        <v>183</v>
      </c>
      <c r="B18" s="882" t="s">
        <v>560</v>
      </c>
      <c r="C18" s="883" t="s">
        <v>561</v>
      </c>
      <c r="D18" s="884"/>
      <c r="E18" s="882">
        <v>1</v>
      </c>
      <c r="F18" s="885" t="s">
        <v>562</v>
      </c>
      <c r="G18" s="886"/>
      <c r="H18" s="878"/>
      <c r="I18" s="878"/>
    </row>
    <row r="19" spans="1:9" s="887" customFormat="1" ht="19.5" customHeight="1">
      <c r="A19" s="3257"/>
      <c r="B19" s="3257" t="s">
        <v>563</v>
      </c>
      <c r="C19" s="883" t="s">
        <v>564</v>
      </c>
      <c r="D19" s="884"/>
      <c r="E19" s="882">
        <v>0.9</v>
      </c>
      <c r="F19" s="885" t="s">
        <v>565</v>
      </c>
      <c r="G19" s="886"/>
      <c r="H19" s="878"/>
      <c r="I19" s="878"/>
    </row>
    <row r="20" spans="1:9" s="887" customFormat="1" ht="19.5" customHeight="1">
      <c r="A20" s="3257"/>
      <c r="B20" s="3257"/>
      <c r="C20" s="883" t="s">
        <v>566</v>
      </c>
      <c r="D20" s="884"/>
      <c r="E20" s="882">
        <v>1.1000000000000001</v>
      </c>
      <c r="F20" s="885" t="s">
        <v>567</v>
      </c>
      <c r="G20" s="886"/>
      <c r="H20" s="878"/>
      <c r="I20" s="878"/>
    </row>
    <row r="21" spans="1:9" s="887" customFormat="1" ht="19.5" customHeight="1">
      <c r="A21" s="3257"/>
      <c r="B21" s="3257"/>
      <c r="C21" s="883" t="s">
        <v>568</v>
      </c>
      <c r="D21" s="884"/>
      <c r="E21" s="882">
        <v>0.8</v>
      </c>
      <c r="F21" s="885" t="s">
        <v>569</v>
      </c>
      <c r="G21" s="886"/>
      <c r="H21" s="878"/>
      <c r="I21" s="878"/>
    </row>
    <row r="22" spans="1:9" s="887" customFormat="1" ht="19.5" customHeight="1">
      <c r="A22" s="3257"/>
      <c r="B22" s="3257"/>
      <c r="C22" s="883" t="s">
        <v>570</v>
      </c>
      <c r="D22" s="884"/>
      <c r="E22" s="882">
        <v>0.5</v>
      </c>
      <c r="F22" s="885"/>
      <c r="G22" s="886"/>
      <c r="H22" s="878"/>
      <c r="I22" s="878"/>
    </row>
    <row r="23" spans="1:9" s="887" customFormat="1" ht="19.5" customHeight="1">
      <c r="A23" s="3257" t="s">
        <v>184</v>
      </c>
      <c r="B23" s="882" t="s">
        <v>560</v>
      </c>
      <c r="C23" s="883" t="s">
        <v>571</v>
      </c>
      <c r="D23" s="884"/>
      <c r="E23" s="882">
        <v>1</v>
      </c>
      <c r="F23" s="885" t="s">
        <v>572</v>
      </c>
      <c r="G23" s="886"/>
      <c r="H23" s="878"/>
      <c r="I23" s="878"/>
    </row>
    <row r="24" spans="1:9" s="887" customFormat="1" ht="19.5" customHeight="1">
      <c r="A24" s="3257"/>
      <c r="B24" s="3257" t="s">
        <v>563</v>
      </c>
      <c r="C24" s="883" t="s">
        <v>573</v>
      </c>
      <c r="D24" s="884"/>
      <c r="E24" s="882">
        <v>0.5</v>
      </c>
      <c r="F24" s="885"/>
      <c r="G24" s="886"/>
      <c r="H24" s="878"/>
      <c r="I24" s="878"/>
    </row>
    <row r="25" spans="1:9" s="887" customFormat="1" ht="19.5" customHeight="1">
      <c r="A25" s="3257"/>
      <c r="B25" s="3257"/>
      <c r="C25" s="883" t="s">
        <v>574</v>
      </c>
      <c r="D25" s="884"/>
      <c r="E25" s="882">
        <v>1.1000000000000001</v>
      </c>
      <c r="F25" s="885"/>
      <c r="G25" s="886"/>
      <c r="H25" s="878"/>
      <c r="I25" s="878"/>
    </row>
    <row r="26" spans="1:9" s="887" customFormat="1" ht="19.5" customHeight="1">
      <c r="A26" s="3257"/>
      <c r="B26" s="3257"/>
      <c r="C26" s="883" t="s">
        <v>575</v>
      </c>
      <c r="D26" s="884"/>
      <c r="E26" s="882">
        <v>1.1000000000000001</v>
      </c>
      <c r="F26" s="885"/>
      <c r="G26" s="886"/>
      <c r="H26" s="878"/>
      <c r="I26" s="878"/>
    </row>
    <row r="27" spans="1:9" s="887" customFormat="1" ht="19.5" customHeight="1">
      <c r="A27" s="3257"/>
      <c r="B27" s="3257"/>
      <c r="C27" s="883" t="s">
        <v>576</v>
      </c>
      <c r="D27" s="884"/>
      <c r="E27" s="882">
        <v>0.9</v>
      </c>
      <c r="F27" s="885" t="s">
        <v>577</v>
      </c>
      <c r="G27" s="886"/>
      <c r="H27" s="878"/>
      <c r="I27" s="878"/>
    </row>
    <row r="28" spans="1:9" s="887" customFormat="1" ht="19.5" customHeight="1">
      <c r="A28" s="3257"/>
      <c r="B28" s="3257"/>
      <c r="C28" s="883" t="s">
        <v>578</v>
      </c>
      <c r="D28" s="884"/>
      <c r="E28" s="882">
        <v>0.9</v>
      </c>
      <c r="F28" s="885" t="s">
        <v>579</v>
      </c>
      <c r="G28" s="886"/>
      <c r="H28" s="878"/>
      <c r="I28" s="878"/>
    </row>
    <row r="29" spans="1:9" s="887" customFormat="1" ht="19.5" customHeight="1">
      <c r="A29" s="3257"/>
      <c r="B29" s="3257"/>
      <c r="C29" s="883" t="s">
        <v>580</v>
      </c>
      <c r="D29" s="884"/>
      <c r="E29" s="882">
        <v>0.9</v>
      </c>
      <c r="F29" s="885" t="s">
        <v>581</v>
      </c>
      <c r="G29" s="886"/>
      <c r="H29" s="878"/>
      <c r="I29" s="878"/>
    </row>
    <row r="30" spans="1:9" s="887" customFormat="1" ht="19.5" customHeight="1">
      <c r="A30" s="3257"/>
      <c r="B30" s="3257"/>
      <c r="C30" s="883" t="s">
        <v>582</v>
      </c>
      <c r="D30" s="884"/>
      <c r="E30" s="882">
        <v>0.9</v>
      </c>
      <c r="F30" s="885" t="s">
        <v>583</v>
      </c>
      <c r="G30" s="886"/>
      <c r="H30" s="878"/>
      <c r="I30" s="878"/>
    </row>
    <row r="31" spans="1:9" s="887" customFormat="1" ht="19.5" customHeight="1">
      <c r="A31" s="3257"/>
      <c r="B31" s="3257"/>
      <c r="C31" s="883" t="s">
        <v>584</v>
      </c>
      <c r="D31" s="884"/>
      <c r="E31" s="882">
        <v>0.8</v>
      </c>
      <c r="F31" s="885" t="s">
        <v>585</v>
      </c>
      <c r="G31" s="886"/>
      <c r="H31" s="878"/>
      <c r="I31" s="878"/>
    </row>
    <row r="32" spans="1:9" s="887" customFormat="1" ht="19.5" customHeight="1">
      <c r="A32" s="3257"/>
      <c r="B32" s="3257"/>
      <c r="C32" s="883" t="s">
        <v>586</v>
      </c>
      <c r="D32" s="884"/>
      <c r="E32" s="882">
        <v>0.8</v>
      </c>
      <c r="F32" s="885" t="s">
        <v>587</v>
      </c>
      <c r="G32" s="886"/>
      <c r="H32" s="878"/>
      <c r="I32" s="878"/>
    </row>
    <row r="33" spans="1:9" s="887" customFormat="1" ht="19.5" customHeight="1">
      <c r="A33" s="3257" t="s">
        <v>185</v>
      </c>
      <c r="B33" s="882" t="s">
        <v>560</v>
      </c>
      <c r="C33" s="883" t="s">
        <v>588</v>
      </c>
      <c r="D33" s="884"/>
      <c r="E33" s="882">
        <v>1</v>
      </c>
      <c r="F33" s="885" t="s">
        <v>589</v>
      </c>
      <c r="G33" s="886"/>
      <c r="H33" s="878"/>
      <c r="I33" s="878"/>
    </row>
    <row r="34" spans="1:9" s="887" customFormat="1" ht="19.5" customHeight="1">
      <c r="A34" s="3257"/>
      <c r="B34" s="882" t="s">
        <v>563</v>
      </c>
      <c r="C34" s="883" t="s">
        <v>590</v>
      </c>
      <c r="D34" s="884"/>
      <c r="E34" s="882">
        <v>1.5</v>
      </c>
      <c r="F34" s="885" t="s">
        <v>591</v>
      </c>
      <c r="G34" s="886"/>
      <c r="H34" s="878"/>
      <c r="I34" s="878"/>
    </row>
    <row r="35" spans="1:9" s="887" customFormat="1" ht="19.5" customHeight="1">
      <c r="A35" s="3257" t="s">
        <v>186</v>
      </c>
      <c r="B35" s="882" t="s">
        <v>560</v>
      </c>
      <c r="C35" s="883" t="s">
        <v>592</v>
      </c>
      <c r="D35" s="884"/>
      <c r="E35" s="882">
        <v>1</v>
      </c>
      <c r="F35" s="885" t="s">
        <v>593</v>
      </c>
      <c r="G35" s="886"/>
      <c r="H35" s="878"/>
      <c r="I35" s="878"/>
    </row>
    <row r="36" spans="1:9" s="887" customFormat="1" ht="19.5" customHeight="1">
      <c r="A36" s="3257"/>
      <c r="B36" s="3257" t="s">
        <v>563</v>
      </c>
      <c r="C36" s="883" t="s">
        <v>594</v>
      </c>
      <c r="D36" s="884"/>
      <c r="E36" s="882">
        <v>1</v>
      </c>
      <c r="F36" s="885" t="s">
        <v>595</v>
      </c>
      <c r="G36" s="886"/>
      <c r="H36" s="878"/>
      <c r="I36" s="878"/>
    </row>
    <row r="37" spans="1:9" s="887" customFormat="1" ht="19.5" customHeight="1">
      <c r="A37" s="3257"/>
      <c r="B37" s="3257"/>
      <c r="C37" s="883" t="s">
        <v>596</v>
      </c>
      <c r="D37" s="884"/>
      <c r="E37" s="882">
        <v>1.5</v>
      </c>
      <c r="F37" s="885" t="s">
        <v>597</v>
      </c>
      <c r="G37" s="886"/>
      <c r="H37" s="878"/>
      <c r="I37" s="878"/>
    </row>
    <row r="38" spans="1:9" s="887" customFormat="1" ht="19.5" customHeight="1">
      <c r="A38" s="3257"/>
      <c r="B38" s="3257"/>
      <c r="C38" s="883" t="s">
        <v>598</v>
      </c>
      <c r="D38" s="884"/>
      <c r="E38" s="882">
        <v>1</v>
      </c>
      <c r="F38" s="885" t="s">
        <v>599</v>
      </c>
      <c r="G38" s="886"/>
      <c r="H38" s="878"/>
      <c r="I38" s="878"/>
    </row>
    <row r="39" spans="1:9" s="887" customFormat="1" ht="19.5" customHeight="1">
      <c r="A39" s="3257"/>
      <c r="B39" s="325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57" t="s">
        <v>614</v>
      </c>
      <c r="C61" s="818" t="s">
        <v>615</v>
      </c>
      <c r="D61" s="818" t="s">
        <v>616</v>
      </c>
      <c r="E61" s="895">
        <v>0.5</v>
      </c>
      <c r="F61" s="882">
        <v>80</v>
      </c>
    </row>
    <row r="62" spans="1:8" s="878" customFormat="1" ht="24">
      <c r="A62" s="882">
        <v>2</v>
      </c>
      <c r="B62" s="3257"/>
      <c r="C62" s="818" t="s">
        <v>617</v>
      </c>
      <c r="D62" s="818" t="s">
        <v>618</v>
      </c>
      <c r="E62" s="895">
        <v>0.5</v>
      </c>
      <c r="F62" s="882">
        <v>80</v>
      </c>
    </row>
    <row r="63" spans="1:8" s="878" customFormat="1" ht="36">
      <c r="A63" s="882">
        <v>3</v>
      </c>
      <c r="B63" s="3257"/>
      <c r="C63" s="818" t="s">
        <v>619</v>
      </c>
      <c r="D63" s="818" t="s">
        <v>620</v>
      </c>
      <c r="E63" s="895">
        <v>0.5</v>
      </c>
      <c r="F63" s="882">
        <v>80</v>
      </c>
    </row>
    <row r="64" spans="1:8" s="878" customFormat="1" ht="36">
      <c r="A64" s="882">
        <v>4</v>
      </c>
      <c r="B64" s="3257"/>
      <c r="C64" s="818" t="s">
        <v>621</v>
      </c>
      <c r="D64" s="818" t="s">
        <v>622</v>
      </c>
      <c r="E64" s="895">
        <v>0.4</v>
      </c>
      <c r="F64" s="882">
        <v>60</v>
      </c>
    </row>
    <row r="65" spans="1:6" s="878" customFormat="1" ht="36">
      <c r="A65" s="882">
        <v>5</v>
      </c>
      <c r="B65" s="3257"/>
      <c r="C65" s="818" t="s">
        <v>623</v>
      </c>
      <c r="D65" s="818" t="s">
        <v>624</v>
      </c>
      <c r="E65" s="895">
        <v>0.2</v>
      </c>
      <c r="F65" s="882">
        <v>30</v>
      </c>
    </row>
    <row r="66" spans="1:6" s="878" customFormat="1" ht="36">
      <c r="A66" s="882">
        <v>6</v>
      </c>
      <c r="B66" s="3257"/>
      <c r="C66" s="818" t="s">
        <v>625</v>
      </c>
      <c r="D66" s="818" t="s">
        <v>626</v>
      </c>
      <c r="E66" s="895">
        <v>0.3</v>
      </c>
      <c r="F66" s="882">
        <v>50</v>
      </c>
    </row>
    <row r="67" spans="1:6" s="878" customFormat="1" ht="36">
      <c r="A67" s="882">
        <v>7</v>
      </c>
      <c r="B67" s="3257"/>
      <c r="C67" s="818" t="s">
        <v>627</v>
      </c>
      <c r="D67" s="818" t="s">
        <v>628</v>
      </c>
      <c r="E67" s="895">
        <v>0.2</v>
      </c>
      <c r="F67" s="882">
        <v>30</v>
      </c>
    </row>
    <row r="68" spans="1:6" s="878" customFormat="1" ht="36">
      <c r="A68" s="882">
        <v>8</v>
      </c>
      <c r="B68" s="3257"/>
      <c r="C68" s="818" t="s">
        <v>629</v>
      </c>
      <c r="D68" s="818" t="s">
        <v>630</v>
      </c>
      <c r="E68" s="895">
        <v>0.2</v>
      </c>
      <c r="F68" s="882">
        <v>30</v>
      </c>
    </row>
    <row r="69" spans="1:6" s="878" customFormat="1" ht="36">
      <c r="A69" s="882">
        <v>9</v>
      </c>
      <c r="B69" s="3257"/>
      <c r="C69" s="818" t="s">
        <v>631</v>
      </c>
      <c r="D69" s="818" t="s">
        <v>632</v>
      </c>
      <c r="E69" s="895">
        <v>0.2</v>
      </c>
      <c r="F69" s="882">
        <v>30</v>
      </c>
    </row>
    <row r="70" spans="1:6" s="878" customFormat="1" ht="48">
      <c r="A70" s="882">
        <v>10</v>
      </c>
      <c r="B70" s="3257"/>
      <c r="C70" s="818" t="s">
        <v>633</v>
      </c>
      <c r="D70" s="818" t="s">
        <v>634</v>
      </c>
      <c r="E70" s="895">
        <v>0.2</v>
      </c>
      <c r="F70" s="882">
        <v>30</v>
      </c>
    </row>
    <row r="71" spans="1:6" s="878" customFormat="1" ht="48">
      <c r="A71" s="882">
        <v>11</v>
      </c>
      <c r="B71" s="3257"/>
      <c r="C71" s="818" t="s">
        <v>635</v>
      </c>
      <c r="D71" s="818" t="s">
        <v>636</v>
      </c>
      <c r="E71" s="895">
        <v>0.2</v>
      </c>
      <c r="F71" s="882">
        <v>30</v>
      </c>
    </row>
    <row r="72" spans="1:6" s="878" customFormat="1" ht="36">
      <c r="A72" s="882">
        <v>12</v>
      </c>
      <c r="B72" s="3257"/>
      <c r="C72" s="818" t="s">
        <v>637</v>
      </c>
      <c r="D72" s="818" t="s">
        <v>638</v>
      </c>
      <c r="E72" s="895">
        <v>0.5</v>
      </c>
      <c r="F72" s="882">
        <v>80</v>
      </c>
    </row>
    <row r="73" spans="1:6" s="878" customFormat="1" ht="24">
      <c r="A73" s="882">
        <v>13</v>
      </c>
      <c r="B73" s="3257"/>
      <c r="C73" s="818" t="s">
        <v>639</v>
      </c>
      <c r="D73" s="818" t="s">
        <v>640</v>
      </c>
      <c r="E73" s="895">
        <v>0.4</v>
      </c>
      <c r="F73" s="882">
        <v>60</v>
      </c>
    </row>
    <row r="74" spans="1:6" s="878" customFormat="1" ht="24">
      <c r="A74" s="882">
        <v>14</v>
      </c>
      <c r="B74" s="3257"/>
      <c r="C74" s="818" t="s">
        <v>641</v>
      </c>
      <c r="D74" s="818" t="s">
        <v>642</v>
      </c>
      <c r="E74" s="895">
        <v>0.2</v>
      </c>
      <c r="F74" s="882">
        <v>30</v>
      </c>
    </row>
    <row r="75" spans="1:6" s="878" customFormat="1" ht="24">
      <c r="A75" s="882">
        <v>15</v>
      </c>
      <c r="B75" s="3257"/>
      <c r="C75" s="818" t="s">
        <v>643</v>
      </c>
      <c r="D75" s="818" t="s">
        <v>644</v>
      </c>
      <c r="E75" s="895">
        <v>0.2</v>
      </c>
      <c r="F75" s="882">
        <v>30</v>
      </c>
    </row>
    <row r="76" spans="1:6" s="878" customFormat="1" ht="24">
      <c r="A76" s="882">
        <v>16</v>
      </c>
      <c r="B76" s="3257" t="s">
        <v>645</v>
      </c>
      <c r="C76" s="818" t="s">
        <v>646</v>
      </c>
      <c r="D76" s="818" t="s">
        <v>647</v>
      </c>
      <c r="E76" s="895">
        <v>0.5</v>
      </c>
      <c r="F76" s="882">
        <v>80</v>
      </c>
    </row>
    <row r="77" spans="1:6" s="878" customFormat="1" ht="24">
      <c r="A77" s="882">
        <v>17</v>
      </c>
      <c r="B77" s="3257"/>
      <c r="C77" s="818" t="s">
        <v>648</v>
      </c>
      <c r="D77" s="818" t="s">
        <v>649</v>
      </c>
      <c r="E77" s="895">
        <v>0.5</v>
      </c>
      <c r="F77" s="882">
        <v>80</v>
      </c>
    </row>
    <row r="78" spans="1:6" s="878" customFormat="1" ht="24">
      <c r="A78" s="882">
        <v>18</v>
      </c>
      <c r="B78" s="3257"/>
      <c r="C78" s="818" t="s">
        <v>650</v>
      </c>
      <c r="D78" s="818" t="s">
        <v>651</v>
      </c>
      <c r="E78" s="895">
        <v>0.2</v>
      </c>
      <c r="F78" s="882">
        <v>30</v>
      </c>
    </row>
    <row r="79" spans="1:6" s="878" customFormat="1" ht="24">
      <c r="A79" s="882">
        <v>19</v>
      </c>
      <c r="B79" s="3257"/>
      <c r="C79" s="818" t="s">
        <v>652</v>
      </c>
      <c r="D79" s="818" t="s">
        <v>653</v>
      </c>
      <c r="E79" s="895">
        <v>0.5</v>
      </c>
      <c r="F79" s="882">
        <v>80</v>
      </c>
    </row>
    <row r="80" spans="1:6" s="878" customFormat="1" ht="36">
      <c r="A80" s="882">
        <v>20</v>
      </c>
      <c r="B80" s="3257"/>
      <c r="C80" s="818" t="s">
        <v>654</v>
      </c>
      <c r="D80" s="818" t="s">
        <v>655</v>
      </c>
      <c r="E80" s="895">
        <v>0.2</v>
      </c>
      <c r="F80" s="882">
        <v>30</v>
      </c>
    </row>
    <row r="81" spans="1:6" s="878" customFormat="1" ht="36">
      <c r="A81" s="882">
        <v>21</v>
      </c>
      <c r="B81" s="3257"/>
      <c r="C81" s="818" t="s">
        <v>656</v>
      </c>
      <c r="D81" s="818" t="s">
        <v>657</v>
      </c>
      <c r="E81" s="895">
        <v>0.2</v>
      </c>
      <c r="F81" s="882">
        <v>30</v>
      </c>
    </row>
    <row r="82" spans="1:6" s="878" customFormat="1" ht="48">
      <c r="A82" s="882">
        <v>22</v>
      </c>
      <c r="B82" s="3257"/>
      <c r="C82" s="818" t="s">
        <v>658</v>
      </c>
      <c r="D82" s="818" t="s">
        <v>659</v>
      </c>
      <c r="E82" s="895">
        <v>0.2</v>
      </c>
      <c r="F82" s="882">
        <v>30</v>
      </c>
    </row>
    <row r="83" spans="1:6" s="878" customFormat="1" ht="48">
      <c r="A83" s="882">
        <v>23</v>
      </c>
      <c r="B83" s="3257"/>
      <c r="C83" s="818" t="s">
        <v>660</v>
      </c>
      <c r="D83" s="818" t="s">
        <v>661</v>
      </c>
      <c r="E83" s="895">
        <v>0.2</v>
      </c>
      <c r="F83" s="882">
        <v>30</v>
      </c>
    </row>
    <row r="84" spans="1:6" s="878" customFormat="1" ht="36">
      <c r="A84" s="882">
        <v>24</v>
      </c>
      <c r="B84" s="3257"/>
      <c r="C84" s="818" t="s">
        <v>662</v>
      </c>
      <c r="D84" s="818" t="s">
        <v>663</v>
      </c>
      <c r="E84" s="895">
        <v>0.2</v>
      </c>
      <c r="F84" s="882">
        <v>30</v>
      </c>
    </row>
    <row r="85" spans="1:6" s="878" customFormat="1" ht="36">
      <c r="A85" s="882">
        <v>25</v>
      </c>
      <c r="B85" s="3257"/>
      <c r="C85" s="818" t="s">
        <v>664</v>
      </c>
      <c r="D85" s="818" t="s">
        <v>665</v>
      </c>
      <c r="E85" s="895">
        <v>0.5</v>
      </c>
      <c r="F85" s="882">
        <v>80</v>
      </c>
    </row>
    <row r="86" spans="1:6" s="878" customFormat="1" ht="36">
      <c r="A86" s="882">
        <v>26</v>
      </c>
      <c r="B86" s="3257"/>
      <c r="C86" s="818" t="s">
        <v>666</v>
      </c>
      <c r="D86" s="818" t="s">
        <v>667</v>
      </c>
      <c r="E86" s="895">
        <v>0.2</v>
      </c>
      <c r="F86" s="882">
        <v>30</v>
      </c>
    </row>
    <row r="87" spans="1:6" s="878" customFormat="1" ht="36">
      <c r="A87" s="882">
        <v>27</v>
      </c>
      <c r="B87" s="3257"/>
      <c r="C87" s="818" t="s">
        <v>668</v>
      </c>
      <c r="D87" s="818" t="s">
        <v>669</v>
      </c>
      <c r="E87" s="895">
        <v>0.2</v>
      </c>
      <c r="F87" s="882">
        <v>30</v>
      </c>
    </row>
    <row r="88" spans="1:6" s="878" customFormat="1" ht="36">
      <c r="A88" s="882">
        <v>28</v>
      </c>
      <c r="B88" s="3257"/>
      <c r="C88" s="818" t="s">
        <v>670</v>
      </c>
      <c r="D88" s="818" t="s">
        <v>671</v>
      </c>
      <c r="E88" s="895">
        <v>0.2</v>
      </c>
      <c r="F88" s="882">
        <v>30</v>
      </c>
    </row>
    <row r="89" spans="1:6" s="878" customFormat="1" ht="24">
      <c r="A89" s="882">
        <v>29</v>
      </c>
      <c r="B89" s="3257"/>
      <c r="C89" s="818" t="s">
        <v>672</v>
      </c>
      <c r="D89" s="818" t="s">
        <v>673</v>
      </c>
      <c r="E89" s="895">
        <v>0.2</v>
      </c>
      <c r="F89" s="882">
        <v>30</v>
      </c>
    </row>
    <row r="90" spans="1:6" s="878" customFormat="1" ht="24">
      <c r="A90" s="882">
        <v>30</v>
      </c>
      <c r="B90" s="3257"/>
      <c r="C90" s="818" t="s">
        <v>674</v>
      </c>
      <c r="D90" s="818" t="s">
        <v>675</v>
      </c>
      <c r="E90" s="895">
        <v>0.2</v>
      </c>
      <c r="F90" s="882">
        <v>30</v>
      </c>
    </row>
    <row r="91" spans="1:6" s="878" customFormat="1" ht="36">
      <c r="A91" s="882">
        <v>31</v>
      </c>
      <c r="B91" s="3257"/>
      <c r="C91" s="818" t="s">
        <v>676</v>
      </c>
      <c r="D91" s="818" t="s">
        <v>677</v>
      </c>
      <c r="E91" s="895">
        <v>0.2</v>
      </c>
      <c r="F91" s="882">
        <v>30</v>
      </c>
    </row>
    <row r="92" spans="1:6" s="878" customFormat="1" ht="24">
      <c r="A92" s="882">
        <v>32</v>
      </c>
      <c r="B92" s="3257" t="s">
        <v>678</v>
      </c>
      <c r="C92" s="882" t="s">
        <v>679</v>
      </c>
      <c r="D92" s="818" t="s">
        <v>680</v>
      </c>
      <c r="E92" s="895">
        <v>0.2</v>
      </c>
      <c r="F92" s="882">
        <v>30</v>
      </c>
    </row>
    <row r="93" spans="1:6" s="878" customFormat="1" ht="36">
      <c r="A93" s="882">
        <v>33</v>
      </c>
      <c r="B93" s="3257"/>
      <c r="C93" s="882" t="s">
        <v>681</v>
      </c>
      <c r="D93" s="818" t="s">
        <v>682</v>
      </c>
      <c r="E93" s="895">
        <v>0.2</v>
      </c>
      <c r="F93" s="882">
        <v>30</v>
      </c>
    </row>
    <row r="94" spans="1:6" s="878" customFormat="1" ht="48">
      <c r="A94" s="882">
        <v>34</v>
      </c>
      <c r="B94" s="3257"/>
      <c r="C94" s="882" t="s">
        <v>683</v>
      </c>
      <c r="D94" s="818" t="s">
        <v>684</v>
      </c>
      <c r="E94" s="895">
        <v>0.2</v>
      </c>
      <c r="F94" s="882">
        <v>30</v>
      </c>
    </row>
    <row r="95" spans="1:6" s="878" customFormat="1" ht="36">
      <c r="A95" s="882">
        <v>35</v>
      </c>
      <c r="B95" s="3257"/>
      <c r="C95" s="882" t="s">
        <v>685</v>
      </c>
      <c r="D95" s="818" t="s">
        <v>686</v>
      </c>
      <c r="E95" s="895">
        <v>0.2</v>
      </c>
      <c r="F95" s="882">
        <v>30</v>
      </c>
    </row>
    <row r="96" spans="1:6" s="878" customFormat="1" ht="48">
      <c r="A96" s="882">
        <v>36</v>
      </c>
      <c r="B96" s="3257"/>
      <c r="C96" s="818" t="s">
        <v>687</v>
      </c>
      <c r="D96" s="818" t="s">
        <v>688</v>
      </c>
      <c r="E96" s="895">
        <v>0.2</v>
      </c>
      <c r="F96" s="882">
        <v>30</v>
      </c>
    </row>
    <row r="97" spans="1:6" s="878" customFormat="1" ht="36">
      <c r="A97" s="882">
        <v>37</v>
      </c>
      <c r="B97" s="3257"/>
      <c r="C97" s="882" t="s">
        <v>689</v>
      </c>
      <c r="D97" s="818" t="s">
        <v>690</v>
      </c>
      <c r="E97" s="895">
        <v>0.2</v>
      </c>
      <c r="F97" s="882">
        <v>30</v>
      </c>
    </row>
    <row r="98" spans="1:6" s="878" customFormat="1" ht="36">
      <c r="A98" s="882">
        <v>38</v>
      </c>
      <c r="B98" s="3257"/>
      <c r="C98" s="882" t="s">
        <v>691</v>
      </c>
      <c r="D98" s="818" t="s">
        <v>692</v>
      </c>
      <c r="E98" s="895">
        <v>0.2</v>
      </c>
      <c r="F98" s="882">
        <v>30</v>
      </c>
    </row>
    <row r="99" spans="1:6" s="878" customFormat="1" ht="36">
      <c r="A99" s="882">
        <v>39</v>
      </c>
      <c r="B99" s="3257" t="s">
        <v>693</v>
      </c>
      <c r="C99" s="882" t="s">
        <v>694</v>
      </c>
      <c r="D99" s="818" t="s">
        <v>695</v>
      </c>
      <c r="E99" s="895">
        <v>0.3</v>
      </c>
      <c r="F99" s="882">
        <v>50</v>
      </c>
    </row>
    <row r="100" spans="1:6" s="878" customFormat="1" ht="24">
      <c r="A100" s="882">
        <v>40</v>
      </c>
      <c r="B100" s="3257"/>
      <c r="C100" s="882" t="s">
        <v>696</v>
      </c>
      <c r="D100" s="818" t="s">
        <v>697</v>
      </c>
      <c r="E100" s="895">
        <v>0.2</v>
      </c>
      <c r="F100" s="882">
        <v>30</v>
      </c>
    </row>
    <row r="101" spans="1:6" s="878" customFormat="1" ht="36">
      <c r="A101" s="882">
        <v>41</v>
      </c>
      <c r="B101" s="325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7" t="s">
        <v>708</v>
      </c>
      <c r="C105" s="882" t="s">
        <v>709</v>
      </c>
      <c r="D105" s="818" t="s">
        <v>710</v>
      </c>
      <c r="E105" s="895">
        <v>0.2</v>
      </c>
      <c r="F105" s="882">
        <v>30</v>
      </c>
    </row>
    <row r="106" spans="1:6" s="878" customFormat="1" ht="36">
      <c r="A106" s="882">
        <v>46</v>
      </c>
      <c r="B106" s="3257"/>
      <c r="C106" s="882" t="s">
        <v>711</v>
      </c>
      <c r="D106" s="818" t="s">
        <v>712</v>
      </c>
      <c r="E106" s="895">
        <v>0.2</v>
      </c>
      <c r="F106" s="882">
        <v>30</v>
      </c>
    </row>
    <row r="107" spans="1:6" s="878" customFormat="1" ht="36">
      <c r="A107" s="882">
        <v>47</v>
      </c>
      <c r="B107" s="3257" t="s">
        <v>713</v>
      </c>
      <c r="C107" s="882" t="s">
        <v>714</v>
      </c>
      <c r="D107" s="818" t="s">
        <v>715</v>
      </c>
      <c r="E107" s="895">
        <v>0.3</v>
      </c>
      <c r="F107" s="882">
        <v>50</v>
      </c>
    </row>
    <row r="108" spans="1:6" s="878" customFormat="1" ht="36">
      <c r="A108" s="882">
        <v>48</v>
      </c>
      <c r="B108" s="325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7" t="s">
        <v>724</v>
      </c>
      <c r="C111" s="882" t="s">
        <v>725</v>
      </c>
      <c r="D111" s="818" t="s">
        <v>726</v>
      </c>
      <c r="E111" s="895">
        <v>0.2</v>
      </c>
      <c r="F111" s="882">
        <v>30</v>
      </c>
    </row>
    <row r="112" spans="1:6" s="878" customFormat="1" ht="24">
      <c r="A112" s="882">
        <v>52</v>
      </c>
      <c r="B112" s="3257"/>
      <c r="C112" s="882" t="s">
        <v>727</v>
      </c>
      <c r="D112" s="818" t="s">
        <v>728</v>
      </c>
      <c r="E112" s="895">
        <v>0.2</v>
      </c>
      <c r="F112" s="882">
        <v>30</v>
      </c>
    </row>
    <row r="113" spans="1:6" s="878" customFormat="1" ht="24">
      <c r="A113" s="882">
        <v>53</v>
      </c>
      <c r="B113" s="325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7" t="s">
        <v>737</v>
      </c>
      <c r="C116" s="882" t="s">
        <v>738</v>
      </c>
      <c r="D116" s="818" t="s">
        <v>739</v>
      </c>
      <c r="E116" s="895">
        <v>0.2</v>
      </c>
      <c r="F116" s="882">
        <v>30</v>
      </c>
    </row>
    <row r="117" spans="1:6" ht="36">
      <c r="A117" s="882">
        <v>57</v>
      </c>
      <c r="B117" s="325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0.92410000000000003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3008</v>
      </c>
    </row>
    <row r="2" spans="1:5" ht="15.75">
      <c r="A2" s="2917" t="s">
        <v>3000</v>
      </c>
      <c r="B2" s="2918" t="e">
        <f ca="1">SUMIF(B6:B13,"&lt;&gt;#ref!",B6:B13)</f>
        <v>#DIV/0!</v>
      </c>
      <c r="C2" s="2917" t="s">
        <v>3001</v>
      </c>
      <c r="D2" s="2917" t="s">
        <v>3002</v>
      </c>
      <c r="E2" s="2918">
        <f ca="1">SUMIF(E6:E13,"&lt;&gt;#ref!",E6:E13)</f>
        <v>0</v>
      </c>
    </row>
    <row r="3" spans="1:5" ht="15.75">
      <c r="A3" s="2917" t="s">
        <v>3003</v>
      </c>
      <c r="B3" s="2918" t="e">
        <f ca="1">ROUND(B2*10000/E2,0)</f>
        <v>#DIV/0!</v>
      </c>
      <c r="C3" s="2917" t="s">
        <v>3009</v>
      </c>
      <c r="D3" s="2919"/>
      <c r="E3" s="2919"/>
    </row>
    <row r="4" spans="1:5" ht="15.75">
      <c r="A4" s="2920"/>
      <c r="B4" s="2919"/>
      <c r="C4" s="2919"/>
      <c r="D4" s="2919"/>
      <c r="E4" s="2919"/>
    </row>
    <row r="5" spans="1:5" ht="28.5">
      <c r="A5" s="2921" t="s">
        <v>3004</v>
      </c>
      <c r="B5" s="2917" t="s">
        <v>3005</v>
      </c>
      <c r="C5" s="2918"/>
      <c r="D5" s="2919"/>
      <c r="E5" s="2917" t="s">
        <v>3006</v>
      </c>
    </row>
    <row r="6" spans="1:5" ht="15.75">
      <c r="A6" s="2922" t="s">
        <v>3007</v>
      </c>
      <c r="B6" s="2918" t="e">
        <f ca="1">SUMIF(INDIRECT("'"&amp;A6&amp;"'"&amp;"!A:A"),"总价",INDIRECT("'"&amp;A6&amp;"'"&amp;"!B:B"))</f>
        <v>#DIV/0!</v>
      </c>
      <c r="C6" s="2917" t="s">
        <v>3001</v>
      </c>
      <c r="D6" s="2919"/>
      <c r="E6" s="2582">
        <f ca="1">SUMIF(INDIRECT("'"&amp;A6&amp;"'"&amp;"!C:C"),"建筑面积",INDIRECT("'"&amp;A6&amp;"'"&amp;"!D:D"))</f>
        <v>0</v>
      </c>
    </row>
    <row r="7" spans="1:5" ht="15.75">
      <c r="A7" s="2922"/>
      <c r="B7" s="2918" t="e">
        <f ca="1">SUMIF(INDIRECT("'"&amp;A7&amp;"'"&amp;"!A:A"),"总价",INDIRECT("'"&amp;A7&amp;"'"&amp;"!B:B"))</f>
        <v>#REF!</v>
      </c>
      <c r="C7" s="2917" t="s">
        <v>3001</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3001</v>
      </c>
      <c r="D8" s="2919"/>
      <c r="E8" s="2582" t="e">
        <f t="shared" ca="1" si="0"/>
        <v>#REF!</v>
      </c>
    </row>
    <row r="9" spans="1:5" ht="15.75">
      <c r="A9" s="2922"/>
      <c r="B9" s="2918" t="e">
        <f t="shared" ca="1" si="1"/>
        <v>#REF!</v>
      </c>
      <c r="C9" s="2917" t="s">
        <v>3001</v>
      </c>
      <c r="D9" s="2919"/>
      <c r="E9" s="2582" t="e">
        <f t="shared" ca="1" si="0"/>
        <v>#REF!</v>
      </c>
    </row>
    <row r="10" spans="1:5" ht="15.75">
      <c r="A10" s="2922"/>
      <c r="B10" s="2918" t="e">
        <f t="shared" ca="1" si="1"/>
        <v>#REF!</v>
      </c>
      <c r="C10" s="2917" t="s">
        <v>3001</v>
      </c>
      <c r="D10" s="2919"/>
      <c r="E10" s="2582" t="e">
        <f t="shared" ca="1" si="0"/>
        <v>#REF!</v>
      </c>
    </row>
    <row r="11" spans="1:5" ht="15.75">
      <c r="A11" s="2922"/>
      <c r="B11" s="2918" t="e">
        <f t="shared" ca="1" si="1"/>
        <v>#REF!</v>
      </c>
      <c r="C11" s="2917" t="s">
        <v>3001</v>
      </c>
      <c r="D11" s="2919"/>
      <c r="E11" s="2582" t="e">
        <f t="shared" ca="1" si="0"/>
        <v>#REF!</v>
      </c>
    </row>
    <row r="12" spans="1:5" ht="15.75">
      <c r="A12" s="2922"/>
      <c r="B12" s="2918" t="e">
        <f t="shared" ca="1" si="1"/>
        <v>#REF!</v>
      </c>
      <c r="C12" s="2917" t="s">
        <v>3001</v>
      </c>
      <c r="D12" s="2919"/>
      <c r="E12" s="2582" t="e">
        <f t="shared" ca="1" si="0"/>
        <v>#REF!</v>
      </c>
    </row>
    <row r="13" spans="1:5" ht="15.75">
      <c r="A13" s="2922"/>
      <c r="B13" s="2918" t="e">
        <f t="shared" ca="1" si="1"/>
        <v>#REF!</v>
      </c>
      <c r="C13" s="2917" t="s">
        <v>3001</v>
      </c>
      <c r="D13" s="2919"/>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3" t="s">
        <v>1150</v>
      </c>
      <c r="C1" s="3263"/>
      <c r="D1" s="3263"/>
      <c r="E1" s="3263"/>
      <c r="F1" s="3263"/>
      <c r="G1" s="3259" t="s">
        <v>1151</v>
      </c>
      <c r="H1" s="3259"/>
      <c r="I1" s="3259"/>
      <c r="J1" s="3259"/>
      <c r="K1" s="3259"/>
      <c r="L1" s="3259"/>
      <c r="N1" s="3259" t="s">
        <v>1152</v>
      </c>
      <c r="O1" s="3259"/>
      <c r="P1" s="3259"/>
      <c r="Q1" s="3259"/>
      <c r="R1" s="1449"/>
      <c r="S1" s="3259" t="s">
        <v>1153</v>
      </c>
      <c r="T1" s="3259"/>
      <c r="U1" s="3259"/>
      <c r="V1" s="3259"/>
      <c r="X1" s="3258" t="s">
        <v>1154</v>
      </c>
      <c r="Y1" s="3259"/>
      <c r="Z1" s="3259"/>
      <c r="AA1" s="3259"/>
      <c r="AB1" s="3259"/>
      <c r="AD1" s="3258" t="s">
        <v>1155</v>
      </c>
      <c r="AE1" s="3259"/>
      <c r="AF1" s="3259"/>
      <c r="AG1" s="3259"/>
      <c r="AH1" s="3259"/>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6" customFormat="1" ht="14.25">
      <c r="A3" s="2945" t="s">
        <v>3043</v>
      </c>
      <c r="B3" s="2937"/>
      <c r="C3" s="2937"/>
      <c r="D3" s="2938"/>
      <c r="E3" s="2938"/>
      <c r="F3" s="2937"/>
      <c r="G3" s="2939"/>
      <c r="H3" s="2940"/>
      <c r="I3" s="2941">
        <f>ROUND(AVERAGE($I4:$I24),2)</f>
        <v>2.19</v>
      </c>
      <c r="J3" s="2941">
        <f>ROUND(AVERAGE($J4:$J24),2)</f>
        <v>1.53</v>
      </c>
      <c r="K3" s="2941">
        <f>ROUND(AVERAGE($K4:$K24),2)</f>
        <v>2.41</v>
      </c>
      <c r="L3" s="2941">
        <f>ROUND(AVERAGE($L4:$L24),2)</f>
        <v>1.42</v>
      </c>
      <c r="N3" s="2939"/>
      <c r="O3" s="2942"/>
      <c r="P3" s="2942"/>
      <c r="Q3" s="2942"/>
      <c r="R3" s="2942"/>
      <c r="S3" s="2939"/>
      <c r="T3" s="2942"/>
      <c r="U3" s="2942"/>
      <c r="V3" s="2942"/>
      <c r="W3" s="2934"/>
      <c r="X3" s="2943">
        <f>ROUND(SUMPRODUCT(PRODUCT(1+N3:N$23)),4)</f>
        <v>1.4956</v>
      </c>
      <c r="Y3" s="2943">
        <f>ROUND(SUMPRODUCT(PRODUCT(1+O3:O$23)),4)</f>
        <v>1.3237000000000001</v>
      </c>
      <c r="Z3" s="2943">
        <f t="shared" ref="Z3:Z21" si="0">Y3</f>
        <v>1.3237000000000001</v>
      </c>
      <c r="AA3" s="2943">
        <f>ROUND(SUMPRODUCT(PRODUCT(1+P3:P$23)),4)</f>
        <v>1.554</v>
      </c>
      <c r="AB3" s="2943">
        <f>ROUND(SUMPRODUCT(PRODUCT(1+Q3:Q$23)),4)</f>
        <v>1.3087</v>
      </c>
      <c r="AD3" s="2944">
        <f>ROUND(AVERAGE(I3:I$24)/100,4)</f>
        <v>2.1899999999999999E-2</v>
      </c>
      <c r="AE3" s="2944">
        <f>ROUND(AVERAGE(J3:J$24)/100,4)</f>
        <v>1.5299999999999999E-2</v>
      </c>
      <c r="AF3" s="2944">
        <f t="shared" ref="AF3:AF22" si="1">AE3</f>
        <v>1.5299999999999999E-2</v>
      </c>
      <c r="AG3" s="2944">
        <f>ROUND(AVERAGE(K3:K$24)/100,4)</f>
        <v>2.41E-2</v>
      </c>
      <c r="AH3" s="2944">
        <f>ROUND(AVERAGE(L3:L$24)/100,4)</f>
        <v>1.4200000000000001E-2</v>
      </c>
    </row>
    <row r="4" spans="1:34" s="1456" customFormat="1" ht="14.25">
      <c r="B4" s="1457"/>
      <c r="C4" s="1457"/>
      <c r="D4" s="1458"/>
      <c r="E4" s="1458"/>
      <c r="F4" s="1457"/>
      <c r="G4" s="1459"/>
      <c r="H4" s="1460"/>
      <c r="I4" s="2930"/>
      <c r="J4" s="2930"/>
      <c r="K4" s="2930"/>
      <c r="L4" s="2930"/>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3051</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48">
        <v>2018</v>
      </c>
      <c r="H5" s="1733">
        <v>4</v>
      </c>
      <c r="I5" s="2931">
        <v>0</v>
      </c>
      <c r="J5" s="2931">
        <v>0</v>
      </c>
      <c r="K5" s="2931">
        <v>0</v>
      </c>
      <c r="L5" s="2931">
        <v>0</v>
      </c>
      <c r="N5" s="1470">
        <f>I5/100</f>
        <v>0</v>
      </c>
      <c r="O5" s="1470">
        <f t="shared" ref="O5" si="7">J5/100</f>
        <v>0</v>
      </c>
      <c r="P5" s="1470">
        <f t="shared" ref="P5" si="8">K5/100</f>
        <v>0</v>
      </c>
      <c r="Q5" s="1470">
        <f t="shared" ref="Q5" si="9">L5/100</f>
        <v>0</v>
      </c>
      <c r="R5" s="1735"/>
      <c r="S5" s="1736"/>
      <c r="T5" s="1735"/>
      <c r="U5" s="1735"/>
      <c r="V5" s="1735"/>
      <c r="W5" s="2935" t="s">
        <v>3044</v>
      </c>
      <c r="X5" s="1729">
        <f>ROUND(SUMPRODUCT(PRODUCT(1+N5:N$23)),4)</f>
        <v>1.4956</v>
      </c>
      <c r="Y5" s="1729">
        <f>ROUND(SUMPRODUCT(PRODUCT(1+O5:O$23)),4)</f>
        <v>1.3237000000000001</v>
      </c>
      <c r="Z5" s="1729">
        <f t="shared" ref="Z5" si="10">Y5</f>
        <v>1.3237000000000001</v>
      </c>
      <c r="AA5" s="1729">
        <f>ROUND(SUMPRODUCT(PRODUCT(1+P5:P$23)),4)</f>
        <v>1.554</v>
      </c>
      <c r="AB5" s="1729">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5" thickBot="1">
      <c r="A6" s="1464" t="s">
        <v>3052</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46"/>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3"/>
      <c r="X6" s="1791">
        <f>ROUND(SUMPRODUCT(PRODUCT(1+N6:N$23)),4)</f>
        <v>1.4956</v>
      </c>
      <c r="Y6" s="1791">
        <f>ROUND(SUMPRODUCT(PRODUCT(1+O6:O$23)),4)</f>
        <v>1.3237000000000001</v>
      </c>
      <c r="Z6" s="1791">
        <f t="shared" ref="Z6" si="20">Y6</f>
        <v>1.3237000000000001</v>
      </c>
      <c r="AA6" s="1791">
        <f>ROUND(SUMPRODUCT(PRODUCT(1+P6:P$23)),4)</f>
        <v>1.554</v>
      </c>
      <c r="AB6" s="1791">
        <f>ROUND(SUMPRODUCT(PRODUCT(1+Q6:Q$23)),4)</f>
        <v>1.3087</v>
      </c>
      <c r="AC6" s="1793"/>
      <c r="AD6" s="1792">
        <f>ROUND(AVERAGE(I6:I$24)/100,4)</f>
        <v>2.3099999999999999E-2</v>
      </c>
      <c r="AE6" s="1792">
        <f>ROUND(AVERAGE(J6:J$24)/100,4)</f>
        <v>1.61E-2</v>
      </c>
      <c r="AF6" s="1792">
        <f t="shared" ref="AF6" si="21">AE6</f>
        <v>1.61E-2</v>
      </c>
      <c r="AG6" s="1792">
        <f>ROUND(AVERAGE(K6:K$24)/100,4)</f>
        <v>2.53E-2</v>
      </c>
      <c r="AH6" s="1792">
        <f>ROUND(AVERAGE(L6:L$24)/100,4)</f>
        <v>1.4999999999999999E-2</v>
      </c>
    </row>
    <row r="7" spans="1:34" s="1469" customFormat="1" ht="13.5" thickBot="1">
      <c r="A7" s="1464" t="s">
        <v>3050</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46"/>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3"/>
      <c r="X7" s="1791">
        <f>ROUND(SUMPRODUCT(PRODUCT(1+N7:N$23)),4)</f>
        <v>1.4733000000000001</v>
      </c>
      <c r="Y7" s="1791">
        <f>ROUND(SUMPRODUCT(PRODUCT(1+O7:O$23)),4)</f>
        <v>1.3052999999999999</v>
      </c>
      <c r="Z7" s="1791">
        <f t="shared" ref="Z7" si="31">Y7</f>
        <v>1.3052999999999999</v>
      </c>
      <c r="AA7" s="1791">
        <f>ROUND(SUMPRODUCT(PRODUCT(1+P7:P$23)),4)</f>
        <v>1.5306999999999999</v>
      </c>
      <c r="AB7" s="1791">
        <f>ROUND(SUMPRODUCT(PRODUCT(1+Q7:Q$23)),4)</f>
        <v>1.2863</v>
      </c>
      <c r="AC7" s="1793"/>
      <c r="AD7" s="1792">
        <f>ROUND(AVERAGE(I7:I$24)/100,4)</f>
        <v>2.35E-2</v>
      </c>
      <c r="AE7" s="1792">
        <f>ROUND(AVERAGE(J7:J$24)/100,4)</f>
        <v>1.6199999999999999E-2</v>
      </c>
      <c r="AF7" s="1792">
        <f t="shared" ref="AF7" si="32">AE7</f>
        <v>1.6199999999999999E-2</v>
      </c>
      <c r="AG7" s="1792">
        <f>ROUND(AVERAGE(K7:K$24)/100,4)</f>
        <v>2.5899999999999999E-2</v>
      </c>
      <c r="AH7" s="1792">
        <f>ROUND(AVERAGE(L7:L$24)/100,4)</f>
        <v>1.49E-2</v>
      </c>
    </row>
    <row r="8" spans="1:34" s="1469" customFormat="1" ht="13.5" thickBot="1">
      <c r="A8" s="1464" t="s">
        <v>3042</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46"/>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3"/>
      <c r="X8" s="1791">
        <f>ROUND(SUMPRODUCT(PRODUCT(1+N8:N$23)),4)</f>
        <v>1.4517</v>
      </c>
      <c r="Y8" s="1791">
        <f>ROUND(SUMPRODUCT(PRODUCT(1+O8:O$23)),4)</f>
        <v>1.2928999999999999</v>
      </c>
      <c r="Z8" s="1791">
        <f t="shared" ref="Z8" si="45">Y8</f>
        <v>1.2928999999999999</v>
      </c>
      <c r="AA8" s="1791">
        <f>ROUND(SUMPRODUCT(PRODUCT(1+P8:P$23)),4)</f>
        <v>1.5068999999999999</v>
      </c>
      <c r="AB8" s="1791">
        <f>ROUND(SUMPRODUCT(PRODUCT(1+Q8:Q$23)),4)</f>
        <v>1.2557</v>
      </c>
      <c r="AC8" s="1793"/>
      <c r="AD8" s="1792">
        <f>ROUND(AVERAGE(I8:I$24)/100,4)</f>
        <v>2.4E-2</v>
      </c>
      <c r="AE8" s="1792">
        <f>ROUND(AVERAGE(J8:J$24)/100,4)</f>
        <v>1.66E-2</v>
      </c>
      <c r="AF8" s="1792">
        <f t="shared" ref="AF8" si="46">AE8</f>
        <v>1.66E-2</v>
      </c>
      <c r="AG8" s="1792">
        <f>ROUND(AVERAGE(K8:K$24)/100,4)</f>
        <v>2.6499999999999999E-2</v>
      </c>
      <c r="AH8" s="1792">
        <f>ROUND(AVERAGE(L8:L$24)/100,4)</f>
        <v>1.43E-2</v>
      </c>
    </row>
    <row r="9" spans="1:34">
      <c r="A9" s="1464" t="s">
        <v>3039</v>
      </c>
      <c r="B9" s="1472">
        <v>439</v>
      </c>
      <c r="C9" s="1472">
        <v>327</v>
      </c>
      <c r="D9" s="1472">
        <f>C9</f>
        <v>327</v>
      </c>
      <c r="E9" s="1472">
        <v>627</v>
      </c>
      <c r="F9" s="1473">
        <v>283</v>
      </c>
      <c r="G9" s="2933">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5" thickBot="1">
      <c r="A10" s="1464" t="s">
        <v>3040</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9"/>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3"/>
      <c r="X10" s="1791">
        <f>ROUND(SUMPRODUCT(PRODUCT(1+N10:N$23)),4)</f>
        <v>1.4034</v>
      </c>
      <c r="Y10" s="1791">
        <f>ROUND(SUMPRODUCT(PRODUCT(1+O10:O$23)),4)</f>
        <v>1.2463</v>
      </c>
      <c r="Z10" s="1791">
        <f t="shared" si="0"/>
        <v>1.2463</v>
      </c>
      <c r="AA10" s="1791">
        <f>ROUND(SUMPRODUCT(PRODUCT(1+P10:P$23)),4)</f>
        <v>1.4577</v>
      </c>
      <c r="AB10" s="1791">
        <f>ROUND(SUMPRODUCT(PRODUCT(1+Q10:Q$23)),4)</f>
        <v>1.2136</v>
      </c>
      <c r="AC10" s="1793"/>
      <c r="AD10" s="1792">
        <f>ROUND(AVERAGE(I10:I$24)/100,4)</f>
        <v>2.4899999999999999E-2</v>
      </c>
      <c r="AE10" s="1792">
        <f>ROUND(AVERAGE(J10:J$24)/100,4)</f>
        <v>1.6400000000000001E-2</v>
      </c>
      <c r="AF10" s="1792">
        <f t="shared" si="1"/>
        <v>1.6400000000000001E-2</v>
      </c>
      <c r="AG10" s="1792">
        <f>ROUND(AVERAGE(K10:K$24)/100,4)</f>
        <v>2.7799999999999998E-2</v>
      </c>
      <c r="AH10" s="1792">
        <f>ROUND(AVERAGE(L10:L$24)/100,4)</f>
        <v>1.3899999999999999E-2</v>
      </c>
    </row>
    <row r="11" spans="1:34" s="1734" customFormat="1">
      <c r="A11" s="1464" t="s">
        <v>1386</v>
      </c>
      <c r="B11" s="1480">
        <f t="shared" si="50"/>
        <v>419.31181600000002</v>
      </c>
      <c r="C11" s="1480">
        <f t="shared" si="51"/>
        <v>313.95436800000004</v>
      </c>
      <c r="D11" s="1480">
        <f t="shared" si="52"/>
        <v>313.95436800000004</v>
      </c>
      <c r="E11" s="1480">
        <f t="shared" si="53"/>
        <v>596.63028431999999</v>
      </c>
      <c r="F11" s="1480">
        <f t="shared" si="54"/>
        <v>274.74220703999998</v>
      </c>
      <c r="G11" s="2928"/>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91">
        <f>ROUND(SUMPRODUCT(PRODUCT(1+N11:N$23)),4)</f>
        <v>1.3628</v>
      </c>
      <c r="Y11" s="1791">
        <f>ROUND(SUMPRODUCT(PRODUCT(1+O11:O$23)),4)</f>
        <v>1.2205999999999999</v>
      </c>
      <c r="Z11" s="1791">
        <f t="shared" si="0"/>
        <v>1.2205999999999999</v>
      </c>
      <c r="AA11" s="1791">
        <f>ROUND(SUMPRODUCT(PRODUCT(1+P11:P$23)),4)</f>
        <v>1.4118999999999999</v>
      </c>
      <c r="AB11" s="1791">
        <f>ROUND(SUMPRODUCT(PRODUCT(1+Q11:Q$23)),4)</f>
        <v>1.1930000000000001</v>
      </c>
      <c r="AC11" s="1456"/>
      <c r="AD11" s="1792">
        <f>ROUND(AVERAGE(I11:I$24)/100,4)</f>
        <v>2.46E-2</v>
      </c>
      <c r="AE11" s="1792">
        <f>ROUND(AVERAGE(J11:J$24)/100,4)</f>
        <v>1.6E-2</v>
      </c>
      <c r="AF11" s="1792">
        <f t="shared" si="1"/>
        <v>1.6E-2</v>
      </c>
      <c r="AG11" s="1792">
        <f>ROUND(AVERAGE(K11:K$24)/100,4)</f>
        <v>2.75E-2</v>
      </c>
      <c r="AH11" s="1792">
        <f>ROUND(AVERAGE(L11:L$24)/100,4)</f>
        <v>1.37E-2</v>
      </c>
    </row>
    <row r="12" spans="1:34" s="1469" customFormat="1" ht="13.5" thickBot="1">
      <c r="A12" s="1464" t="s">
        <v>1161</v>
      </c>
      <c r="B12" s="1480">
        <f>B13*(1+N12)</f>
        <v>405.524</v>
      </c>
      <c r="C12" s="1480">
        <f>C13*(1+O12)</f>
        <v>307.79840000000002</v>
      </c>
      <c r="D12" s="1480">
        <f>C12</f>
        <v>307.79840000000002</v>
      </c>
      <c r="E12" s="1480">
        <f>E13*(1+P12)</f>
        <v>574.67759999999998</v>
      </c>
      <c r="F12" s="1480">
        <f>F13*(1+Q12)</f>
        <v>270.20280000000002</v>
      </c>
      <c r="G12" s="2929"/>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3"/>
      <c r="X12" s="1791">
        <f>ROUND(SUMPRODUCT(PRODUCT(1+N12:N$23)),4)</f>
        <v>1.3180000000000001</v>
      </c>
      <c r="Y12" s="1791">
        <f>ROUND(SUMPRODUCT(PRODUCT(1+O12:O$23)),4)</f>
        <v>1.1966000000000001</v>
      </c>
      <c r="Z12" s="1791">
        <f t="shared" si="0"/>
        <v>1.1966000000000001</v>
      </c>
      <c r="AA12" s="1791">
        <f>ROUND(SUMPRODUCT(PRODUCT(1+P12:P$23)),4)</f>
        <v>1.36</v>
      </c>
      <c r="AB12" s="1791">
        <f>ROUND(SUMPRODUCT(PRODUCT(1+Q12:Q$23)),4)</f>
        <v>1.1733</v>
      </c>
      <c r="AC12" s="1793"/>
      <c r="AD12" s="1792">
        <f>ROUND(AVERAGE(I12:I$24)/100,4)</f>
        <v>2.3900000000000001E-2</v>
      </c>
      <c r="AE12" s="1792">
        <f>ROUND(AVERAGE(J12:J$24)/100,4)</f>
        <v>1.5699999999999999E-2</v>
      </c>
      <c r="AF12" s="1792">
        <f t="shared" si="1"/>
        <v>1.5699999999999999E-2</v>
      </c>
      <c r="AG12" s="1792">
        <f>ROUND(AVERAGE(K12:K$24)/100,4)</f>
        <v>2.6599999999999999E-2</v>
      </c>
      <c r="AH12" s="1792">
        <f>ROUND(AVERAGE(L12:L$24)/100,4)</f>
        <v>1.34E-2</v>
      </c>
    </row>
    <row r="13" spans="1:34">
      <c r="A13" s="1464" t="s">
        <v>154</v>
      </c>
      <c r="B13" s="1472">
        <v>392</v>
      </c>
      <c r="C13" s="1472">
        <v>302</v>
      </c>
      <c r="D13" s="1472">
        <f>C13</f>
        <v>302</v>
      </c>
      <c r="E13" s="1472">
        <v>553</v>
      </c>
      <c r="F13" s="1473">
        <v>266</v>
      </c>
      <c r="G13" s="3264">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261"/>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261"/>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5"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262"/>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5" thickBot="1">
      <c r="A17" s="1464" t="s">
        <v>151</v>
      </c>
      <c r="B17" s="1472">
        <v>333</v>
      </c>
      <c r="C17" s="1472">
        <v>277</v>
      </c>
      <c r="D17" s="1472">
        <f t="shared" si="64"/>
        <v>277</v>
      </c>
      <c r="E17" s="1472">
        <v>459</v>
      </c>
      <c r="F17" s="1473">
        <v>249</v>
      </c>
      <c r="G17" s="3260">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261"/>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261"/>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262"/>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5" thickBot="1">
      <c r="A21" s="1464" t="s">
        <v>147</v>
      </c>
      <c r="B21" s="1493">
        <v>318</v>
      </c>
      <c r="C21" s="1493">
        <v>268</v>
      </c>
      <c r="D21" s="1493">
        <f t="shared" si="64"/>
        <v>268</v>
      </c>
      <c r="E21" s="1493">
        <v>437</v>
      </c>
      <c r="F21" s="1494">
        <v>237</v>
      </c>
      <c r="G21" s="3260">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261"/>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5"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261"/>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5"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262"/>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1162</v>
      </c>
      <c r="X24" s="1508">
        <v>1</v>
      </c>
      <c r="Y24" s="1508">
        <v>1</v>
      </c>
      <c r="Z24" s="1508">
        <v>1</v>
      </c>
      <c r="AA24" s="1508">
        <v>1</v>
      </c>
      <c r="AB24" s="1508">
        <v>1</v>
      </c>
      <c r="AD24" s="1730">
        <f>I24/100</f>
        <v>2.9700000000000001E-2</v>
      </c>
      <c r="AE24" s="1730">
        <f>J24/100</f>
        <v>2.3399999999999997E-2</v>
      </c>
      <c r="AF24" s="1730">
        <f>AE24</f>
        <v>2.3399999999999997E-2</v>
      </c>
      <c r="AG24" s="1730">
        <f>K24/100</f>
        <v>3.2799999999999996E-2</v>
      </c>
      <c r="AH24" s="1730">
        <f>L24/100</f>
        <v>1.3600000000000001E-2</v>
      </c>
    </row>
    <row r="25" spans="1:34" ht="13.5" thickBot="1">
      <c r="A25" s="1464" t="s">
        <v>1163</v>
      </c>
      <c r="B25" s="1472">
        <v>299</v>
      </c>
      <c r="C25" s="1472">
        <v>252</v>
      </c>
      <c r="D25" s="1472">
        <f t="shared" si="64"/>
        <v>252</v>
      </c>
      <c r="E25" s="1472">
        <v>409</v>
      </c>
      <c r="F25" s="1473">
        <v>227</v>
      </c>
      <c r="G25" s="3265">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1164</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266"/>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1165</v>
      </c>
      <c r="B27" s="1480">
        <f t="shared" si="73"/>
        <v>288.2649053828776</v>
      </c>
      <c r="C27" s="1480">
        <f t="shared" si="73"/>
        <v>243.64564425013293</v>
      </c>
      <c r="D27" s="1480">
        <f t="shared" si="64"/>
        <v>243.64564425013293</v>
      </c>
      <c r="E27" s="1480">
        <f t="shared" si="74"/>
        <v>393.31080825986544</v>
      </c>
      <c r="F27" s="1480">
        <f t="shared" si="74"/>
        <v>223.07903790551154</v>
      </c>
      <c r="G27" s="3266"/>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1166</v>
      </c>
      <c r="B28" s="1480">
        <f t="shared" si="73"/>
        <v>282.50186729015837</v>
      </c>
      <c r="C28" s="1480">
        <f t="shared" si="73"/>
        <v>238.09796174155468</v>
      </c>
      <c r="D28" s="1480">
        <f t="shared" si="64"/>
        <v>238.09796174155468</v>
      </c>
      <c r="E28" s="1480">
        <f t="shared" si="74"/>
        <v>385.33438646014054</v>
      </c>
      <c r="F28" s="1480">
        <f t="shared" si="74"/>
        <v>221.55034055567739</v>
      </c>
      <c r="G28" s="3267"/>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5" thickBot="1">
      <c r="A29" s="1464" t="s">
        <v>1167</v>
      </c>
      <c r="B29" s="1514">
        <v>278</v>
      </c>
      <c r="C29" s="1514">
        <v>234</v>
      </c>
      <c r="D29" s="1514">
        <f t="shared" si="64"/>
        <v>234</v>
      </c>
      <c r="E29" s="1514">
        <v>379</v>
      </c>
      <c r="F29" s="1515">
        <v>220</v>
      </c>
      <c r="G29" s="3260">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1168</v>
      </c>
      <c r="B30" s="1480">
        <f>B29/(1+N29)</f>
        <v>275.49301357645425</v>
      </c>
      <c r="C30" s="1480">
        <f>C29/(1+O29)</f>
        <v>232.41954707985698</v>
      </c>
      <c r="D30" s="1480">
        <f t="shared" si="64"/>
        <v>232.41954707985698</v>
      </c>
      <c r="E30" s="1480">
        <f t="shared" ref="E30:F32" si="75">E29/(1+P29)</f>
        <v>375.32184591008121</v>
      </c>
      <c r="F30" s="1480">
        <f t="shared" si="75"/>
        <v>218.03766105054513</v>
      </c>
      <c r="G30" s="3261"/>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1169</v>
      </c>
      <c r="B31" s="1480">
        <f>B30/(1+N30)</f>
        <v>275.24529281292263</v>
      </c>
      <c r="C31" s="1480">
        <f>C30/(1+O30)</f>
        <v>231.74747938962707</v>
      </c>
      <c r="D31" s="1480">
        <f t="shared" si="64"/>
        <v>231.74747938962707</v>
      </c>
      <c r="E31" s="1480">
        <f t="shared" si="75"/>
        <v>375.35938184826603</v>
      </c>
      <c r="F31" s="1480">
        <f t="shared" si="75"/>
        <v>216.78033510692495</v>
      </c>
      <c r="G31" s="3261"/>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5" thickBot="1">
      <c r="A32" s="1464" t="s">
        <v>1170</v>
      </c>
      <c r="B32" s="1480">
        <f>B31/(1+N31)</f>
        <v>275.19025476197027</v>
      </c>
      <c r="C32" s="1516">
        <v>232</v>
      </c>
      <c r="D32" s="1516">
        <f t="shared" si="64"/>
        <v>232</v>
      </c>
      <c r="E32" s="1480">
        <f t="shared" si="75"/>
        <v>375.65990977608692</v>
      </c>
      <c r="F32" s="1480">
        <f t="shared" si="75"/>
        <v>214.12518283971252</v>
      </c>
      <c r="G32" s="3262"/>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5" thickBot="1">
      <c r="A33" s="1464" t="s">
        <v>1171</v>
      </c>
      <c r="B33" s="1472">
        <v>275</v>
      </c>
      <c r="C33" s="1472">
        <v>232</v>
      </c>
      <c r="D33" s="1472">
        <f t="shared" si="64"/>
        <v>232</v>
      </c>
      <c r="E33" s="1472">
        <v>376</v>
      </c>
      <c r="F33" s="1473">
        <v>213</v>
      </c>
      <c r="G33" s="3260">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1172</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261">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1173</v>
      </c>
      <c r="B35" s="1480">
        <f t="shared" si="76"/>
        <v>275.19335084830601</v>
      </c>
      <c r="C35" s="1480">
        <f t="shared" si="76"/>
        <v>230.18088050139744</v>
      </c>
      <c r="D35" s="1480">
        <f t="shared" si="64"/>
        <v>230.18088050139744</v>
      </c>
      <c r="E35" s="1480">
        <f t="shared" si="77"/>
        <v>377.58482925212331</v>
      </c>
      <c r="F35" s="1480">
        <f t="shared" si="77"/>
        <v>210.90687997847917</v>
      </c>
      <c r="G35" s="3261">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5" thickBot="1">
      <c r="A36" s="1464" t="s">
        <v>1174</v>
      </c>
      <c r="B36" s="1480">
        <f t="shared" si="76"/>
        <v>276.29854502841971</v>
      </c>
      <c r="C36" s="1480">
        <f t="shared" si="76"/>
        <v>229.79023709833027</v>
      </c>
      <c r="D36" s="1480">
        <f t="shared" si="64"/>
        <v>229.79023709833027</v>
      </c>
      <c r="E36" s="1480">
        <f t="shared" si="77"/>
        <v>379.78759731655936</v>
      </c>
      <c r="F36" s="1480">
        <f t="shared" si="77"/>
        <v>211.32953905659235</v>
      </c>
      <c r="G36" s="3262">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5" thickBot="1">
      <c r="A37" s="1464" t="s">
        <v>1175</v>
      </c>
      <c r="B37" s="1472">
        <v>269</v>
      </c>
      <c r="C37" s="1472">
        <v>221</v>
      </c>
      <c r="D37" s="1472">
        <f t="shared" si="64"/>
        <v>221</v>
      </c>
      <c r="E37" s="1472">
        <v>373</v>
      </c>
      <c r="F37" s="1473">
        <v>196</v>
      </c>
      <c r="G37" s="3260">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1176</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261">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1177</v>
      </c>
      <c r="B39" s="1480">
        <f t="shared" si="78"/>
        <v>242.95398227588385</v>
      </c>
      <c r="C39" s="1480">
        <f t="shared" si="78"/>
        <v>199.59137053614126</v>
      </c>
      <c r="D39" s="1480">
        <f t="shared" si="64"/>
        <v>199.59137053614126</v>
      </c>
      <c r="E39" s="1480">
        <f t="shared" si="79"/>
        <v>335.92189522342125</v>
      </c>
      <c r="F39" s="1480">
        <f t="shared" si="79"/>
        <v>183.10139991109489</v>
      </c>
      <c r="G39" s="3261">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5" thickBot="1">
      <c r="A40" s="1464" t="s">
        <v>1178</v>
      </c>
      <c r="B40" s="1480">
        <f t="shared" si="78"/>
        <v>232.06990378821649</v>
      </c>
      <c r="C40" s="1480">
        <f t="shared" si="78"/>
        <v>192.74878854286936</v>
      </c>
      <c r="D40" s="1480">
        <f t="shared" si="64"/>
        <v>192.74878854286936</v>
      </c>
      <c r="E40" s="1480">
        <f t="shared" si="79"/>
        <v>319.71247284992984</v>
      </c>
      <c r="F40" s="1480">
        <f t="shared" si="79"/>
        <v>175.67053622862409</v>
      </c>
      <c r="G40" s="3262">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5" thickBot="1">
      <c r="A41" s="1464" t="s">
        <v>1179</v>
      </c>
      <c r="B41" s="1472">
        <v>220</v>
      </c>
      <c r="C41" s="1472">
        <v>187</v>
      </c>
      <c r="D41" s="1472">
        <f t="shared" si="64"/>
        <v>187</v>
      </c>
      <c r="E41" s="1472">
        <v>301</v>
      </c>
      <c r="F41" s="1473">
        <v>168</v>
      </c>
      <c r="G41" s="3260">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1180</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261">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1181</v>
      </c>
      <c r="B43" s="1480">
        <f t="shared" si="80"/>
        <v>210.630522469011</v>
      </c>
      <c r="C43" s="1480">
        <f t="shared" si="80"/>
        <v>181.69567812247232</v>
      </c>
      <c r="D43" s="1480">
        <f t="shared" si="64"/>
        <v>181.69567812247232</v>
      </c>
      <c r="E43" s="1480">
        <f t="shared" si="81"/>
        <v>286.13517466736738</v>
      </c>
      <c r="F43" s="1480">
        <f t="shared" si="81"/>
        <v>165.47535084591149</v>
      </c>
      <c r="G43" s="3261">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1182</v>
      </c>
      <c r="B44" s="1480">
        <f t="shared" si="80"/>
        <v>208.83454537875372</v>
      </c>
      <c r="C44" s="1480">
        <f t="shared" si="80"/>
        <v>183.77230517090351</v>
      </c>
      <c r="D44" s="1480">
        <f t="shared" si="64"/>
        <v>183.77230517090351</v>
      </c>
      <c r="E44" s="1480">
        <f t="shared" si="81"/>
        <v>281.10342338870947</v>
      </c>
      <c r="F44" s="1480">
        <f t="shared" si="81"/>
        <v>168.97309388942256</v>
      </c>
      <c r="G44" s="3262">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5" thickBot="1">
      <c r="A45" s="1464" t="s">
        <v>1183</v>
      </c>
      <c r="B45" s="1514">
        <v>214</v>
      </c>
      <c r="C45" s="1514">
        <v>188</v>
      </c>
      <c r="D45" s="1514">
        <f t="shared" si="64"/>
        <v>188</v>
      </c>
      <c r="E45" s="1514">
        <v>289</v>
      </c>
      <c r="F45" s="1515">
        <v>166</v>
      </c>
      <c r="G45" s="3260">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1184</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261">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1185</v>
      </c>
      <c r="B47" s="1480">
        <f t="shared" si="82"/>
        <v>206.31694671589116</v>
      </c>
      <c r="C47" s="1480">
        <f t="shared" si="82"/>
        <v>183.61041121036101</v>
      </c>
      <c r="D47" s="1480">
        <f t="shared" si="64"/>
        <v>183.61041121036101</v>
      </c>
      <c r="E47" s="1480">
        <f t="shared" si="83"/>
        <v>276.66850301795557</v>
      </c>
      <c r="F47" s="1480">
        <f t="shared" si="83"/>
        <v>165.1360938278614</v>
      </c>
      <c r="G47" s="3261">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5" thickBot="1">
      <c r="A48" s="1464" t="s">
        <v>1186</v>
      </c>
      <c r="B48" s="1517">
        <f t="shared" si="82"/>
        <v>196.62341248059772</v>
      </c>
      <c r="C48" s="1517">
        <f t="shared" si="82"/>
        <v>170.99125648199012</v>
      </c>
      <c r="D48" s="1517">
        <f t="shared" si="64"/>
        <v>170.99125648199012</v>
      </c>
      <c r="E48" s="1517">
        <f t="shared" si="83"/>
        <v>266.07857570490052</v>
      </c>
      <c r="F48" s="1517">
        <f t="shared" si="83"/>
        <v>154.53499328828505</v>
      </c>
      <c r="G48" s="3262">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5" thickBot="1">
      <c r="A49" s="1464" t="s">
        <v>1187</v>
      </c>
      <c r="B49" s="1472">
        <v>188</v>
      </c>
      <c r="C49" s="1472">
        <v>165</v>
      </c>
      <c r="D49" s="1472">
        <f t="shared" si="64"/>
        <v>165</v>
      </c>
      <c r="E49" s="1472">
        <v>254</v>
      </c>
      <c r="F49" s="1473">
        <v>148</v>
      </c>
      <c r="G49" s="3260">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1188</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261">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1189</v>
      </c>
      <c r="B51" s="1480">
        <f t="shared" si="86"/>
        <v>168.82017748715555</v>
      </c>
      <c r="C51" s="1480">
        <f t="shared" si="86"/>
        <v>148.06267029972753</v>
      </c>
      <c r="D51" s="1480">
        <f t="shared" si="64"/>
        <v>148.06267029972753</v>
      </c>
      <c r="E51" s="1480">
        <f t="shared" si="87"/>
        <v>216.46288379323747</v>
      </c>
      <c r="F51" s="1480">
        <f t="shared" si="87"/>
        <v>134.23529411764704</v>
      </c>
      <c r="G51" s="3261">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1190</v>
      </c>
      <c r="B52" s="1480">
        <f t="shared" si="86"/>
        <v>163.84913591779542</v>
      </c>
      <c r="C52" s="1480">
        <f t="shared" si="86"/>
        <v>145.0283378746594</v>
      </c>
      <c r="D52" s="1480">
        <f t="shared" si="64"/>
        <v>145.0283378746594</v>
      </c>
      <c r="E52" s="1480">
        <f t="shared" si="87"/>
        <v>204.95180722891567</v>
      </c>
      <c r="F52" s="1480">
        <f t="shared" si="87"/>
        <v>125.95920303605313</v>
      </c>
      <c r="G52" s="3262">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5" thickBot="1">
      <c r="A53" s="1464" t="s">
        <v>1191</v>
      </c>
      <c r="B53" s="1493">
        <v>159</v>
      </c>
      <c r="C53" s="1493">
        <v>141</v>
      </c>
      <c r="D53" s="1493">
        <f t="shared" si="64"/>
        <v>141</v>
      </c>
      <c r="E53" s="1493">
        <v>195</v>
      </c>
      <c r="F53" s="1494">
        <v>122</v>
      </c>
      <c r="G53" s="3260">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1192</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261">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1193</v>
      </c>
      <c r="B55" s="1480">
        <f t="shared" si="90"/>
        <v>146.57412060301507</v>
      </c>
      <c r="C55" s="1480">
        <f t="shared" si="90"/>
        <v>136.46831955922866</v>
      </c>
      <c r="D55" s="1480">
        <f t="shared" si="64"/>
        <v>136.46831955922866</v>
      </c>
      <c r="E55" s="1480">
        <f t="shared" si="91"/>
        <v>166.73864894795128</v>
      </c>
      <c r="F55" s="1480">
        <f t="shared" si="91"/>
        <v>115.05882352941177</v>
      </c>
      <c r="G55" s="3261">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1194</v>
      </c>
      <c r="B56" s="1480">
        <f t="shared" si="90"/>
        <v>144.04145728643215</v>
      </c>
      <c r="C56" s="1480">
        <f t="shared" si="90"/>
        <v>136.12396694214877</v>
      </c>
      <c r="D56" s="1480">
        <f t="shared" si="64"/>
        <v>136.12396694214877</v>
      </c>
      <c r="E56" s="1480">
        <f t="shared" si="91"/>
        <v>158.32225913621264</v>
      </c>
      <c r="F56" s="1480">
        <f t="shared" si="91"/>
        <v>114.04278074866311</v>
      </c>
      <c r="G56" s="3262">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5" thickBot="1">
      <c r="A57" s="1464" t="s">
        <v>1195</v>
      </c>
      <c r="B57" s="1493">
        <v>138</v>
      </c>
      <c r="C57" s="1493">
        <v>131</v>
      </c>
      <c r="D57" s="1493">
        <f t="shared" si="64"/>
        <v>131</v>
      </c>
      <c r="E57" s="1493">
        <v>155</v>
      </c>
      <c r="F57" s="1494">
        <v>114</v>
      </c>
      <c r="G57" s="3260">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1196</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261">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1197</v>
      </c>
      <c r="B59" s="1480">
        <f t="shared" si="94"/>
        <v>124.29032258064517</v>
      </c>
      <c r="C59" s="1480">
        <f t="shared" si="94"/>
        <v>123.8968609865471</v>
      </c>
      <c r="D59" s="1480">
        <f t="shared" si="64"/>
        <v>123.8968609865471</v>
      </c>
      <c r="E59" s="1480">
        <f t="shared" si="95"/>
        <v>138.00507614213197</v>
      </c>
      <c r="F59" s="1480">
        <f t="shared" si="95"/>
        <v>107.96106557377048</v>
      </c>
      <c r="G59" s="3261">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1198</v>
      </c>
      <c r="B60" s="1480">
        <f t="shared" si="94"/>
        <v>122.57204301075269</v>
      </c>
      <c r="C60" s="1480">
        <f t="shared" si="94"/>
        <v>123.4932735426009</v>
      </c>
      <c r="D60" s="1480">
        <f t="shared" si="64"/>
        <v>123.4932735426009</v>
      </c>
      <c r="E60" s="1480">
        <f t="shared" si="95"/>
        <v>129.82233502538071</v>
      </c>
      <c r="F60" s="1480">
        <f t="shared" si="95"/>
        <v>107.39446721311475</v>
      </c>
      <c r="G60" s="3262">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5" thickBot="1">
      <c r="A61" s="1464" t="s">
        <v>1199</v>
      </c>
      <c r="B61" s="1514">
        <v>121</v>
      </c>
      <c r="C61" s="1514">
        <v>122</v>
      </c>
      <c r="D61" s="1514">
        <f t="shared" si="64"/>
        <v>122</v>
      </c>
      <c r="E61" s="1514">
        <v>124</v>
      </c>
      <c r="F61" s="1515">
        <v>107</v>
      </c>
      <c r="G61" s="3260">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1200</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261">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1201</v>
      </c>
      <c r="B63" s="1480">
        <f t="shared" si="98"/>
        <v>116.99099099099099</v>
      </c>
      <c r="C63" s="1480">
        <f t="shared" si="98"/>
        <v>118.84848484848486</v>
      </c>
      <c r="D63" s="1480">
        <f t="shared" si="64"/>
        <v>118.84848484848486</v>
      </c>
      <c r="E63" s="1480">
        <f t="shared" si="99"/>
        <v>117.60960960960961</v>
      </c>
      <c r="F63" s="1480">
        <f t="shared" si="99"/>
        <v>104</v>
      </c>
      <c r="G63" s="3261">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5" thickBot="1">
      <c r="A64" s="1464" t="s">
        <v>1202</v>
      </c>
      <c r="B64" s="1517">
        <f t="shared" si="98"/>
        <v>112.48648648648648</v>
      </c>
      <c r="C64" s="1517">
        <f t="shared" si="98"/>
        <v>115.21212121212122</v>
      </c>
      <c r="D64" s="1517">
        <f t="shared" si="64"/>
        <v>115.21212121212122</v>
      </c>
      <c r="E64" s="1517">
        <f t="shared" si="99"/>
        <v>110.4024024024024</v>
      </c>
      <c r="F64" s="1517">
        <f t="shared" si="99"/>
        <v>104</v>
      </c>
      <c r="G64" s="3262">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5" thickBot="1">
      <c r="A65" s="1464" t="s">
        <v>1203</v>
      </c>
      <c r="B65" s="1535">
        <v>111</v>
      </c>
      <c r="C65" s="1535">
        <v>114</v>
      </c>
      <c r="D65" s="1535">
        <f t="shared" si="64"/>
        <v>114</v>
      </c>
      <c r="E65" s="1535">
        <v>108</v>
      </c>
      <c r="F65" s="1536">
        <v>104</v>
      </c>
      <c r="G65" s="3260">
        <v>2003</v>
      </c>
      <c r="H65" s="1525">
        <v>4</v>
      </c>
      <c r="I65" s="1537"/>
      <c r="J65" s="1537"/>
      <c r="K65" s="1537"/>
      <c r="L65" s="1537"/>
      <c r="N65" s="1538"/>
      <c r="O65" s="1537"/>
      <c r="P65" s="1537"/>
      <c r="Q65" s="1537"/>
      <c r="S65" s="1538"/>
      <c r="T65" s="1537"/>
      <c r="U65" s="1537"/>
      <c r="V65" s="1537"/>
      <c r="X65" s="1529"/>
      <c r="Y65" s="1529"/>
      <c r="Z65" s="1529"/>
    </row>
    <row r="66" spans="1:26">
      <c r="A66" s="1464" t="s">
        <v>1204</v>
      </c>
      <c r="B66" s="1539">
        <f t="shared" ref="B66:C68" si="100">B67+(B$65-B$69)/4</f>
        <v>109.75</v>
      </c>
      <c r="C66" s="1539">
        <f t="shared" si="100"/>
        <v>112.25</v>
      </c>
      <c r="D66" s="1539">
        <f t="shared" si="64"/>
        <v>112.25</v>
      </c>
      <c r="E66" s="1539">
        <f t="shared" ref="E66:F68" si="101">E67+(E$65-E$69)/4</f>
        <v>107.25</v>
      </c>
      <c r="F66" s="1539">
        <f t="shared" si="101"/>
        <v>103.5</v>
      </c>
      <c r="G66" s="3261">
        <v>2003</v>
      </c>
      <c r="H66" s="1490">
        <v>3</v>
      </c>
      <c r="I66" s="1537"/>
      <c r="J66" s="1537"/>
      <c r="K66" s="1537"/>
      <c r="L66" s="1537"/>
      <c r="X66" s="1529"/>
      <c r="Y66" s="1529"/>
      <c r="Z66" s="1529"/>
    </row>
    <row r="67" spans="1:26">
      <c r="A67" s="1464" t="s">
        <v>1205</v>
      </c>
      <c r="B67" s="1539">
        <f t="shared" si="100"/>
        <v>108.5</v>
      </c>
      <c r="C67" s="1539">
        <f t="shared" si="100"/>
        <v>110.5</v>
      </c>
      <c r="D67" s="1539">
        <f t="shared" si="64"/>
        <v>110.5</v>
      </c>
      <c r="E67" s="1539">
        <f t="shared" si="101"/>
        <v>106.5</v>
      </c>
      <c r="F67" s="1539">
        <f t="shared" si="101"/>
        <v>103</v>
      </c>
      <c r="G67" s="3261">
        <v>2003</v>
      </c>
      <c r="H67" s="1468">
        <v>2</v>
      </c>
      <c r="I67" s="1537"/>
      <c r="J67" s="1537"/>
      <c r="K67" s="1537"/>
      <c r="L67" s="1537"/>
      <c r="X67" s="1529"/>
      <c r="Y67" s="1529"/>
      <c r="Z67" s="1529"/>
    </row>
    <row r="68" spans="1:26" ht="13.5" thickBot="1">
      <c r="A68" s="1464" t="s">
        <v>1206</v>
      </c>
      <c r="B68" s="1539">
        <f t="shared" si="100"/>
        <v>107.25</v>
      </c>
      <c r="C68" s="1539">
        <f t="shared" si="100"/>
        <v>108.75</v>
      </c>
      <c r="D68" s="1539">
        <f t="shared" si="64"/>
        <v>108.75</v>
      </c>
      <c r="E68" s="1539">
        <f t="shared" si="101"/>
        <v>105.75</v>
      </c>
      <c r="F68" s="1539">
        <f t="shared" si="101"/>
        <v>102.5</v>
      </c>
      <c r="G68" s="3262">
        <v>2003</v>
      </c>
      <c r="H68" s="1540">
        <v>1</v>
      </c>
      <c r="I68" s="1537"/>
      <c r="J68" s="1537"/>
      <c r="K68" s="1537"/>
      <c r="L68" s="1537"/>
      <c r="S68" s="1475"/>
      <c r="T68" s="1476"/>
      <c r="U68" s="1476"/>
      <c r="X68" s="1529"/>
      <c r="Y68" s="1529"/>
      <c r="Z68" s="1529"/>
    </row>
    <row r="69" spans="1:26" ht="13.5" thickBot="1">
      <c r="A69" s="1464" t="s">
        <v>1207</v>
      </c>
      <c r="B69" s="1541">
        <v>106</v>
      </c>
      <c r="C69" s="1541">
        <v>107</v>
      </c>
      <c r="D69" s="1541">
        <f t="shared" si="64"/>
        <v>107</v>
      </c>
      <c r="E69" s="1541">
        <v>105</v>
      </c>
      <c r="F69" s="1542">
        <v>102</v>
      </c>
      <c r="G69" s="3260">
        <v>2002</v>
      </c>
      <c r="H69" s="1485">
        <v>4</v>
      </c>
      <c r="I69" s="1537"/>
      <c r="J69" s="1537"/>
      <c r="K69" s="1537"/>
      <c r="L69" s="1537"/>
      <c r="N69" s="1538"/>
      <c r="O69" s="1537"/>
      <c r="P69" s="1537"/>
      <c r="Q69" s="1537"/>
      <c r="S69" s="1538"/>
      <c r="T69" s="1537"/>
      <c r="U69" s="1537"/>
      <c r="V69" s="1537"/>
      <c r="X69" s="1529"/>
      <c r="Y69" s="1529"/>
      <c r="Z69" s="1529"/>
    </row>
    <row r="70" spans="1:26">
      <c r="A70" s="1464" t="s">
        <v>1208</v>
      </c>
      <c r="B70" s="1539">
        <f t="shared" ref="B70:C72" si="102">B71+(B$69-B$73)/4</f>
        <v>105</v>
      </c>
      <c r="C70" s="1539">
        <f t="shared" si="102"/>
        <v>106</v>
      </c>
      <c r="D70" s="1539">
        <f t="shared" si="64"/>
        <v>106</v>
      </c>
      <c r="E70" s="1539">
        <f t="shared" ref="E70:F72" si="103">E71+(E$69-E$73)/4</f>
        <v>104.5</v>
      </c>
      <c r="F70" s="1539">
        <f t="shared" si="103"/>
        <v>101.5</v>
      </c>
      <c r="G70" s="3261">
        <v>2002</v>
      </c>
      <c r="H70" s="1490">
        <v>3</v>
      </c>
      <c r="I70" s="1537"/>
      <c r="J70" s="1537"/>
      <c r="K70" s="1537"/>
      <c r="L70" s="1537"/>
      <c r="X70" s="1529"/>
      <c r="Y70" s="1529"/>
      <c r="Z70" s="1529"/>
    </row>
    <row r="71" spans="1:26">
      <c r="A71" s="1464" t="s">
        <v>1209</v>
      </c>
      <c r="B71" s="1539">
        <f t="shared" si="102"/>
        <v>104</v>
      </c>
      <c r="C71" s="1539">
        <f t="shared" si="102"/>
        <v>105</v>
      </c>
      <c r="D71" s="1539">
        <f t="shared" si="64"/>
        <v>105</v>
      </c>
      <c r="E71" s="1539">
        <f t="shared" si="103"/>
        <v>104</v>
      </c>
      <c r="F71" s="1539">
        <f t="shared" si="103"/>
        <v>101</v>
      </c>
      <c r="G71" s="3261">
        <v>2002</v>
      </c>
      <c r="H71" s="1468">
        <v>2</v>
      </c>
      <c r="I71" s="1537"/>
      <c r="J71" s="1537"/>
      <c r="K71" s="1537"/>
      <c r="L71" s="1537"/>
      <c r="X71" s="1529"/>
      <c r="Y71" s="1529"/>
      <c r="Z71" s="1529"/>
    </row>
    <row r="72" spans="1:26" s="1501" customFormat="1" ht="13.5" thickBot="1">
      <c r="A72" s="1497" t="s">
        <v>1210</v>
      </c>
      <c r="B72" s="1543">
        <f t="shared" si="102"/>
        <v>103</v>
      </c>
      <c r="C72" s="1543">
        <f t="shared" si="102"/>
        <v>104</v>
      </c>
      <c r="D72" s="1543">
        <f t="shared" si="64"/>
        <v>104</v>
      </c>
      <c r="E72" s="1543">
        <f t="shared" si="103"/>
        <v>103.5</v>
      </c>
      <c r="F72" s="1543">
        <f t="shared" si="103"/>
        <v>100.5</v>
      </c>
      <c r="G72" s="3262">
        <v>2002</v>
      </c>
      <c r="H72" s="1544">
        <v>1</v>
      </c>
      <c r="I72" s="1545"/>
      <c r="J72" s="1545"/>
      <c r="K72" s="1545"/>
      <c r="L72" s="1545"/>
      <c r="N72" s="1546"/>
      <c r="S72" s="1546"/>
      <c r="X72" s="1547"/>
      <c r="Y72" s="1547"/>
      <c r="Z72" s="1547"/>
    </row>
    <row r="73" spans="1:26" ht="13.5"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1211</v>
      </c>
      <c r="G75" s="1553"/>
      <c r="N75" s="1553"/>
      <c r="S75" s="1553"/>
    </row>
    <row r="76" spans="1:26" s="1552" customFormat="1">
      <c r="A76" s="1552" t="s">
        <v>1212</v>
      </c>
      <c r="G76" s="1553"/>
      <c r="N76" s="1553"/>
      <c r="S76" s="1553"/>
    </row>
    <row r="77" spans="1:26" s="1552" customFormat="1">
      <c r="A77" s="1552" t="s">
        <v>1213</v>
      </c>
      <c r="G77" s="1553"/>
      <c r="I77" s="1554"/>
      <c r="J77" s="1554"/>
      <c r="K77" s="1554"/>
      <c r="L77" s="1554"/>
      <c r="N77" s="1555"/>
      <c r="O77" s="1554"/>
      <c r="P77" s="1554"/>
      <c r="Q77" s="1554"/>
      <c r="S77" s="1555"/>
      <c r="T77" s="1554"/>
      <c r="U77" s="1554"/>
      <c r="V77" s="1554"/>
    </row>
    <row r="78" spans="1:26" s="1552" customFormat="1">
      <c r="A78" s="1552" t="s">
        <v>1214</v>
      </c>
      <c r="G78" s="1553"/>
      <c r="N78" s="1553"/>
      <c r="S78" s="1553"/>
    </row>
    <row r="85" spans="7:22" ht="13.5" thickBot="1"/>
    <row r="86" spans="7:22">
      <c r="G86" s="1474"/>
      <c r="S86" s="1556" t="s">
        <v>1215</v>
      </c>
      <c r="T86" s="1557" t="s">
        <v>1216</v>
      </c>
      <c r="U86" s="1557" t="s">
        <v>1217</v>
      </c>
      <c r="V86" s="1557" t="s">
        <v>1218</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5"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3010</v>
      </c>
      <c r="C1" s="3269" t="s">
        <v>3011</v>
      </c>
      <c r="D1" s="3270"/>
      <c r="E1" s="3270"/>
      <c r="F1" s="3270"/>
      <c r="G1" s="3270"/>
      <c r="H1" s="3270"/>
      <c r="I1" s="3270"/>
      <c r="J1" s="3270"/>
      <c r="K1" s="3270"/>
      <c r="L1" s="3270"/>
      <c r="M1" s="3270"/>
      <c r="N1" s="3270"/>
      <c r="O1" s="3270"/>
      <c r="P1" s="3270"/>
      <c r="Q1" s="3270"/>
      <c r="R1" s="3270"/>
      <c r="S1" s="3271"/>
      <c r="T1" s="1207" t="s">
        <v>3012</v>
      </c>
    </row>
    <row r="2" spans="1:45" s="707" customFormat="1">
      <c r="A2" s="1208"/>
      <c r="B2" s="703" t="s">
        <v>3013</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3014</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3015</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3016</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3017</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3018</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3019</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3" t="s">
        <v>3020</v>
      </c>
      <c r="B17" s="2924" t="s">
        <v>3021</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5" t="s">
        <v>3022</v>
      </c>
      <c r="E19" s="1795"/>
      <c r="F19" s="1795"/>
      <c r="G19" s="1795"/>
      <c r="H19" s="1283"/>
      <c r="I19" s="168"/>
      <c r="J19" s="168"/>
      <c r="K19" s="168"/>
      <c r="L19" s="168"/>
      <c r="M19" s="168"/>
      <c r="N19" s="168"/>
      <c r="O19" s="168"/>
      <c r="P19" s="168"/>
      <c r="Q19" s="168"/>
      <c r="R19" s="788"/>
      <c r="S19" s="138"/>
    </row>
    <row r="20" spans="1:45" ht="16.5" thickBot="1">
      <c r="A20" s="715" t="s">
        <v>3023</v>
      </c>
      <c r="B20" s="338" t="e">
        <f ca="1">IF(D20="——",S22,S22-F20)</f>
        <v>#REF!</v>
      </c>
      <c r="C20" s="168"/>
      <c r="D20" s="2926" t="s">
        <v>3024</v>
      </c>
      <c r="E20" s="1796"/>
      <c r="F20" s="1207" t="e">
        <f ca="1">SUMIF(INDIRECT("'"&amp;H20&amp;"'"&amp;"!A:A"),"承租人权益价值",INDIRECT("'"&amp;H20&amp;"'"&amp;"!c:c"))</f>
        <v>#REF!</v>
      </c>
      <c r="G20" s="1207" t="s">
        <v>3025</v>
      </c>
      <c r="H20" s="2927"/>
      <c r="I20" s="168"/>
      <c r="J20" s="168"/>
      <c r="K20" s="168"/>
      <c r="L20" s="168"/>
      <c r="M20" s="168"/>
      <c r="N20" s="168"/>
      <c r="O20" s="168"/>
      <c r="P20" s="168"/>
      <c r="Q20" s="168"/>
      <c r="R20" s="788"/>
      <c r="S20" s="138"/>
    </row>
    <row r="21" spans="1:45" ht="15.75">
      <c r="A21" s="715" t="s">
        <v>3026</v>
      </c>
      <c r="B21" s="338">
        <f>R22</f>
        <v>10000</v>
      </c>
      <c r="C21" s="168"/>
      <c r="D21" s="168"/>
      <c r="E21" s="168"/>
      <c r="F21" s="168"/>
      <c r="G21" s="168"/>
      <c r="H21" s="168"/>
      <c r="I21" s="168"/>
      <c r="J21" s="168"/>
      <c r="K21" s="168"/>
      <c r="L21" s="168"/>
      <c r="M21" s="168"/>
      <c r="N21" s="168"/>
      <c r="O21" s="168"/>
      <c r="P21" s="168"/>
      <c r="Q21" s="168"/>
      <c r="R21" s="788"/>
      <c r="S21" s="138"/>
    </row>
    <row r="22" spans="1:45">
      <c r="A22" s="361" t="s">
        <v>3027</v>
      </c>
      <c r="B22" s="24">
        <f>SUM(B24:B10000)</f>
        <v>100</v>
      </c>
      <c r="C22" s="3052" t="s">
        <v>33</v>
      </c>
      <c r="D22" s="3053"/>
      <c r="E22" s="3053"/>
      <c r="F22" s="3053"/>
      <c r="G22" s="3053"/>
      <c r="H22" s="3053"/>
      <c r="I22" s="3053"/>
      <c r="J22" s="3053"/>
      <c r="K22" s="3053"/>
      <c r="L22" s="3053"/>
      <c r="M22" s="3053"/>
      <c r="N22" s="3053"/>
      <c r="O22" s="3053"/>
      <c r="P22" s="3053"/>
      <c r="Q22" s="3268"/>
      <c r="R22" s="716">
        <f>ROUND(S22*10000/B22,0)</f>
        <v>10000</v>
      </c>
      <c r="S22" s="24">
        <f>SUM(S24:S10000)</f>
        <v>100</v>
      </c>
    </row>
    <row r="23" spans="1:45" s="12" customFormat="1" ht="24">
      <c r="A23" s="11" t="s">
        <v>3028</v>
      </c>
      <c r="B23" s="11" t="s">
        <v>3029</v>
      </c>
      <c r="C23" s="11" t="s">
        <v>3030</v>
      </c>
      <c r="D23" s="11" t="str">
        <f>B5</f>
        <v>修正项2</v>
      </c>
      <c r="E23" s="11" t="s">
        <v>3030</v>
      </c>
      <c r="F23" s="11" t="str">
        <f>B7</f>
        <v>修正项3</v>
      </c>
      <c r="G23" s="11" t="s">
        <v>3030</v>
      </c>
      <c r="H23" s="11" t="str">
        <f>B9</f>
        <v>修正项4</v>
      </c>
      <c r="I23" s="11" t="s">
        <v>3030</v>
      </c>
      <c r="J23" s="11" t="str">
        <f>B11</f>
        <v>修正项5</v>
      </c>
      <c r="K23" s="11" t="s">
        <v>3030</v>
      </c>
      <c r="L23" s="11" t="str">
        <f>B13</f>
        <v>修正项6</v>
      </c>
      <c r="M23" s="11" t="s">
        <v>3030</v>
      </c>
      <c r="N23" s="11" t="str">
        <f>B15</f>
        <v>修正项7</v>
      </c>
      <c r="O23" s="11" t="s">
        <v>3030</v>
      </c>
      <c r="P23" s="11" t="str">
        <f>B17</f>
        <v>楼层</v>
      </c>
      <c r="Q23" s="11" t="s">
        <v>3030</v>
      </c>
      <c r="R23" s="717" t="s">
        <v>3031</v>
      </c>
      <c r="S23" s="11" t="s">
        <v>3032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3033</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6"/>
      <c r="C2" s="2956"/>
      <c r="D2" s="2956"/>
      <c r="E2" s="2956"/>
    </row>
    <row r="3" spans="1:5" ht="18">
      <c r="A3" s="2957" t="str">
        <f>IF(项目基本情况!B9="房地产市场价值","估价结果一览表（市场价值不需“结果表-1”）","估价结果一览表")</f>
        <v>估价结果一览表</v>
      </c>
      <c r="B3" s="2957"/>
      <c r="C3" s="2957"/>
      <c r="D3" s="2957"/>
      <c r="E3" s="2957"/>
    </row>
    <row r="4" spans="1:5" ht="19.5" thickBot="1">
      <c r="A4" s="1964"/>
      <c r="B4" s="2955" t="s">
        <v>1630</v>
      </c>
      <c r="C4" s="2955"/>
      <c r="D4" s="2955"/>
      <c r="E4" s="1964"/>
    </row>
    <row r="5" spans="1:5" ht="16.5" thickTop="1">
      <c r="A5" s="1962"/>
      <c r="B5" s="2953" t="s">
        <v>1622</v>
      </c>
      <c r="C5" s="1965" t="s">
        <v>1623</v>
      </c>
      <c r="D5" s="1043">
        <f ca="1">结果表!H101</f>
        <v>240481</v>
      </c>
      <c r="E5" s="1962"/>
    </row>
    <row r="6" spans="1:5" ht="15.75">
      <c r="A6" s="1962"/>
      <c r="B6" s="2953"/>
      <c r="C6" s="1965" t="s">
        <v>1624</v>
      </c>
      <c r="D6" s="1043" t="str">
        <f ca="1">NUMBERSTRING(INT(D5*10000),2)&amp;"元整"</f>
        <v>贰拾肆亿零肆佰捌拾壹万元整</v>
      </c>
      <c r="E6" s="1962"/>
    </row>
    <row r="7" spans="1:5" ht="15.75">
      <c r="A7" s="1962"/>
      <c r="B7" s="2958"/>
      <c r="C7" s="1966" t="s">
        <v>1625</v>
      </c>
      <c r="D7" s="1044">
        <f ca="1">结果表!H102</f>
        <v>41500</v>
      </c>
      <c r="E7" s="1962"/>
    </row>
    <row r="8" spans="1:5" ht="15.75">
      <c r="A8" s="1962"/>
      <c r="B8" s="2959" t="str">
        <f>结果表!E103</f>
        <v>2.估价师知悉的法定优先受偿款</v>
      </c>
      <c r="C8" s="1967" t="s">
        <v>1626</v>
      </c>
      <c r="D8" s="1044">
        <f>结果表!H103</f>
        <v>0</v>
      </c>
      <c r="E8" s="1962"/>
    </row>
    <row r="9" spans="1:5" ht="15.75">
      <c r="A9" s="1962"/>
      <c r="B9" s="2961"/>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52" t="str">
        <f>结果表!E107</f>
        <v>3.房地产抵押价值</v>
      </c>
      <c r="C13" s="1970" t="s">
        <v>1623</v>
      </c>
      <c r="D13" s="1046">
        <f ca="1">结果表!H107</f>
        <v>240481</v>
      </c>
      <c r="E13" s="1962"/>
    </row>
    <row r="14" spans="1:5" ht="15.75">
      <c r="A14" s="1962"/>
      <c r="B14" s="2953"/>
      <c r="C14" s="1965" t="s">
        <v>1624</v>
      </c>
      <c r="D14" s="1043" t="str">
        <f ca="1">NUMBERSTRING(INT(D13*10000),2)&amp;"元整"</f>
        <v>贰拾肆亿零肆佰捌拾壹万元整</v>
      </c>
      <c r="E14" s="1962"/>
    </row>
    <row r="15" spans="1:5" ht="15">
      <c r="A15" s="1962"/>
      <c r="B15" s="2958"/>
      <c r="C15" s="1966" t="s">
        <v>1634</v>
      </c>
      <c r="D15" s="1055">
        <f ca="1">结果表!H108</f>
        <v>41500</v>
      </c>
      <c r="E15" s="1962"/>
    </row>
    <row r="16" spans="1:5" ht="15">
      <c r="A16" s="1962"/>
      <c r="B16" s="2959" t="str">
        <f>结果表!E109</f>
        <v>——</v>
      </c>
      <c r="C16" s="1970" t="s">
        <v>1635</v>
      </c>
      <c r="D16" s="1971" t="str">
        <f>结果表!H109</f>
        <v>——</v>
      </c>
      <c r="E16" s="1962"/>
    </row>
    <row r="17" spans="1:5" ht="15.75">
      <c r="A17" s="1962"/>
      <c r="B17" s="2960"/>
      <c r="C17" s="1965" t="s">
        <v>1636</v>
      </c>
      <c r="D17" s="1043" t="e">
        <f>NUMBERSTRING(INT(D16*10000),2)&amp;"元整"</f>
        <v>#VALUE!</v>
      </c>
      <c r="E17" s="1962"/>
    </row>
    <row r="18" spans="1:5" ht="15">
      <c r="A18" s="1962"/>
      <c r="B18" s="2961"/>
      <c r="C18" s="1966" t="s">
        <v>1625</v>
      </c>
      <c r="D18" s="1055" t="str">
        <f>结果表!H110</f>
        <v>——</v>
      </c>
      <c r="E18" s="1962"/>
    </row>
    <row r="19" spans="1:5" ht="15.75">
      <c r="A19" s="1962"/>
      <c r="B19" s="2952" t="str">
        <f>结果表!E111</f>
        <v>——</v>
      </c>
      <c r="C19" s="1970" t="s">
        <v>1623</v>
      </c>
      <c r="D19" s="1044" t="str">
        <f>结果表!H111</f>
        <v>——</v>
      </c>
      <c r="E19" s="1962"/>
    </row>
    <row r="20" spans="1:5" ht="15.75">
      <c r="A20" s="1962"/>
      <c r="B20" s="2953"/>
      <c r="C20" s="1965" t="s">
        <v>1636</v>
      </c>
      <c r="D20" s="1043" t="e">
        <f>NUMBERSTRING(INT(D19*10000),2)&amp;"元整"</f>
        <v>#VALUE!</v>
      </c>
      <c r="E20" s="1962"/>
    </row>
    <row r="21" spans="1:5" ht="15.75" thickBot="1">
      <c r="A21" s="1962"/>
      <c r="B21" s="2954"/>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59929</v>
      </c>
      <c r="C2" s="2" t="s">
        <v>133</v>
      </c>
      <c r="D2" s="243"/>
      <c r="E2" s="243"/>
      <c r="F2" s="243"/>
      <c r="G2" s="243"/>
    </row>
    <row r="3" spans="1:7" s="244" customFormat="1" ht="18" customHeight="1" thickBot="1">
      <c r="A3" s="247" t="s">
        <v>85</v>
      </c>
      <c r="B3" s="248">
        <f ca="1">ROUND(B2*10000/'数据-汇总表'!E3,0)</f>
        <v>10342</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1159</v>
      </c>
      <c r="D10" s="1035">
        <f>'数据-汇总表'!E6</f>
        <v>57947.42</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1159</v>
      </c>
      <c r="D19" s="1039">
        <f>'数据-汇总表'!E3</f>
        <v>57947.42</v>
      </c>
      <c r="E19" s="255">
        <f>'数据-取费表'!B31</f>
        <v>200</v>
      </c>
      <c r="F19" s="275"/>
      <c r="G19" s="1" t="s">
        <v>1074</v>
      </c>
    </row>
    <row r="20" spans="1:7" s="258" customFormat="1" ht="13.5" customHeight="1">
      <c r="A20" s="951" t="s">
        <v>1057</v>
      </c>
      <c r="B20" s="254" t="s">
        <v>104</v>
      </c>
      <c r="C20" s="276">
        <f>ROUND((C5+C19)*F20,0)</f>
        <v>435</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2138</v>
      </c>
      <c r="D22" s="279">
        <f ca="1">C26</f>
        <v>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113</v>
      </c>
      <c r="D24" s="282"/>
      <c r="E24" s="282"/>
      <c r="F24" s="283"/>
      <c r="G24" s="284" t="s">
        <v>109</v>
      </c>
    </row>
    <row r="25" spans="1:7" s="258" customFormat="1" ht="24">
      <c r="A25" s="954" t="s">
        <v>793</v>
      </c>
      <c r="B25" s="259" t="s">
        <v>1058</v>
      </c>
      <c r="C25" s="1358">
        <f ca="1">ROUND(IF('数据-取费表'!B22&lt;=1,C20*F22*'数据-取费表'!B23/2,C20*(POWER((1+F22),'数据-取费表'!B23/2)-1)),0)</f>
        <v>21</v>
      </c>
      <c r="D25" s="282"/>
      <c r="E25" s="285"/>
      <c r="F25" s="283"/>
      <c r="G25" s="286" t="s">
        <v>110</v>
      </c>
    </row>
    <row r="26" spans="1:7" s="258" customFormat="1">
      <c r="A26" s="954" t="s">
        <v>795</v>
      </c>
      <c r="B26" s="259" t="s">
        <v>1060</v>
      </c>
      <c r="C26" s="282">
        <f ca="1">ROUND(IF('数据-取费表'!B22&lt;=1,F21*F22*'数据-取费表'!B23/2,F21*(POWER((1+F22),'数据-取费表'!B23/2)-1)),4)</f>
        <v>1E-3</v>
      </c>
      <c r="D26" s="282"/>
      <c r="E26" s="285"/>
      <c r="F26" s="283"/>
      <c r="G26" s="287"/>
    </row>
    <row r="27" spans="1:7" s="258" customFormat="1" ht="24.75">
      <c r="A27" s="951" t="s">
        <v>787</v>
      </c>
      <c r="B27" s="288" t="s">
        <v>112</v>
      </c>
      <c r="C27" s="289">
        <f>C28</f>
        <v>4441</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4441</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31229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22353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20282</v>
      </c>
      <c r="D34" s="261"/>
      <c r="E34" s="264"/>
      <c r="F34" s="301">
        <f>IF('数据-取费表'!B24=0,1,'数据-取费表'!N16)</f>
        <v>1</v>
      </c>
      <c r="G34" s="263" t="s">
        <v>116</v>
      </c>
    </row>
    <row r="35" spans="1:7" ht="13.5" customHeight="1">
      <c r="A35" s="954" t="s">
        <v>796</v>
      </c>
      <c r="B35" s="259" t="s">
        <v>60</v>
      </c>
      <c r="C35" s="264">
        <f>ROUND(C34*F35,0)</f>
        <v>608</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1159</v>
      </c>
      <c r="D37" s="261">
        <f>'数据-汇总表'!E3</f>
        <v>57947.42</v>
      </c>
      <c r="E37" s="293">
        <f>'数据-取费表'!B35</f>
        <v>200</v>
      </c>
      <c r="F37" s="303"/>
      <c r="G37" s="305" t="s">
        <v>119</v>
      </c>
    </row>
    <row r="38" spans="1:7" ht="13.5" customHeight="1">
      <c r="A38" s="954" t="s">
        <v>799</v>
      </c>
      <c r="B38" s="259" t="s">
        <v>63</v>
      </c>
      <c r="C38" s="264">
        <f>ROUND(C34*F38,0)</f>
        <v>304</v>
      </c>
      <c r="D38" s="264"/>
      <c r="E38" s="264"/>
      <c r="F38" s="303">
        <f>'数据-取费表'!B36</f>
        <v>1.4999999999999999E-2</v>
      </c>
      <c r="G38" s="263" t="s">
        <v>117</v>
      </c>
    </row>
    <row r="39" spans="1:7" s="258" customFormat="1" ht="13.5" customHeight="1">
      <c r="A39" s="951" t="s">
        <v>783</v>
      </c>
      <c r="B39" s="254" t="s">
        <v>104</v>
      </c>
      <c r="C39" s="276">
        <f>ROUND(C33*F20,0)</f>
        <v>447</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1083</v>
      </c>
      <c r="D41" s="279">
        <f ca="1">C44</f>
        <v>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1062</v>
      </c>
      <c r="D42" s="282"/>
      <c r="E42" s="282"/>
      <c r="F42" s="283"/>
      <c r="G42" s="3137" t="s">
        <v>121</v>
      </c>
    </row>
    <row r="43" spans="1:7" ht="13.5" customHeight="1">
      <c r="A43" s="954" t="s">
        <v>792</v>
      </c>
      <c r="B43" s="259" t="s">
        <v>1064</v>
      </c>
      <c r="C43" s="282">
        <f ca="1">ROUND(IF('数据-取费表'!B22&lt;=1,C39*F22*'数据-取费表'!B21/2,C39*(POWER((1+F22),'数据-取费表'!B21/2)-1)),0)</f>
        <v>21</v>
      </c>
      <c r="D43" s="282"/>
      <c r="E43" s="282"/>
      <c r="F43" s="283"/>
      <c r="G43" s="3138"/>
    </row>
    <row r="44" spans="1:7" ht="13.5" customHeight="1">
      <c r="A44" s="954" t="s">
        <v>793</v>
      </c>
      <c r="B44" s="259" t="s">
        <v>1066</v>
      </c>
      <c r="C44" s="282">
        <f ca="1">ROUND(IF('数据-取费表'!B22&lt;=1,C40*F22*'数据-取费表'!B21/2,C40*(POWER((1+F22),'数据-取费表'!B21/2)-1)),4)</f>
        <v>1E-3</v>
      </c>
      <c r="D44" s="282"/>
      <c r="E44" s="282"/>
      <c r="F44" s="283"/>
      <c r="G44" s="3139"/>
    </row>
    <row r="45" spans="1:7" s="258" customFormat="1" ht="13.5" customHeight="1">
      <c r="A45" s="951" t="s">
        <v>786</v>
      </c>
      <c r="B45" s="288" t="s">
        <v>112</v>
      </c>
      <c r="C45" s="289">
        <f>C46</f>
        <v>4560</v>
      </c>
      <c r="D45" s="279">
        <f>C47</f>
        <v>4.0000000000000001E-3</v>
      </c>
      <c r="E45" s="280" t="s">
        <v>129</v>
      </c>
      <c r="F45" s="290"/>
      <c r="G45" s="291" t="s">
        <v>1072</v>
      </c>
    </row>
    <row r="46" spans="1:7" s="258" customFormat="1" ht="13.5" customHeight="1">
      <c r="A46" s="954" t="s">
        <v>794</v>
      </c>
      <c r="B46" s="292" t="s">
        <v>1065</v>
      </c>
      <c r="C46" s="293">
        <f>ROUND((C33+C39)*F27,0)</f>
        <v>4560</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30860</v>
      </c>
      <c r="D49" s="276"/>
      <c r="E49" s="276"/>
      <c r="F49" s="308"/>
      <c r="G49" s="278" t="s">
        <v>1073</v>
      </c>
    </row>
    <row r="50" spans="1:7" s="302" customFormat="1" ht="24">
      <c r="A50" s="951" t="s">
        <v>789</v>
      </c>
      <c r="B50" s="254" t="s">
        <v>124</v>
      </c>
      <c r="C50" s="276"/>
      <c r="D50" s="276"/>
      <c r="E50" s="276"/>
      <c r="F50" s="308">
        <f>IF('数据-取费表'!B24=0,'数据-取费表'!N16,1)</f>
        <v>0.93</v>
      </c>
      <c r="G50" s="291" t="s">
        <v>125</v>
      </c>
    </row>
    <row r="51" spans="1:7" ht="16.5" customHeight="1">
      <c r="A51" s="951" t="s">
        <v>790</v>
      </c>
      <c r="B51" s="254" t="s">
        <v>132</v>
      </c>
      <c r="C51" s="276">
        <f ca="1">ROUND(C49*F50,0)</f>
        <v>28700</v>
      </c>
      <c r="D51" s="276"/>
      <c r="E51" s="276"/>
      <c r="F51" s="308"/>
      <c r="G51" s="278" t="s">
        <v>64</v>
      </c>
    </row>
    <row r="52" spans="1:7" s="252" customFormat="1" ht="16.5" thickBot="1">
      <c r="A52" s="309" t="s">
        <v>65</v>
      </c>
      <c r="B52" s="310"/>
      <c r="C52" s="311">
        <f ca="1">C31+C51</f>
        <v>59929</v>
      </c>
      <c r="D52" s="310"/>
      <c r="E52" s="310"/>
      <c r="F52" s="310"/>
      <c r="G52" s="312"/>
    </row>
    <row r="55" spans="1:7" ht="15">
      <c r="B55" s="314" t="s">
        <v>66</v>
      </c>
      <c r="C55" s="315"/>
    </row>
    <row r="56" spans="1:7">
      <c r="B56" s="317" t="s">
        <v>67</v>
      </c>
      <c r="C56" s="318">
        <f ca="1">ROUND(C51/C52,3)</f>
        <v>0.47899999999999998</v>
      </c>
    </row>
    <row r="57" spans="1:7">
      <c r="B57" s="317" t="s">
        <v>68</v>
      </c>
      <c r="C57" s="319">
        <f ca="1">1-C56</f>
        <v>0.52100000000000002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72" t="s">
        <v>156</v>
      </c>
      <c r="B1" s="3272"/>
      <c r="C1" s="3272"/>
      <c r="D1" s="3272"/>
      <c r="E1" s="3272"/>
      <c r="F1" s="3272"/>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3" t="s">
        <v>169</v>
      </c>
      <c r="B2" s="3273"/>
      <c r="C2" s="3273"/>
      <c r="D2" s="3273"/>
      <c r="E2" s="3273"/>
      <c r="F2" s="3273"/>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4"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5"/>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2" t="s">
        <v>871</v>
      </c>
      <c r="B1" s="3272"/>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43423</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topLeftCell="C34" workbookViewId="0">
      <selection activeCell="C42" sqref="C42"/>
    </sheetView>
  </sheetViews>
  <sheetFormatPr defaultRowHeight="13.5"/>
  <sheetData>
    <row r="3" spans="2:4">
      <c r="B3" s="3276" t="s">
        <v>3087</v>
      </c>
      <c r="C3" s="3276" t="s">
        <v>3088</v>
      </c>
    </row>
    <row r="4" spans="2:4">
      <c r="B4">
        <f>'数据-基础表'!I5</f>
        <v>43834.770000000004</v>
      </c>
      <c r="C4">
        <f>'数据-基础表'!K14</f>
        <v>13844.9</v>
      </c>
      <c r="D4">
        <f>B4+C4</f>
        <v>57679.670000000006</v>
      </c>
    </row>
    <row r="5" spans="2:4">
      <c r="B5">
        <v>6</v>
      </c>
      <c r="C5">
        <v>1</v>
      </c>
      <c r="D5">
        <f>ROUND((B4*B5+C4*C5)/D4,1)</f>
        <v>4.8</v>
      </c>
    </row>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62" t="str">
        <f>IF(项目基本情况!B9="房地产市场价值","估价结果一览表","结果表-2")</f>
        <v>结果表-2</v>
      </c>
      <c r="B1" s="2962"/>
      <c r="C1" s="2962"/>
      <c r="D1" s="2962"/>
      <c r="E1" s="2962"/>
      <c r="F1" s="2962"/>
      <c r="G1" s="2962"/>
      <c r="H1" s="2962"/>
      <c r="I1" s="2962"/>
    </row>
    <row r="2" spans="1:9" ht="30" customHeight="1" thickTop="1">
      <c r="A2" s="2963" t="s">
        <v>1641</v>
      </c>
      <c r="B2" s="2963" t="s">
        <v>1642</v>
      </c>
      <c r="C2" s="2963" t="s">
        <v>1643</v>
      </c>
      <c r="D2" s="2963" t="str">
        <f>结果表!D116</f>
        <v>出让国有建设用地使用权价值</v>
      </c>
      <c r="E2" s="2963"/>
      <c r="F2" s="2963" t="str">
        <f>结果表!F116</f>
        <v>在建建筑物价值</v>
      </c>
      <c r="G2" s="2963"/>
      <c r="H2" s="2963" t="str">
        <f>IF(项目基本情况!B9="房地产市场价值","房地产市场价值","房地产价值")</f>
        <v>房地产价值</v>
      </c>
      <c r="I2" s="2963"/>
    </row>
    <row r="3" spans="1:9" ht="15">
      <c r="A3" s="2964"/>
      <c r="B3" s="2964"/>
      <c r="C3" s="2964"/>
      <c r="D3" s="1047" t="s">
        <v>1638</v>
      </c>
      <c r="E3" s="1047" t="s">
        <v>1644</v>
      </c>
      <c r="F3" s="1047" t="s">
        <v>1638</v>
      </c>
      <c r="G3" s="1047" t="s">
        <v>1639</v>
      </c>
      <c r="H3" s="1047" t="s">
        <v>1638</v>
      </c>
      <c r="I3" s="1047" t="s">
        <v>1639</v>
      </c>
    </row>
    <row r="4" spans="1:9" ht="15">
      <c r="A4" s="1976" t="str">
        <f>项目基本情况!S2</f>
        <v>北京市房地产</v>
      </c>
      <c r="B4" s="1047">
        <f>项目基本情况!C17</f>
        <v>57947.42</v>
      </c>
      <c r="C4" s="1047">
        <f>项目基本情况!C18</f>
        <v>13537.24</v>
      </c>
      <c r="D4" s="1047" t="e">
        <f ca="1">结果表!D118</f>
        <v>#REF!</v>
      </c>
      <c r="E4" s="1047" t="e">
        <f ca="1">结果表!E118</f>
        <v>#REF!</v>
      </c>
      <c r="F4" s="1047" t="e">
        <f ca="1">结果表!F118</f>
        <v>#REF!</v>
      </c>
      <c r="G4" s="1047" t="e">
        <f ca="1">结果表!G118</f>
        <v>#REF!</v>
      </c>
      <c r="H4" s="1047">
        <f ca="1">结果表!H118</f>
        <v>240481</v>
      </c>
      <c r="I4" s="1047">
        <f ca="1">结果表!I118</f>
        <v>41500</v>
      </c>
    </row>
    <row r="5" spans="1:9" ht="30" customHeight="1">
      <c r="A5" s="2964" t="s">
        <v>1640</v>
      </c>
      <c r="B5" s="2964"/>
      <c r="C5" s="2964"/>
      <c r="D5" s="2965" t="e">
        <f ca="1">结果表!D119</f>
        <v>#REF!</v>
      </c>
      <c r="E5" s="2965"/>
      <c r="F5" s="2965" t="e">
        <f ca="1">结果表!F119</f>
        <v>#REF!</v>
      </c>
      <c r="G5" s="2965"/>
      <c r="H5" s="2965" t="str">
        <f ca="1">结果表!H119</f>
        <v>贰拾肆亿零肆佰捌拾壹万元整</v>
      </c>
      <c r="I5" s="2965"/>
    </row>
    <row r="6" spans="1:9" ht="15.75">
      <c r="A6" s="2966" t="str">
        <f>结果表!A120</f>
        <v>估价师知悉的法定优先受偿款</v>
      </c>
      <c r="B6" s="2966"/>
      <c r="C6" s="2966"/>
      <c r="D6" s="2966">
        <f>结果表!D120</f>
        <v>0</v>
      </c>
      <c r="E6" s="2966"/>
      <c r="F6" s="2966"/>
      <c r="G6" s="2966"/>
      <c r="H6" s="2966"/>
      <c r="I6" s="2966"/>
    </row>
    <row r="7" spans="1:9" ht="15">
      <c r="A7" s="2964" t="s">
        <v>1640</v>
      </c>
      <c r="B7" s="2964"/>
      <c r="C7" s="2964"/>
      <c r="D7" s="2967" t="str">
        <f>结果表!D121</f>
        <v>零元整</v>
      </c>
      <c r="E7" s="2968"/>
      <c r="F7" s="2968"/>
      <c r="G7" s="2968"/>
      <c r="H7" s="2968"/>
      <c r="I7" s="2969"/>
    </row>
    <row r="8" spans="1:9" ht="15.75">
      <c r="A8" s="2966" t="str">
        <f>结果表!A122</f>
        <v>房地产抵押价值</v>
      </c>
      <c r="B8" s="2966"/>
      <c r="C8" s="2966"/>
      <c r="D8" s="2966">
        <f ca="1">结果表!D122</f>
        <v>240481</v>
      </c>
      <c r="E8" s="2966"/>
      <c r="F8" s="2966"/>
      <c r="G8" s="2966"/>
      <c r="H8" s="2966"/>
      <c r="I8" s="2966"/>
    </row>
    <row r="9" spans="1:9" ht="15">
      <c r="A9" s="2964" t="s">
        <v>1640</v>
      </c>
      <c r="B9" s="2964"/>
      <c r="C9" s="2964"/>
      <c r="D9" s="2965" t="str">
        <f ca="1">结果表!D123</f>
        <v>贰拾肆亿零肆佰捌拾壹万元整</v>
      </c>
      <c r="E9" s="2965"/>
      <c r="F9" s="2965"/>
      <c r="G9" s="2965"/>
      <c r="H9" s="2965"/>
      <c r="I9" s="2965"/>
    </row>
    <row r="10" spans="1:9" ht="15.75">
      <c r="A10" s="2966" t="str">
        <f>结果表!A124</f>
        <v/>
      </c>
      <c r="B10" s="2966"/>
      <c r="C10" s="2966"/>
      <c r="D10" s="2966" t="str">
        <f>结果表!D124</f>
        <v>——</v>
      </c>
      <c r="E10" s="2966"/>
      <c r="F10" s="2966"/>
      <c r="G10" s="2966"/>
      <c r="H10" s="2966"/>
      <c r="I10" s="2966"/>
    </row>
    <row r="11" spans="1:9" ht="15">
      <c r="A11" s="2964" t="s">
        <v>1640</v>
      </c>
      <c r="B11" s="2964"/>
      <c r="C11" s="2964"/>
      <c r="D11" s="2965" t="e">
        <f>结果表!D125</f>
        <v>#VALUE!</v>
      </c>
      <c r="E11" s="2965"/>
      <c r="F11" s="2965"/>
      <c r="G11" s="2965"/>
      <c r="H11" s="2965"/>
      <c r="I11" s="2965"/>
    </row>
    <row r="12" spans="1:9" ht="15.75">
      <c r="A12" s="2966" t="str">
        <f>结果表!A126</f>
        <v/>
      </c>
      <c r="B12" s="2966"/>
      <c r="C12" s="2966"/>
      <c r="D12" s="2966" t="str">
        <f>结果表!D126</f>
        <v>——</v>
      </c>
      <c r="E12" s="2966"/>
      <c r="F12" s="2966"/>
      <c r="G12" s="2966"/>
      <c r="H12" s="2966"/>
      <c r="I12" s="2966"/>
    </row>
    <row r="13" spans="1:9" ht="15.75" thickBot="1">
      <c r="A13" s="2970" t="s">
        <v>1640</v>
      </c>
      <c r="B13" s="2970"/>
      <c r="C13" s="2970"/>
      <c r="D13" s="2971" t="e">
        <f>结果表!D127</f>
        <v>#VALUE!</v>
      </c>
      <c r="E13" s="2971"/>
      <c r="F13" s="2971"/>
      <c r="G13" s="2971"/>
      <c r="H13" s="2971"/>
      <c r="I13" s="2971"/>
    </row>
    <row r="14" spans="1:9" ht="15" thickTop="1">
      <c r="A14" s="2972" t="s">
        <v>1645</v>
      </c>
      <c r="B14" s="2972"/>
      <c r="C14" s="2972"/>
      <c r="D14" s="2972"/>
      <c r="E14" s="2972"/>
      <c r="F14" s="2972"/>
      <c r="G14" s="2972"/>
      <c r="H14" s="2972"/>
      <c r="I14" s="2972"/>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73" t="s">
        <v>1662</v>
      </c>
      <c r="B1" s="2973"/>
      <c r="C1" s="2973"/>
      <c r="D1" s="2973"/>
    </row>
    <row r="2" spans="1:4" ht="18">
      <c r="A2" s="2974" t="s">
        <v>1646</v>
      </c>
      <c r="B2" s="2974"/>
      <c r="C2" s="2974"/>
      <c r="D2" s="2974"/>
    </row>
    <row r="3" spans="1:4" ht="18.75">
      <c r="A3" s="1980" t="s">
        <v>1647</v>
      </c>
      <c r="B3" s="1980" t="s">
        <v>1648</v>
      </c>
      <c r="C3" s="1980" t="s">
        <v>1649</v>
      </c>
      <c r="D3" s="1980" t="s">
        <v>1650</v>
      </c>
    </row>
    <row r="4" spans="1:4" ht="56.25" customHeight="1">
      <c r="A4" s="1981" t="str">
        <f>项目基本情况!B4</f>
        <v>欧红伟</v>
      </c>
      <c r="B4" s="1982">
        <f ca="1">项目基本情况!C4</f>
        <v>1120000080</v>
      </c>
      <c r="C4" s="1983"/>
      <c r="D4" s="1984" t="s">
        <v>1651</v>
      </c>
    </row>
    <row r="5" spans="1:4" ht="56.25" customHeight="1">
      <c r="A5" s="1981" t="str">
        <f>项目基本情况!D4</f>
        <v>崔锴</v>
      </c>
      <c r="B5" s="1982">
        <f ca="1">项目基本情况!E4</f>
        <v>1120100036</v>
      </c>
      <c r="C5" s="1985"/>
      <c r="D5" s="1984" t="s">
        <v>1651</v>
      </c>
    </row>
    <row r="6" spans="1:4" ht="18">
      <c r="A6" s="2974" t="s">
        <v>1652</v>
      </c>
      <c r="B6" s="2974"/>
      <c r="C6" s="2974"/>
      <c r="D6" s="2974"/>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75" t="s">
        <v>1655</v>
      </c>
      <c r="B11" s="2976"/>
      <c r="C11" s="2976"/>
      <c r="D11" s="2976"/>
    </row>
    <row r="12" spans="1:4" ht="15.75">
      <c r="A12" s="29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7"/>
      <c r="C12" s="2977"/>
      <c r="D12" s="2977"/>
    </row>
    <row r="13" spans="1:4" ht="30" customHeight="1">
      <c r="A13" s="29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7"/>
      <c r="C13" s="2977"/>
      <c r="D13" s="2977"/>
    </row>
    <row r="14" spans="1:4" ht="15.75" customHeight="1">
      <c r="A14" s="2976" t="str">
        <f>IF(项目基本情况!B8="抵押","4.本次评估估价师所知悉的法定优先受偿款情况说明如下：","——")</f>
        <v>4.本次评估估价师所知悉的法定优先受偿款情况说明如下：</v>
      </c>
      <c r="B14" s="2977"/>
      <c r="C14" s="2977"/>
      <c r="D14" s="2977"/>
    </row>
    <row r="15" spans="1:4" ht="42" customHeight="1">
      <c r="A15" s="2976" t="str">
        <f>IF(项目基本情况!B8="抵押","（1）"&amp;CONCATENATE(项目基本情况!L20,项目基本情况!L21,项目基本情况!L22),"——")</f>
        <v>（1）根据估价对象《房屋所有权证》原件、《国有土地使用权》复印件，截至价值时点，估价对象抵押权未见登记。</v>
      </c>
      <c r="B15" s="2976"/>
      <c r="C15" s="2976"/>
      <c r="D15" s="2976"/>
    </row>
    <row r="16" spans="1:4" ht="30" customHeight="1">
      <c r="A16" s="2979" t="s">
        <v>1656</v>
      </c>
      <c r="B16" s="2979"/>
      <c r="C16" s="2979"/>
      <c r="D16" s="2979"/>
    </row>
    <row r="17" spans="1:4" ht="144" customHeight="1">
      <c r="A17" s="2979" t="s">
        <v>1657</v>
      </c>
      <c r="B17" s="2979"/>
      <c r="C17" s="2979"/>
      <c r="D17" s="2979"/>
    </row>
    <row r="18" spans="1:4" ht="15.75" customHeight="1">
      <c r="A18" s="2976" t="str">
        <f>IF(项目基本情况!B8="抵押",结果表!K120,"——")</f>
        <v>故，本次评估不存在估价师知悉的法定优先受偿款</v>
      </c>
      <c r="B18" s="2976"/>
      <c r="C18" s="2976"/>
      <c r="D18" s="2976"/>
    </row>
    <row r="19" spans="1:4" ht="46.5" customHeight="1">
      <c r="A19" s="29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6"/>
      <c r="C19" s="2976"/>
      <c r="D19" s="2976"/>
    </row>
    <row r="20" spans="1:4" ht="57.75" customHeight="1">
      <c r="A20" s="29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6"/>
      <c r="C20" s="2976"/>
      <c r="D20" s="2976"/>
    </row>
    <row r="21" spans="1:4" ht="57.75" customHeight="1">
      <c r="A21" s="29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0"/>
      <c r="C21" s="2980"/>
      <c r="D21" s="2980"/>
    </row>
    <row r="22" spans="1:4" ht="18.75" customHeight="1">
      <c r="A22" s="2981" t="s">
        <v>1658</v>
      </c>
      <c r="B22" s="2981"/>
      <c r="C22" s="2981"/>
      <c r="D22" s="2981"/>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78">
        <v>42551</v>
      </c>
      <c r="D31" s="297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9" sqref="B49"/>
      <selection pane="bottomLeft" activeCell="B49" sqref="B4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2987" t="s">
        <v>1669</v>
      </c>
      <c r="B15" s="2982" t="s">
        <v>136</v>
      </c>
      <c r="C15" s="2983"/>
    </row>
    <row r="16" spans="1:7" ht="13.5">
      <c r="A16" s="2988"/>
      <c r="B16" s="2982" t="s">
        <v>69</v>
      </c>
      <c r="C16" s="2983"/>
    </row>
    <row r="17" spans="1:3" ht="13.5">
      <c r="A17" s="2988"/>
      <c r="B17" s="2985" t="s">
        <v>1670</v>
      </c>
      <c r="C17" s="2003" t="s">
        <v>1669</v>
      </c>
    </row>
    <row r="18" spans="1:3" ht="13.5">
      <c r="A18" s="2988"/>
      <c r="B18" s="2985"/>
      <c r="C18" s="2003" t="s">
        <v>1671</v>
      </c>
    </row>
    <row r="19" spans="1:3" ht="13.5">
      <c r="A19" s="2988"/>
      <c r="B19" s="2985"/>
      <c r="C19" s="2003" t="s">
        <v>1672</v>
      </c>
    </row>
    <row r="20" spans="1:3" ht="13.5">
      <c r="A20" s="2989"/>
      <c r="B20" s="2984" t="s">
        <v>1673</v>
      </c>
      <c r="C20" s="2983"/>
    </row>
    <row r="21" spans="1:3" ht="13.5">
      <c r="A21" s="2004" t="s">
        <v>1674</v>
      </c>
      <c r="B21" s="2005"/>
      <c r="C21" s="2006"/>
    </row>
    <row r="22" spans="1:3" ht="13.5">
      <c r="A22" s="2986" t="s">
        <v>1675</v>
      </c>
      <c r="B22" s="2984" t="s">
        <v>1676</v>
      </c>
      <c r="C22" s="2983"/>
    </row>
    <row r="23" spans="1:3" ht="13.5">
      <c r="A23" s="2986"/>
      <c r="B23" s="2984" t="s">
        <v>1677</v>
      </c>
      <c r="C23" s="2983"/>
    </row>
    <row r="24" spans="1:3" ht="13.5">
      <c r="A24" s="2986"/>
      <c r="B24" s="2984" t="s">
        <v>1678</v>
      </c>
      <c r="C24" s="2983"/>
    </row>
    <row r="25" spans="1:3" ht="13.5">
      <c r="A25" s="2986"/>
      <c r="B25" s="2985" t="s">
        <v>1679</v>
      </c>
      <c r="C25" s="2003" t="s">
        <v>1680</v>
      </c>
    </row>
    <row r="26" spans="1:3" ht="13.5">
      <c r="A26" s="2986"/>
      <c r="B26" s="2985"/>
      <c r="C26" s="2003" t="s">
        <v>1681</v>
      </c>
    </row>
    <row r="27" spans="1:3" ht="13.5">
      <c r="A27" s="2986"/>
      <c r="B27" s="2985"/>
      <c r="C27" s="2003" t="s">
        <v>1682</v>
      </c>
    </row>
    <row r="28" spans="1:3" ht="13.5">
      <c r="A28" s="2986"/>
      <c r="B28" s="2985"/>
      <c r="C28" s="2003" t="s">
        <v>1683</v>
      </c>
    </row>
    <row r="29" spans="1:3" ht="13.5">
      <c r="A29" s="2986"/>
      <c r="B29" s="2985"/>
      <c r="C29" s="2003" t="s">
        <v>1684</v>
      </c>
    </row>
    <row r="30" spans="1:3" ht="13.5">
      <c r="A30" s="2986"/>
      <c r="B30" s="2985"/>
      <c r="C30" s="2003" t="s">
        <v>1685</v>
      </c>
    </row>
    <row r="31" spans="1:3" ht="13.5">
      <c r="A31" s="2986"/>
      <c r="B31" s="2985"/>
      <c r="C31" s="2003" t="s">
        <v>1686</v>
      </c>
    </row>
    <row r="32" spans="1:3" ht="13.5">
      <c r="A32" s="2986"/>
      <c r="B32" s="2985"/>
      <c r="C32" s="2003" t="s">
        <v>1687</v>
      </c>
    </row>
    <row r="33" spans="1:3" ht="13.5">
      <c r="A33" s="2986"/>
      <c r="B33" s="2985"/>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49" sqref="B4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43425</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44395</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f ca="1">IF(C10&lt;B2,"已过期",1120060040)</f>
        <v>1120060040</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t="s">
        <v>3049</v>
      </c>
      <c r="B12" s="1025">
        <v>1120110054</v>
      </c>
      <c r="C12" s="2947">
        <v>43937</v>
      </c>
      <c r="D12" s="1705" t="s">
        <v>3049</v>
      </c>
      <c r="E12" s="1025">
        <v>2008110060</v>
      </c>
      <c r="F12" s="1033">
        <v>47177</v>
      </c>
    </row>
    <row r="13" spans="1:6" ht="24" customHeight="1">
      <c r="A13" s="1705" t="s">
        <v>840</v>
      </c>
      <c r="B13" s="1025">
        <f ca="1">IF(C13&lt;B2,"已过期",1120070131)</f>
        <v>1120070131</v>
      </c>
      <c r="C13" s="2352">
        <v>43814</v>
      </c>
      <c r="D13" s="2355" t="s">
        <v>840</v>
      </c>
      <c r="E13" s="1025">
        <v>2014110011</v>
      </c>
      <c r="F13" s="1033">
        <v>49302</v>
      </c>
    </row>
    <row r="14" spans="1:6" ht="24" customHeight="1">
      <c r="A14" s="1705" t="s">
        <v>841</v>
      </c>
      <c r="B14" s="1025">
        <f ca="1">IF(C14&lt;B2,"已过期",1120130020)</f>
        <v>1120130020</v>
      </c>
      <c r="C14" s="2352">
        <v>43622</v>
      </c>
      <c r="D14" s="2355"/>
      <c r="E14" s="1025"/>
      <c r="F14" s="1025"/>
    </row>
    <row r="15" spans="1:6" ht="24" customHeight="1">
      <c r="A15" s="1706" t="s">
        <v>1149</v>
      </c>
      <c r="B15" s="1025">
        <v>1120070085</v>
      </c>
      <c r="C15" s="2352">
        <v>43814</v>
      </c>
      <c r="D15" s="2356" t="s">
        <v>1149</v>
      </c>
      <c r="E15" s="1025">
        <v>2004110128</v>
      </c>
      <c r="F15" s="1026">
        <v>47118</v>
      </c>
    </row>
    <row r="16" spans="1:6" ht="24" customHeight="1">
      <c r="A16" s="1705" t="s">
        <v>842</v>
      </c>
      <c r="B16" s="1025">
        <f ca="1">IF(C16&lt;B2,"已过期",1120140022)</f>
        <v>1120140022</v>
      </c>
      <c r="C16" s="2352">
        <v>44029</v>
      </c>
      <c r="D16" s="2355" t="s">
        <v>842</v>
      </c>
      <c r="E16" s="1025">
        <f ca="1">IF(F16&lt;B2,"已过期",2008110059)</f>
        <v>2008110059</v>
      </c>
      <c r="F16" s="1033">
        <v>47177</v>
      </c>
    </row>
    <row r="17" spans="1:7" ht="24" customHeight="1">
      <c r="A17" s="1705"/>
      <c r="B17" s="1025"/>
      <c r="C17" s="2352"/>
      <c r="D17" s="2355"/>
      <c r="E17" s="1025"/>
      <c r="F17" s="1033"/>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843</v>
      </c>
      <c r="E21" s="1025">
        <f ca="1">IF(F21&lt;B2,"已过期",2011110090)</f>
        <v>2011110090</v>
      </c>
      <c r="F21" s="1033">
        <v>48302</v>
      </c>
    </row>
    <row r="22" spans="1:7" ht="24" customHeight="1">
      <c r="A22" s="1705" t="s">
        <v>844</v>
      </c>
      <c r="B22" s="1025">
        <f ca="1">IF(C22&lt;B2,"已过期",1120020033)</f>
        <v>1120020033</v>
      </c>
      <c r="C22" s="2947">
        <v>44339</v>
      </c>
      <c r="D22" s="2355" t="s">
        <v>844</v>
      </c>
      <c r="E22" s="1025">
        <f ca="1">IF(F22&lt;B2,"已过期",2000110137)</f>
        <v>2000110137</v>
      </c>
      <c r="F22" s="1033">
        <v>46387</v>
      </c>
    </row>
    <row r="23" spans="1:7" ht="24" customHeight="1">
      <c r="A23" s="1705" t="s">
        <v>845</v>
      </c>
      <c r="B23" s="1025">
        <f ca="1">IF(C23&lt;B2,"已过期",1120130048)</f>
        <v>1120130048</v>
      </c>
      <c r="C23" s="2352">
        <v>43686</v>
      </c>
      <c r="D23" s="2355"/>
      <c r="E23" s="1025"/>
      <c r="F23" s="1025"/>
    </row>
    <row r="24" spans="1:7" s="1027" customFormat="1" ht="24" customHeight="1">
      <c r="A24" s="1706" t="s">
        <v>1333</v>
      </c>
      <c r="B24" s="1706" t="s">
        <v>1333</v>
      </c>
      <c r="C24" s="2353" t="s">
        <v>1333</v>
      </c>
      <c r="D24" s="2356" t="s">
        <v>1333</v>
      </c>
      <c r="E24" s="1706" t="s">
        <v>1333</v>
      </c>
      <c r="F24" s="1706" t="s">
        <v>1333</v>
      </c>
    </row>
    <row r="25" spans="1:7" ht="24" customHeight="1">
      <c r="A25" s="2990" t="s">
        <v>846</v>
      </c>
      <c r="B25" s="2990"/>
      <c r="C25" s="2990"/>
      <c r="D25" s="2990"/>
      <c r="E25" s="2990"/>
      <c r="F25" s="2990"/>
      <c r="G25" s="2990"/>
    </row>
    <row r="26" spans="1:7" s="1028" customFormat="1" ht="24" customHeight="1">
      <c r="A26" s="2991" t="s">
        <v>847</v>
      </c>
      <c r="B26" s="2991"/>
      <c r="C26" s="2992"/>
      <c r="D26" s="2993" t="s">
        <v>848</v>
      </c>
      <c r="E26" s="2991"/>
      <c r="F26" s="2991"/>
    </row>
    <row r="27" spans="1:7" s="1030" customFormat="1" ht="24" customHeight="1">
      <c r="A27" s="1029" t="s">
        <v>849</v>
      </c>
      <c r="B27" s="1024" t="s">
        <v>850</v>
      </c>
      <c r="C27" s="2351" t="s">
        <v>851</v>
      </c>
      <c r="D27" s="2359" t="s">
        <v>849</v>
      </c>
      <c r="E27" s="1024" t="s">
        <v>850</v>
      </c>
      <c r="F27" s="1024" t="s">
        <v>851</v>
      </c>
    </row>
    <row r="28" spans="1:7" s="1030" customFormat="1" ht="24" customHeight="1">
      <c r="A28" s="1031" t="s">
        <v>852</v>
      </c>
      <c r="B28" s="1032" t="s">
        <v>853</v>
      </c>
      <c r="C28" s="2357">
        <v>43725</v>
      </c>
      <c r="D28" s="2360" t="s">
        <v>854</v>
      </c>
      <c r="E28" s="1031" t="s">
        <v>855</v>
      </c>
      <c r="F28" s="1061">
        <v>44377</v>
      </c>
    </row>
    <row r="29" spans="1:7" s="1030" customFormat="1" ht="24" customHeight="1">
      <c r="A29" s="1031"/>
      <c r="B29" s="1031"/>
      <c r="C29" s="2358"/>
      <c r="D29" s="2360"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2018-11-21T03:25:02Z</dcterms:modified>
</cp:coreProperties>
</file>